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rden" sheetId="1" r:id="rId4"/>
    <sheet state="visible" name="Statistics" sheetId="2" r:id="rId5"/>
    <sheet state="visible" name="Deployers" sheetId="3" r:id="rId6"/>
  </sheets>
  <definedNames>
    <definedName name="R_Count">#REF!</definedName>
    <definedName name="R_Color">#REF!</definedName>
    <definedName hidden="1" localSheetId="0" name="_xlnm._FilterDatabase">Garden!$A$7:$P$130</definedName>
  </definedNames>
  <calcPr/>
</workbook>
</file>

<file path=xl/sharedStrings.xml><?xml version="1.0" encoding="utf-8"?>
<sst xmlns="http://schemas.openxmlformats.org/spreadsheetml/2006/main" count="751" uniqueCount="385">
  <si>
    <t>Chilli 🌶️ Killer ☠️</t>
  </si>
  <si>
    <t>location:</t>
  </si>
  <si>
    <t>Bratislava, Slovakia</t>
  </si>
  <si>
    <t>United Gardens of Slovakia 🇸🇰:</t>
  </si>
  <si>
    <t>link</t>
  </si>
  <si>
    <t>Garden map link</t>
  </si>
  <si>
    <t xml:space="preserve">Free: </t>
  </si>
  <si>
    <t>🌶️ HOT &amp; tasty garden in Zee-hyperactive Bratislava.
☠️ DEPLOY and CAP with CAUTION.
✍️ Autor: Nicolet, Designer: Neloras
🙏 THANK YOU for creating nice things!</t>
  </si>
  <si>
    <t>This Speadsheet link</t>
  </si>
  <si>
    <t xml:space="preserve">Claimed: </t>
  </si>
  <si>
    <t xml:space="preserve">Reserved: </t>
  </si>
  <si>
    <t>It is often helpful to use this</t>
  </si>
  <si>
    <t xml:space="preserve">Done: </t>
  </si>
  <si>
    <t>as your Munzee Name</t>
  </si>
  <si>
    <t xml:space="preserve">Total: </t>
  </si>
  <si>
    <t>Nr.</t>
  </si>
  <si>
    <t>Munzee Name</t>
  </si>
  <si>
    <t>R</t>
  </si>
  <si>
    <t>C</t>
  </si>
  <si>
    <t>Latitude</t>
  </si>
  <si>
    <t>Longitude</t>
  </si>
  <si>
    <t>Munzee</t>
  </si>
  <si>
    <t>Username</t>
  </si>
  <si>
    <t>URL - please, post link to your Munzee</t>
  </si>
  <si>
    <t>Comments</t>
  </si>
  <si>
    <t>Check</t>
  </si>
  <si>
    <t>Free</t>
  </si>
  <si>
    <t>Claim</t>
  </si>
  <si>
    <t>Res</t>
  </si>
  <si>
    <t>Link</t>
  </si>
  <si>
    <t>Status</t>
  </si>
  <si>
    <t>Helper</t>
  </si>
  <si>
    <t>Cap count</t>
  </si>
  <si>
    <t>Surprise</t>
  </si>
  <si>
    <t>https://www.munzee.com/m/CoffeeEater/4172/</t>
  </si>
  <si>
    <t>https://www.munzee.com/m/harrie56/3610/</t>
  </si>
  <si>
    <t>https://www.munzee.com/m/scoutref/2433/</t>
  </si>
  <si>
    <t>https://www.munzee.com/m/jurikvandspol/201/</t>
  </si>
  <si>
    <t>https://www.munzee.com/m/florish/2526/</t>
  </si>
  <si>
    <t>https://www.munzee.com/m/humbird7/16604/</t>
  </si>
  <si>
    <t>https://www.munzee.com/m/levesund/7190/</t>
  </si>
  <si>
    <t>https://www.munzee.com/m/MeanderingMonkeys/16949/</t>
  </si>
  <si>
    <t>Virtual Red</t>
  </si>
  <si>
    <t>https://www.munzee.com/m/Rikitan/2954/</t>
  </si>
  <si>
    <t>https://www.munzee.com/m/Kapor24/718/</t>
  </si>
  <si>
    <t>https://www.munzee.com/m/Maxi72/3451/</t>
  </si>
  <si>
    <t>https://www.munzee.com/m/Rikitan/3079/</t>
  </si>
  <si>
    <t>https://www.munzee.com/m/harrie56/3531/</t>
  </si>
  <si>
    <t>https://www.munzee.com/m/lison55/6871/</t>
  </si>
  <si>
    <t>https://www.munzee.com/m/tcguru/7688/</t>
  </si>
  <si>
    <t>https://www.munzee.com/m/ChickenRun/10866/</t>
  </si>
  <si>
    <t xml:space="preserve"> </t>
  </si>
  <si>
    <t>https://www.munzee.com/m/Kiitokurre/7432/</t>
  </si>
  <si>
    <t>https://www.munzee.com/m/JackSparrow/25470/</t>
  </si>
  <si>
    <t>https://www.munzee.com/m/markcase/8680/</t>
  </si>
  <si>
    <t>https://www.munzee.com/m/amadoreugen/6619/</t>
  </si>
  <si>
    <t>https://www.munzee.com/m/ajaxiss/2574/</t>
  </si>
  <si>
    <t>https://www.munzee.com/m/aufbau/11615/</t>
  </si>
  <si>
    <t>https://www.munzee.com/m/joroma80/932/</t>
  </si>
  <si>
    <t>https://www.munzee.com/m/Derlame/17475/</t>
  </si>
  <si>
    <t>https://www.munzee.com/m/babyw/3696/</t>
  </si>
  <si>
    <t>https://www.munzee.com/m/Leesap/2605/</t>
  </si>
  <si>
    <t>https://www.munzee.com/m/PelicanRouge/3085/</t>
  </si>
  <si>
    <t>https://www.munzee.com/m/Bisquick2/5820/</t>
  </si>
  <si>
    <t>https://www.munzee.com/m/RF/5001/</t>
  </si>
  <si>
    <t>https://www.munzee.com/m/Lanyasummer/5146/</t>
  </si>
  <si>
    <t>https://www.munzee.com/m/bazfum/9217/</t>
  </si>
  <si>
    <t>https://www.munzee.com/m/Soitenlysue/1136/</t>
  </si>
  <si>
    <t>https://www.munzee.com/m/Shun79/2138/</t>
  </si>
  <si>
    <t>https://www.munzee.com/m/TheFrog/5249/</t>
  </si>
  <si>
    <t>https://www.munzee.com/m/Soitenlysue/1143/</t>
  </si>
  <si>
    <t>https://www.munzee.com/m/Kyrandia/4307/</t>
  </si>
  <si>
    <t>https://www.munzee.com/m/Kumahelion/790/</t>
  </si>
  <si>
    <t>Virtual Green</t>
  </si>
  <si>
    <t>https://www.munzee.com/m/Attis/19549/</t>
  </si>
  <si>
    <t>https://www.munzee.com/m/TheEvilPoles/2496/</t>
  </si>
  <si>
    <t>https://www.munzee.com/m/CoalCracker7/4882/</t>
  </si>
  <si>
    <t>https://www.munzee.com/m/jukkas/3260/</t>
  </si>
  <si>
    <t>https://www.munzee.com/m/thorkel/7022/</t>
  </si>
  <si>
    <t>https://www.munzee.com/m/rodrico101/5443/</t>
  </si>
  <si>
    <t>https://www.munzee.com/m/123xilef/11071/</t>
  </si>
  <si>
    <t>https://www.munzee.com/m/harrie56/3440/</t>
  </si>
  <si>
    <t>https://www.munzee.com/m/23speds/7442/</t>
  </si>
  <si>
    <t>https://www.munzee.com/m/mierischclan/3559/</t>
  </si>
  <si>
    <t>https://www.munzee.com/m/Lorax1/108/</t>
  </si>
  <si>
    <t>https://www.munzee.com/m/jurikvandspol/772/</t>
  </si>
  <si>
    <t>https://www.munzee.com/m/c-bn/20061/</t>
  </si>
  <si>
    <t>https://www.munzee.com/m/florish/2944/</t>
  </si>
  <si>
    <t>https://www.munzee.com/m/KarelVeliky/1991/</t>
  </si>
  <si>
    <t>https://www.munzee.com/m/Dazzaf/4822/</t>
  </si>
  <si>
    <t>https://www.munzee.com/m/29Februaris/389/</t>
  </si>
  <si>
    <t>https://www.munzee.com/m/mobility/17260/</t>
  </si>
  <si>
    <t>https://www.munzee.com/m/florish/2503/</t>
  </si>
  <si>
    <t>https://www.munzee.com/m/29Februaris/1236/</t>
  </si>
  <si>
    <t>https://www.munzee.com/m/Chivasloyal/4640/</t>
  </si>
  <si>
    <t>https://www.munzee.com/m/woenny/2006/</t>
  </si>
  <si>
    <t>https://www.munzee.com/m/irmeli/3208/</t>
  </si>
  <si>
    <t>https://www.munzee.com/m/Soitenlysue/1145/</t>
  </si>
  <si>
    <t>https://www.munzee.com/m/harrie56/3442/</t>
  </si>
  <si>
    <t>https://www.munzee.com/m/Kumahelion/755/</t>
  </si>
  <si>
    <t>https://www.munzee.com/m/mierischclan/3564/</t>
  </si>
  <si>
    <t>https://www.munzee.com/m/florish/2943/</t>
  </si>
  <si>
    <t>https://www.munzee.com/m/KarelVeliky/2011/</t>
  </si>
  <si>
    <t>https://www.munzee.com/m/Charonovci/1409/</t>
  </si>
  <si>
    <t>https://www.munzee.com/m/Rikitan/3010/</t>
  </si>
  <si>
    <t>https://www.munzee.com/m/hippiemop/4259/</t>
  </si>
  <si>
    <t>https://www.munzee.com/m/disneyfan4life85/5990/</t>
  </si>
  <si>
    <t>https://www.munzee.com/m/Minnie213/9145/</t>
  </si>
  <si>
    <t>https://www.munzee.com/m/Lorax1/110/</t>
  </si>
  <si>
    <t>https://www.munzee.com/m/Adushka/377/</t>
  </si>
  <si>
    <t>https://www.munzee.com/m/Soitenlysue/1154/</t>
  </si>
  <si>
    <t>Virtual RUM</t>
  </si>
  <si>
    <t>https://www.munzee.com/m/thelanes/15426/</t>
  </si>
  <si>
    <t>https://www.munzee.com/m/Neloras/2321/</t>
  </si>
  <si>
    <t>https://www.munzee.com/m/hems79/8504/</t>
  </si>
  <si>
    <t>https://www.munzee.com/m/KarelVeliky/2168/</t>
  </si>
  <si>
    <t>https://www.munzee.com/m/Neloras/1125/</t>
  </si>
  <si>
    <t>https://www.munzee.com/m/Nicolet/826/</t>
  </si>
  <si>
    <t>https://www.munzee.com/m/VikingPrincess/1070</t>
  </si>
  <si>
    <t>https://www.munzee.com/m/KarelVeliky/2330/</t>
  </si>
  <si>
    <t>https://www.munzee.com/m/denali0407/17992/</t>
  </si>
  <si>
    <t>https://www.munzee.com/m/Nicolet/52/</t>
  </si>
  <si>
    <t>https://www.munzee.com/m/KarelVeliky/2131/</t>
  </si>
  <si>
    <t>https://www.munzee.com/m/29Februaris/985/</t>
  </si>
  <si>
    <t>https://www.munzee.com/m/Neloras/1217/</t>
  </si>
  <si>
    <t>https://www.munzee.com/m/Nicolet/168/</t>
  </si>
  <si>
    <t>https://www.munzee.com/m/Adushka/408/</t>
  </si>
  <si>
    <t>https://www.munzee.com/m/kepke3/1130/</t>
  </si>
  <si>
    <t>https://www.munzee.com/m/Neloras/1269/</t>
  </si>
  <si>
    <t>https://www.munzee.com/m/KarelVeliky/2134/</t>
  </si>
  <si>
    <t>https://www.munzee.com/m/29Februaris/984/</t>
  </si>
  <si>
    <t>https://www.munzee.com/m/Neloras/1270/</t>
  </si>
  <si>
    <t>https://www.munzee.com/m/harrie56/3443/</t>
  </si>
  <si>
    <t>https://www.munzee.com/m/nyisutter/9145/</t>
  </si>
  <si>
    <t>https://www.munzee.com/m/Kumahelion/265/</t>
  </si>
  <si>
    <t>https://www.munzee.com/m/Lorax1/112/</t>
  </si>
  <si>
    <t>https://www.munzee.com/m/Nicolet/197/</t>
  </si>
  <si>
    <t>https://www.munzee.com/m/jurikvandspol/771/</t>
  </si>
  <si>
    <t>https://www.munzee.com/m/Kapor24/798/</t>
  </si>
  <si>
    <t>https://www.munzee.com/m/chaosmanor/2315</t>
  </si>
  <si>
    <t>https://www.munzee.com/m/florish/2424/</t>
  </si>
  <si>
    <t>https://www.munzee.com/m/CopperWings/1341/</t>
  </si>
  <si>
    <t>https://www.munzee.com/m/mathew611/727/</t>
  </si>
  <si>
    <t>https://www.munzee.com/m/Kumahelion/246/</t>
  </si>
  <si>
    <t>https://www.munzee.com/m/Neloras/1214/</t>
  </si>
  <si>
    <t>https://www.munzee.com/m/mathew611/754/</t>
  </si>
  <si>
    <t>https://www.munzee.com/m/Lorax1/736/</t>
  </si>
  <si>
    <t>https://www.munzee.com/m/Kapor24/785/</t>
  </si>
  <si>
    <t>https://www.munzee.com/m/mathew611/762/</t>
  </si>
  <si>
    <t>https://www.munzee.com/m/destolkjes4ever/4803/</t>
  </si>
  <si>
    <t>https://www.munzee.com/m/Lorax1/363/</t>
  </si>
  <si>
    <t>https://www.munzee.com/m/jurikvandspol/769/</t>
  </si>
  <si>
    <t>https://www.munzee.com/m/Kapor24/786/</t>
  </si>
  <si>
    <t>https://www.munzee.com/m/Nicolet/186/</t>
  </si>
  <si>
    <t>https://www.munzee.com/m/Rikitan/3604/</t>
  </si>
  <si>
    <t>https://www.munzee.com/m/DeLeeuwen/4571/</t>
  </si>
  <si>
    <t>https://www.munzee.com/m/Nicolet/196/</t>
  </si>
  <si>
    <t>https://www.munzee.com/m/Kapor24/797/</t>
  </si>
  <si>
    <t>https://www.munzee.com/m/florish/2286/</t>
  </si>
  <si>
    <t>https://www.munzee.com/m/woenny/2005/</t>
  </si>
  <si>
    <t>https://www.munzee.com/m/TheEvilPoles/2408/</t>
  </si>
  <si>
    <t>https://www.munzee.com/m/Kumahelion/2076/</t>
  </si>
  <si>
    <t>https://www.munzee.com/m/scarlettdragon/892/</t>
  </si>
  <si>
    <t>https://www.munzee.com/m/mathew611/1300/</t>
  </si>
  <si>
    <t>https://www.munzee.com/m/KarelVeliky/2821/</t>
  </si>
  <si>
    <t>https://www.munzee.com/m/BonnieB1/5238/</t>
  </si>
  <si>
    <t>https://www.munzee.com/m/Majsan/15107/</t>
  </si>
  <si>
    <t>https://www.munzee.com/m/Nicolet/51/</t>
  </si>
  <si>
    <t>https://www.munzee.com/m/Charonovci/1422/</t>
  </si>
  <si>
    <t>https://www.munzee.com/m/Kapor24/763/</t>
  </si>
  <si>
    <t>https://www.munzee.com/m/annabanana/15212/</t>
  </si>
  <si>
    <t>https://www.munzee.com/m/Charonovci/1421/</t>
  </si>
  <si>
    <t>https://www.munzee.com/m/MacickaLizza/1022</t>
  </si>
  <si>
    <t>https://www.munzee.com/m/EeveeFox/1030</t>
  </si>
  <si>
    <t>https://www.munzee.com/m/Charonovci/1420/</t>
  </si>
  <si>
    <t>https://www.munzee.com/m/MacickaLizza/1031</t>
  </si>
  <si>
    <t>https://www.munzee.com/m/EeveeFox/1025</t>
  </si>
  <si>
    <t>https://www.munzee.com/m/Charonovci/1413/</t>
  </si>
  <si>
    <t>https://www.munzee.com/m/MacickaLizza/1032</t>
  </si>
  <si>
    <t>https://www.munzee.com/m/EeveeFox/1021</t>
  </si>
  <si>
    <t>https://www.munzee.com/m/mathew611/764/</t>
  </si>
  <si>
    <t>https://www.munzee.com/m/Charonovci/1412/</t>
  </si>
  <si>
    <t>https://www.munzee.com/m/jurikvandspol/770/</t>
  </si>
  <si>
    <t>https://www.munzee.com/m/Neloras/1786/</t>
  </si>
  <si>
    <t>https://www.munzee.com/m/Ganesia/1632/</t>
  </si>
  <si>
    <t>https://www.munzee.com/m/Lorax1/375/</t>
  </si>
  <si>
    <t>https://www.munzee.com/m/EagleDadandXenia/35368/</t>
  </si>
  <si>
    <t>https://www.munzee.com/m/Kapor24/1338/</t>
  </si>
  <si>
    <t>https://www.munzee.com/m/Redsixmix/259/</t>
  </si>
  <si>
    <t>https://www.munzee.com/m/rita85gto/4116/</t>
  </si>
  <si>
    <t>https://www.munzee.com/m/Neloras/1191/</t>
  </si>
  <si>
    <t>https://www.munzee.com/m/Rikitan/4181/</t>
  </si>
  <si>
    <t>https://www.munzee.com/m/rgforsythe/14119/</t>
  </si>
  <si>
    <t>https://www.munzee.com/m/KarelVeliky/2339/</t>
  </si>
  <si>
    <t>https://www.munzee.com/m/TheEvilPoles/5363/</t>
  </si>
  <si>
    <t>https://www.munzee.com/m/Nicolet/155/</t>
  </si>
  <si>
    <t>https://www.munzee.com/m/KarelVeliky/2352/</t>
  </si>
  <si>
    <t>https://www.munzee.com/m/Kumahelion/1544/</t>
  </si>
  <si>
    <t>https://www.munzee.com/m/thehowlers/1998/</t>
  </si>
  <si>
    <t>https://www.munzee.com/m/Nicolet/172/</t>
  </si>
  <si>
    <t>https://www.munzee.com/m/KarelVeliky/2488/</t>
  </si>
  <si>
    <t>https://www.munzee.com/m/Dazzaf/6804/</t>
  </si>
  <si>
    <t>https://www.munzee.com/m/gd/4757/</t>
  </si>
  <si>
    <t>https://www.munzee.com/m/KarelVeliky/2573/</t>
  </si>
  <si>
    <t>https://www.munzee.com/m/Lorax1/387/</t>
  </si>
  <si>
    <t>https://www.munzee.com/m/Maattmoo/2173/</t>
  </si>
  <si>
    <t>https://www.munzee.com/m/KarelVeliky/3490/</t>
  </si>
  <si>
    <t>https://www.munzee.com/m/woenny/7960/</t>
  </si>
  <si>
    <t>https://www.munzee.com/m/29Februaris/760/</t>
  </si>
  <si>
    <t>https://www.munzee.com/m/Neloras/1126/</t>
  </si>
  <si>
    <t>https://www.munzee.com/m/and2470/295/</t>
  </si>
  <si>
    <t>https://www.munzee.com/m/KarelVeliky/4279/</t>
  </si>
  <si>
    <t>https://www.munzee.com/m/woenny/2007/</t>
  </si>
  <si>
    <t>https://www.munzee.com/m/mathew611/707/</t>
  </si>
  <si>
    <t>https://www.munzee.com/m/Kapor24/713/</t>
  </si>
  <si>
    <t>https://www.munzee.com/m/jurikvandspol/809/</t>
  </si>
  <si>
    <t>https://www.munzee.com/m/Franske/2028/</t>
  </si>
  <si>
    <t>https://www.munzee.com/m/teamsturms/6566/</t>
  </si>
  <si>
    <t>https://www.munzee.com/m/Aiden29/2588/</t>
  </si>
  <si>
    <t>https://www.munzee.com/m/Frikandelbroodjes/732/</t>
  </si>
  <si>
    <t>https://www.munzee.com/m/Neloras/1215/</t>
  </si>
  <si>
    <t>https://www.munzee.com/m/Lorax1/519/</t>
  </si>
  <si>
    <t>https://www.munzee.com/m/Kapor24/707/</t>
  </si>
  <si>
    <t>https://www.munzee.com/m/mathew611/724/</t>
  </si>
  <si>
    <t>https://www.munzee.com/m/Neloras/1261/</t>
  </si>
  <si>
    <t>https://www.munzee.com/m/Lorax1/435/</t>
  </si>
  <si>
    <t>https://www.munzee.com/m/NikitaStolk/3865/</t>
  </si>
  <si>
    <t>https://www.munzee.com/m/Neloras/1305/</t>
  </si>
  <si>
    <t>https://www.munzee.com/m/Nicolet/182/</t>
  </si>
  <si>
    <t>https://www.munzee.com/m/Kapor24/717/</t>
  </si>
  <si>
    <t>https://www.munzee.com/m/woenny/2008/</t>
  </si>
  <si>
    <t>https://www.munzee.com/m/Nicolet/200/</t>
  </si>
  <si>
    <t>https://www.munzee.com/m/scarlettdragon/1084/</t>
  </si>
  <si>
    <t>https://www.munzee.com/m/Charonovci/465/</t>
  </si>
  <si>
    <t>https://www.munzee.com/m/Neloras/1088/</t>
  </si>
  <si>
    <t>https://www.munzee.com/m/Nicolet/49/</t>
  </si>
  <si>
    <t>https://www.munzee.com/m/29Februaris/749/</t>
  </si>
  <si>
    <t>https://www.munzee.com/m/Charonovci/1424/</t>
  </si>
  <si>
    <t>https://www.munzee.com/m/CopperWings/2462/</t>
  </si>
  <si>
    <t>https://www.munzee.com/m/mathew611/717/</t>
  </si>
  <si>
    <t>https://www.munzee.com/m/Lorax1/762/</t>
  </si>
  <si>
    <t>https://www.munzee.com/m/Kapor24/705/</t>
  </si>
  <si>
    <t>https://www.munzee.com/m/mathew611/718/</t>
  </si>
  <si>
    <t>https://www.munzee.com/m/jurikvandspol/767/</t>
  </si>
  <si>
    <t>https://www.munzee.com/m/Rikitan/3745/</t>
  </si>
  <si>
    <t>https://www.munzee.com/m/ponu/8426/</t>
  </si>
  <si>
    <t>https://www.munzee.com/m/Kapor24/709/</t>
  </si>
  <si>
    <t>https://www.munzee.com/m/mathew611/726/</t>
  </si>
  <si>
    <t>https://www.munzee.com/m/Charonovci/1423/</t>
  </si>
  <si>
    <t>https://www.munzee.com/m/Neloras/1161/</t>
  </si>
  <si>
    <t>https://www.munzee.com/m/Charonovci/436/</t>
  </si>
  <si>
    <t>https://www.munzee.com/m/mathew611/704/</t>
  </si>
  <si>
    <t>https://www.munzee.com/m/KarelVeliky/1975/</t>
  </si>
  <si>
    <t>https://www.munzee.com/m/Lonni/1090/</t>
  </si>
  <si>
    <t>https://www.munzee.com/m/EeveeFox/1020</t>
  </si>
  <si>
    <t>https://www.munzee.com/m/MacickaLizza/1033</t>
  </si>
  <si>
    <t>https://www.munzee.com/m/chaosmanor/1722/</t>
  </si>
  <si>
    <t>https://www.munzee.com/m/EeveeFox/1019</t>
  </si>
  <si>
    <t>https://www.munzee.com/m/MacickaLizza/1034</t>
  </si>
  <si>
    <t>https://www.munzee.com/m/Neloras/1190/</t>
  </si>
  <si>
    <t>https://www.munzee.com/m/Nicolet/43/</t>
  </si>
  <si>
    <t>https://www.munzee.com/m/KarelVeliky/5356/</t>
  </si>
  <si>
    <t>https://www.munzee.com/m/Nicolet/836/</t>
  </si>
  <si>
    <t>Nicolet</t>
  </si>
  <si>
    <t>https://www.munzee.com/m/KarelVeliky/5918/</t>
  </si>
  <si>
    <t>https://www.munzee.com/m/chaosmanor/2091/</t>
  </si>
  <si>
    <t>https://www.munzee.com/m/Nicolet/25/</t>
  </si>
  <si>
    <t>https://www.munzee.com/m/taska1981/6695/</t>
  </si>
  <si>
    <t>https://www.munzee.com/m/Kapor24/666/</t>
  </si>
  <si>
    <t>https://www.munzee.com/m/Neloras/1124/</t>
  </si>
  <si>
    <t>https://www.munzee.com/m/Sidcup/11493/</t>
  </si>
  <si>
    <t>https://www.munzee.com/m/mathew611/1366/</t>
  </si>
  <si>
    <t>https://www.munzee.com/m/Nicolet/36/</t>
  </si>
  <si>
    <t>https://www.munzee.com/m/Kapor24/712/</t>
  </si>
  <si>
    <t>https://www.munzee.com/m/mathew611/705/</t>
  </si>
  <si>
    <t>https://www.munzee.com/m/Kumahelion/894/</t>
  </si>
  <si>
    <t>https://www.munzee.com/m/KarelVeliky/3002/</t>
  </si>
  <si>
    <t>https://www.munzee.com/m/mding4gold/9481</t>
  </si>
  <si>
    <t>https://www.munzee.com/m/Kapor24/704/</t>
  </si>
  <si>
    <t>https://www.munzee.com/m/29Februaris/1044/</t>
  </si>
  <si>
    <t>https://www.munzee.com/m/KarelVeliky/3964/</t>
  </si>
  <si>
    <t>https://www.munzee.com/m/Centern/10012/</t>
  </si>
  <si>
    <t>https://www.munzee.com/m/Majsan/7686/</t>
  </si>
  <si>
    <t>https://www.munzee.com/m/Charonovci/1064/</t>
  </si>
  <si>
    <t>https://www.munzee.com/m/Neloras/931/</t>
  </si>
  <si>
    <t>https://www.munzee.com/m/29Februaris/742/</t>
  </si>
  <si>
    <t>https://www.munzee.com/m/jurikvandspol/765/</t>
  </si>
  <si>
    <t>https://www.munzee.com/m/kpcrystal07/23205/</t>
  </si>
  <si>
    <t>https://www.munzee.com/m/Charonovci/1488/</t>
  </si>
  <si>
    <t>https://www.munzee.com/m/Neloras/1188/</t>
  </si>
  <si>
    <t>https://www.munzee.com/m/mathew611/714/</t>
  </si>
  <si>
    <t>https://www.munzee.com/m/halizwein/16063/</t>
  </si>
  <si>
    <t>https://www.munzee.com/m/Charonovci/539/</t>
  </si>
  <si>
    <t>POI Virtual Garden</t>
  </si>
  <si>
    <t>https://www.munzee.com/m/Derlame/17681/</t>
  </si>
  <si>
    <t>https://www.munzee.com/m/scoutref/2906/</t>
  </si>
  <si>
    <t>https://www.munzee.com/m/Rikitan/3127/</t>
  </si>
  <si>
    <t>https://www.munzee.com/m/EeveeFox/1018/</t>
  </si>
  <si>
    <t>https://www.munzee.com/m/MacickaLizza/1052</t>
  </si>
  <si>
    <t>https://www.munzee.com/m/VLoopSouth/1365/</t>
  </si>
  <si>
    <t>https://www.munzee.com/m/29Februaris/741/</t>
  </si>
  <si>
    <t>https://www.munzee.com/m/Nicolet/42/</t>
  </si>
  <si>
    <t>https://www.munzee.com/m/KarelVeliky/4280/</t>
  </si>
  <si>
    <t>https://www.munzee.com/m/KarelVeliky/4298/</t>
  </si>
  <si>
    <t>https://www.munzee.com/m/Nicolet/35/</t>
  </si>
  <si>
    <t>https://www.munzee.com/m/Kapor24/699/</t>
  </si>
  <si>
    <t>https://www.munzee.com/m/KarelVeliky/3091/</t>
  </si>
  <si>
    <t>https://www.munzee.com/m/and2470/949/</t>
  </si>
  <si>
    <t>https://www.munzee.com/m/TheOneWhoScans/9377/</t>
  </si>
  <si>
    <t>https://www.munzee.com/m/Adushka/922/</t>
  </si>
  <si>
    <t>https://www.munzee.com/m/Kapor24/700/</t>
  </si>
  <si>
    <t>https://www.munzee.com/m/munzeeprof/12089/</t>
  </si>
  <si>
    <t>https://www.munzee.com/m/mathew611/703/</t>
  </si>
  <si>
    <t>https://www.munzee.com/m/29Februaris/1048/</t>
  </si>
  <si>
    <t>https://www.munzee.com/m/ZlatanTrip/43/</t>
  </si>
  <si>
    <t>https://www.munzee.com/m/mathew611/715/</t>
  </si>
  <si>
    <t>https://www.munzee.com/m/florish/3245/</t>
  </si>
  <si>
    <t>https://www.munzee.com/m/Neloras/1122/</t>
  </si>
  <si>
    <t>https://www.munzee.com/m/KarelVeliky/4303/</t>
  </si>
  <si>
    <t>https://www.munzee.com/m/florish/1992/</t>
  </si>
  <si>
    <t>https://www.munzee.com/m/Neloras/914/</t>
  </si>
  <si>
    <t>https://www.munzee.com/m/Charonovci/449/</t>
  </si>
  <si>
    <t>https://www.munzee.com/m/EeveeFox/1017</t>
  </si>
  <si>
    <t>https://www.munzee.com/m/MacickaLizza/1055</t>
  </si>
  <si>
    <t>https://www.munzee.com/m/Charonovci/454/</t>
  </si>
  <si>
    <t>https://www.munzee.com/m/Nicolet/37/</t>
  </si>
  <si>
    <t>https://www.munzee.com/m/and2470/350/</t>
  </si>
  <si>
    <t>https://www.munzee.com/m/Kapor24/698/</t>
  </si>
  <si>
    <t>https://www.munzee.com/m/jurikvandspol/808/</t>
  </si>
  <si>
    <t>https://www.munzee.com/m/and2470/940/</t>
  </si>
  <si>
    <t>https://www.munzee.com/m/Kapor24/754/</t>
  </si>
  <si>
    <t>https://www.munzee.com/m/Nicolet/33/</t>
  </si>
  <si>
    <t>https://www.munzee.com/m/KarelVeliky/3402/</t>
  </si>
  <si>
    <t>https://www.munzee.com/m/mathew611/698/</t>
  </si>
  <si>
    <t>https://www.munzee.com/m/Neloras/1111/</t>
  </si>
  <si>
    <t>https://www.munzee.com/m/KarelVeliky/6392/</t>
  </si>
  <si>
    <t>https://www.munzee.com/m/Rikitan/6634/</t>
  </si>
  <si>
    <t>https://www.munzee.com/m/Charonovci/1508/</t>
  </si>
  <si>
    <t>https://www.munzee.com/m/EeveeFox/1016</t>
  </si>
  <si>
    <t>https://www.munzee.com/m/29Februaris/756/</t>
  </si>
  <si>
    <t>https://www.munzee.com/m/and2470/162/</t>
  </si>
  <si>
    <t>https://www.munzee.com/m/mathew611/672/</t>
  </si>
  <si>
    <t>https://www.munzee.com/m/Neloras/884/</t>
  </si>
  <si>
    <t>https://www.munzee.com/m/and2470/815/</t>
  </si>
  <si>
    <t>https://www.munzee.com/m/Kapor24/694/</t>
  </si>
  <si>
    <t>https://www.munzee.com/m/tcguru/17096/</t>
  </si>
  <si>
    <t>https://www.munzee.com/m/Nicolet/24/</t>
  </si>
  <si>
    <t>https://www.munzee.com/m/mortonfox/24416/admin/</t>
  </si>
  <si>
    <t>https://www.munzee.com/m/Traycee/8288/</t>
  </si>
  <si>
    <t>https://www.munzee.com/m/Neloras/842/</t>
  </si>
  <si>
    <t>https://www.munzee.com/m/florish/2262/</t>
  </si>
  <si>
    <t>https://www.munzee.com/m/Kapor24/956/</t>
  </si>
  <si>
    <t>https://www.munzee.com/m/and2470/770/</t>
  </si>
  <si>
    <t>https://www.munzee.com/m/mathew611/917/</t>
  </si>
  <si>
    <t>https://www.munzee.com/m/Nicolet/381/</t>
  </si>
  <si>
    <t>https://www.munzee.com/m/scarlettdragon/879/</t>
  </si>
  <si>
    <t>https://www.munzee.com/m/barefootguru/7496/</t>
  </si>
  <si>
    <t>https://www.munzee.com/m/StaceyZ/7164/</t>
  </si>
  <si>
    <t>Chilli 🌶️ Killer ☠️ per Munzee Type</t>
  </si>
  <si>
    <t>Total</t>
  </si>
  <si>
    <t>Deployed</t>
  </si>
  <si>
    <t>Reserved</t>
  </si>
  <si>
    <t>Claimed</t>
  </si>
  <si>
    <t>Complete %</t>
  </si>
  <si>
    <t>Munzee Type</t>
  </si>
  <si>
    <t>Group</t>
  </si>
  <si>
    <t>Basic</t>
  </si>
  <si>
    <t>Gaming</t>
  </si>
  <si>
    <t>Reseller</t>
  </si>
  <si>
    <t>More gardens in Slovakia:</t>
  </si>
  <si>
    <t>https://tinyurl.com/SKgardens</t>
  </si>
  <si>
    <t>Deployers:</t>
  </si>
  <si>
    <t>Nothing to change here.</t>
  </si>
  <si>
    <t>Claims:</t>
  </si>
  <si>
    <t>Updated automaticaly.</t>
  </si>
  <si>
    <t>Reserved:</t>
  </si>
  <si>
    <t>Deployed:</t>
  </si>
  <si>
    <t>DEPLOYERS</t>
  </si>
  <si>
    <t>RESERVED</t>
  </si>
  <si>
    <t>CLAIMED</t>
  </si>
  <si>
    <t>https://www.munzee.com/m/</t>
  </si>
  <si>
    <t>Player</t>
  </si>
  <si>
    <t>Deploys</t>
  </si>
  <si>
    <t>Count</t>
  </si>
  <si>
    <t>Link to deploys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</si>
</sst>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%"/>
    <numFmt numFmtId="165" formatCode="#,##0.000000"/>
    <numFmt numFmtId="166" formatCode="#,##0.0000000"/>
    <numFmt numFmtId="167" formatCode="mmmd"/>
    <numFmt numFmtId="168" formatCode="d mmmm"/>
  </numFmts>
  <fonts count="45">
    <font>
      <sz val="10.0"/>
      <color rgb="FF000000"/>
      <name val="Arial"/>
      <scheme val="minor"/>
    </font>
    <font>
      <b/>
      <sz val="18.0"/>
      <color rgb="FFFFFFFF"/>
      <name val="Ubuntu"/>
    </font>
    <font>
      <b/>
      <sz val="16.0"/>
      <color rgb="FFFFFFFF"/>
      <name val="Ubuntu"/>
    </font>
    <font>
      <sz val="12.0"/>
      <color rgb="FFFFFFFF"/>
      <name val="Ubuntu"/>
    </font>
    <font>
      <b/>
      <sz val="12.0"/>
      <color rgb="FFFFFFFF"/>
      <name val="Ubuntu"/>
    </font>
    <font>
      <sz val="14.0"/>
      <color rgb="FFFFFFFF"/>
      <name val="Ubuntu"/>
    </font>
    <font>
      <b/>
      <sz val="12.0"/>
      <color rgb="FFFFFF00"/>
      <name val="Ubuntu"/>
    </font>
    <font>
      <b/>
      <u/>
      <sz val="12.0"/>
      <color rgb="FFFFFF00"/>
      <name val="Ubuntu"/>
    </font>
    <font>
      <sz val="11.0"/>
      <color rgb="FFFFFFFF"/>
      <name val="Ubuntu"/>
    </font>
    <font>
      <b/>
      <u/>
      <sz val="11.0"/>
      <color rgb="FFFFFFFF"/>
      <name val="Ubuntu"/>
    </font>
    <font>
      <sz val="10.0"/>
      <color rgb="FFFFFFFF"/>
      <name val="Ubuntu"/>
    </font>
    <font>
      <b/>
      <sz val="11.0"/>
      <color rgb="FFFFFFFF"/>
      <name val="Ubuntu"/>
    </font>
    <font>
      <sz val="12.0"/>
      <color theme="1"/>
      <name val="Ubuntu"/>
    </font>
    <font>
      <b/>
      <u/>
      <sz val="11.0"/>
      <color rgb="FFFFFFFF"/>
      <name val="Ubuntu"/>
    </font>
    <font>
      <sz val="11.0"/>
      <color rgb="FF000000"/>
      <name val="Ubuntu"/>
    </font>
    <font>
      <u/>
      <sz val="9.0"/>
      <color rgb="FFFFFFFF"/>
      <name val="Ubuntu"/>
    </font>
    <font>
      <sz val="11.0"/>
      <color rgb="FFFFFFFF"/>
      <name val="Arial"/>
      <scheme val="minor"/>
    </font>
    <font>
      <b/>
      <sz val="10.0"/>
      <color rgb="FFFFFFFF"/>
      <name val="Ubuntu"/>
    </font>
    <font>
      <b/>
      <sz val="11.0"/>
      <color rgb="FFFFFFFF"/>
      <name val="Arial"/>
    </font>
    <font/>
    <font>
      <sz val="9.0"/>
      <color theme="1"/>
      <name val="Ubuntu"/>
    </font>
    <font>
      <b/>
      <sz val="9.0"/>
      <color rgb="FF000000"/>
      <name val="Ubuntu"/>
    </font>
    <font>
      <u/>
      <sz val="9.0"/>
      <color rgb="FF000000"/>
      <name val="Ubuntu"/>
    </font>
    <font>
      <sz val="9.0"/>
      <color rgb="FF000000"/>
      <name val="Ubuntu"/>
    </font>
    <font>
      <sz val="11.0"/>
      <color rgb="FF000000"/>
      <name val="Inconsolata"/>
    </font>
    <font>
      <u/>
      <sz val="9.0"/>
      <color rgb="FF1155CC"/>
      <name val="Ubuntu"/>
    </font>
    <font>
      <u/>
      <sz val="9.0"/>
      <color rgb="FF0000FF"/>
      <name val="Ubuntu"/>
    </font>
    <font>
      <u/>
      <sz val="9.0"/>
      <color rgb="FF0000FF"/>
      <name val="Ubuntu"/>
    </font>
    <font>
      <b/>
      <sz val="16.0"/>
      <color rgb="FFFFFFFF"/>
      <name val="Roboto Mono"/>
    </font>
    <font>
      <sz val="16.0"/>
      <color rgb="FFFFFFFF"/>
      <name val="Roboto Mono"/>
    </font>
    <font>
      <sz val="12.0"/>
      <color theme="1"/>
      <name val="Roboto Mono"/>
    </font>
    <font>
      <sz val="10.0"/>
      <color theme="1"/>
      <name val="Roboto Mono"/>
    </font>
    <font>
      <b/>
      <sz val="10.0"/>
      <color theme="1"/>
      <name val="Roboto Mono"/>
    </font>
    <font>
      <b/>
      <sz val="10.0"/>
      <color rgb="FFFFFFFF"/>
      <name val="Roboto Mono"/>
    </font>
    <font>
      <sz val="10.0"/>
      <color rgb="FFFFFFFF"/>
      <name val="Roboto Mono"/>
    </font>
    <font>
      <color theme="1"/>
      <name val="Roboto Mono"/>
    </font>
    <font>
      <u/>
      <color rgb="FF1155CC"/>
      <name val="Roboto Mono"/>
    </font>
    <font>
      <color theme="1"/>
      <name val="Ubuntu"/>
    </font>
    <font>
      <b/>
      <color theme="1"/>
      <name val="Ubuntu"/>
    </font>
    <font>
      <color rgb="FFCC0000"/>
      <name val="Ubuntu"/>
    </font>
    <font>
      <b/>
      <color rgb="FFFFFFFF"/>
      <name val="Ubuntu"/>
    </font>
    <font>
      <u/>
      <color rgb="FFF3F3F3"/>
      <name val="Ubuntu"/>
    </font>
    <font>
      <u/>
      <color rgb="FF0000FF"/>
      <name val="Ubuntu"/>
    </font>
    <font>
      <color rgb="FF000000"/>
      <name val="Ubuntu"/>
    </font>
    <font>
      <u/>
      <color rgb="FF0000FF"/>
      <name val="Ubuntu"/>
    </font>
  </fonts>
  <fills count="20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990000"/>
        <bgColor rgb="FF990000"/>
      </patternFill>
    </fill>
    <fill>
      <patternFill patternType="solid">
        <fgColor rgb="FF000000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E06666"/>
        <bgColor rgb="FFE06666"/>
      </patternFill>
    </fill>
    <fill>
      <patternFill patternType="solid">
        <fgColor rgb="FF434343"/>
        <bgColor rgb="FF434343"/>
      </patternFill>
    </fill>
  </fills>
  <borders count="62">
    <border/>
    <border>
      <bottom style="double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uble">
        <color rgb="FF000000"/>
      </bottom>
    </border>
    <border>
      <left style="medium">
        <color rgb="FF000000"/>
      </left>
      <bottom style="thin">
        <color rgb="FF000000"/>
      </bottom>
    </border>
    <border>
      <left style="dotted">
        <color rgb="FFCC0000"/>
      </left>
      <right style="dotted">
        <color rgb="FFCC0000"/>
      </right>
      <bottom style="thin">
        <color rgb="FF000000"/>
      </bottom>
    </border>
    <border>
      <right style="dotted">
        <color rgb="FF666666"/>
      </right>
      <bottom style="thin">
        <color rgb="FF000000"/>
      </bottom>
    </border>
    <border>
      <left style="dotted">
        <color rgb="FF666666"/>
      </left>
      <right style="dotted">
        <color rgb="FF666666"/>
      </right>
      <bottom style="thin">
        <color rgb="FF000000"/>
      </bottom>
    </border>
    <border>
      <left style="dotted">
        <color rgb="FF666666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dotted">
        <color rgb="FF666666"/>
      </right>
      <bottom style="dotted">
        <color rgb="FF666666"/>
      </bottom>
    </border>
    <border>
      <left style="dotted">
        <color rgb="FF666666"/>
      </left>
      <right style="dotted">
        <color rgb="FF666666"/>
      </right>
      <bottom style="dotted">
        <color rgb="FF666666"/>
      </bottom>
    </border>
    <border>
      <left style="dotted">
        <color rgb="FF666666"/>
      </left>
      <right style="medium">
        <color rgb="FF000000"/>
      </right>
      <bottom style="dotted">
        <color rgb="FF666666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dotted">
        <color rgb="FF999999"/>
      </right>
      <top style="thin">
        <color rgb="FF000000"/>
      </top>
      <bottom style="thin">
        <color rgb="FF000000"/>
      </bottom>
    </border>
    <border>
      <left style="dotted">
        <color rgb="FF999999"/>
      </left>
      <right style="dotted">
        <color rgb="FF999999"/>
      </right>
      <top style="thin">
        <color rgb="FF000000"/>
      </top>
      <bottom style="thin">
        <color rgb="FF000000"/>
      </bottom>
    </border>
    <border>
      <left style="dotted">
        <color rgb="FF99999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999999"/>
      </right>
      <top style="dotted">
        <color rgb="FF999999"/>
      </top>
      <bottom style="dotted">
        <color rgb="FF999999"/>
      </bottom>
    </border>
    <border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thin">
        <color rgb="FF000000"/>
      </right>
      <top style="dotted">
        <color rgb="FF999999"/>
      </top>
      <bottom style="dotted">
        <color rgb="FF999999"/>
      </bottom>
    </border>
    <border>
      <left style="thin">
        <color rgb="FF000000"/>
      </left>
      <right style="dotted">
        <color rgb="FF666666"/>
      </right>
      <bottom style="dotted">
        <color rgb="FF666666"/>
      </bottom>
    </border>
    <border>
      <right style="dotted">
        <color rgb="FF999999"/>
      </right>
      <bottom style="dotted">
        <color rgb="FF999999"/>
      </bottom>
    </border>
    <border>
      <left style="dotted">
        <color rgb="FF999999"/>
      </left>
      <right style="dotted">
        <color rgb="FF999999"/>
      </right>
      <bottom style="dotted">
        <color rgb="FF999999"/>
      </bottom>
    </border>
    <border>
      <left style="dotted">
        <color rgb="FF999999"/>
      </left>
      <right style="thin">
        <color rgb="FF000000"/>
      </right>
      <bottom style="dotted">
        <color rgb="FF999999"/>
      </bottom>
    </border>
    <border>
      <left style="thin">
        <color rgb="FF000000"/>
      </left>
      <right style="dotted">
        <color rgb="FF666666"/>
      </right>
      <bottom style="thin">
        <color rgb="FF000000"/>
      </bottom>
    </border>
    <border>
      <right style="dotted">
        <color rgb="FF999999"/>
      </right>
      <bottom style="thin">
        <color rgb="FF000000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thin">
        <color rgb="FF000000"/>
      </bottom>
    </border>
    <border>
      <left style="dotted">
        <color rgb="FF999999"/>
      </left>
      <right style="thin">
        <color rgb="FF000000"/>
      </right>
      <top style="dotted">
        <color rgb="FF999999"/>
      </top>
      <bottom style="thin">
        <color rgb="FF000000"/>
      </bottom>
    </border>
    <border>
      <left style="thick">
        <color rgb="FF000000"/>
      </left>
      <right style="dotted">
        <color rgb="FF666666"/>
      </right>
      <bottom style="dotted">
        <color rgb="FF666666"/>
      </bottom>
    </border>
    <border>
      <left style="dotted">
        <color rgb="FF999999"/>
      </left>
      <right style="thick">
        <color rgb="FF000000"/>
      </right>
      <bottom style="dotted">
        <color rgb="FF999999"/>
      </bottom>
    </border>
    <border>
      <left style="dotted">
        <color rgb="FF999999"/>
      </left>
      <right style="thick">
        <color rgb="FF000000"/>
      </right>
      <top style="dotted">
        <color rgb="FF999999"/>
      </top>
      <bottom style="dotted">
        <color rgb="FF999999"/>
      </bottom>
    </border>
    <border>
      <left style="thick">
        <color rgb="FF000000"/>
      </left>
      <right style="dotted">
        <color rgb="FF666666"/>
      </right>
    </border>
    <border>
      <right style="dotted">
        <color rgb="FF999999"/>
      </right>
    </border>
    <border>
      <left style="thick">
        <color rgb="FF000000"/>
      </left>
      <right style="dotted">
        <color rgb="FF666666"/>
      </right>
      <bottom style="thick">
        <color rgb="FF000000"/>
      </bottom>
    </border>
    <border>
      <right style="dotted">
        <color rgb="FF999999"/>
      </right>
      <top style="dotted">
        <color rgb="FF999999"/>
      </top>
      <bottom style="thick">
        <color rgb="FF000000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thick">
        <color rgb="FF000000"/>
      </bottom>
    </border>
    <border>
      <left style="dotted">
        <color rgb="FF999999"/>
      </left>
      <right style="thick">
        <color rgb="FF000000"/>
      </right>
      <top style="dotted">
        <color rgb="FF999999"/>
      </top>
      <bottom style="thick">
        <color rgb="FF000000"/>
      </bottom>
    </border>
    <border>
      <left style="medium">
        <color rgb="FF000000"/>
      </left>
      <right style="dotted">
        <color rgb="FF999999"/>
      </right>
      <bottom style="dotted">
        <color rgb="FF999999"/>
      </bottom>
    </border>
    <border>
      <left style="dotted">
        <color rgb="FF999999"/>
      </left>
      <right style="medium">
        <color rgb="FF000000"/>
      </right>
      <bottom style="dotted">
        <color rgb="FF999999"/>
      </bottom>
    </border>
    <border>
      <left style="medium">
        <color rgb="FF000000"/>
      </left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medium">
        <color rgb="FF000000"/>
      </right>
      <top style="dotted">
        <color rgb="FF999999"/>
      </top>
      <bottom style="dotted">
        <color rgb="FF999999"/>
      </bottom>
    </border>
    <border>
      <left style="medium">
        <color rgb="FF000000"/>
      </left>
      <right style="dotted">
        <color rgb="FF999999"/>
      </right>
      <top style="dotted">
        <color rgb="FF999999"/>
      </top>
      <bottom style="medium">
        <color rgb="FF000000"/>
      </bottom>
    </border>
    <border>
      <right style="dotted">
        <color rgb="FF999999"/>
      </right>
      <top style="dotted">
        <color rgb="FF999999"/>
      </top>
      <bottom style="medium">
        <color rgb="FF000000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medium">
        <color rgb="FF000000"/>
      </bottom>
    </border>
    <border>
      <left style="dotted">
        <color rgb="FF999999"/>
      </left>
      <right style="medium">
        <color rgb="FF000000"/>
      </right>
      <top style="dotted">
        <color rgb="FF999999"/>
      </top>
      <bottom style="medium">
        <color rgb="FF000000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top style="dotted">
        <color rgb="FF666666"/>
      </top>
      <bottom style="dotted">
        <color rgb="FF666666"/>
      </bottom>
    </border>
    <border>
      <right style="dotted">
        <color rgb="FF666666"/>
      </right>
      <top style="dotted">
        <color rgb="FF666666"/>
      </top>
      <bottom style="dotted">
        <color rgb="FF666666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1" fillId="2" fontId="2" numFmtId="0" xfId="0" applyAlignment="1" applyBorder="1" applyFont="1">
      <alignment horizontal="left" readingOrder="0" shrinkToFit="0" vertical="center" wrapText="0"/>
    </xf>
    <xf borderId="1" fillId="2" fontId="3" numFmtId="0" xfId="0" applyAlignment="1" applyBorder="1" applyFont="1">
      <alignment horizontal="right" readingOrder="0" shrinkToFit="0" vertical="center" wrapText="0"/>
    </xf>
    <xf borderId="1" fillId="2" fontId="4" numFmtId="0" xfId="0" applyAlignment="1" applyBorder="1" applyFont="1">
      <alignment horizontal="left" readingOrder="0" shrinkToFit="0" vertical="center" wrapText="0"/>
    </xf>
    <xf borderId="1" fillId="2" fontId="5" numFmtId="0" xfId="0" applyAlignment="1" applyBorder="1" applyFont="1">
      <alignment horizontal="center" readingOrder="0" shrinkToFit="0" vertical="center" wrapText="0"/>
    </xf>
    <xf borderId="1" fillId="2" fontId="1" numFmtId="164" xfId="0" applyAlignment="1" applyBorder="1" applyFont="1" applyNumberFormat="1">
      <alignment horizontal="center" readingOrder="0" shrinkToFit="0" vertical="center" wrapText="0"/>
    </xf>
    <xf borderId="1" fillId="2" fontId="6" numFmtId="0" xfId="0" applyAlignment="1" applyBorder="1" applyFont="1">
      <alignment horizontal="right" readingOrder="0" shrinkToFit="0" vertical="center" wrapText="0"/>
    </xf>
    <xf borderId="1" fillId="2" fontId="7" numFmtId="0" xfId="0" applyAlignment="1" applyBorder="1" applyFont="1">
      <alignment horizontal="left" readingOrder="0" shrinkToFit="0" vertical="center" wrapText="0"/>
    </xf>
    <xf borderId="0" fillId="2" fontId="1" numFmtId="0" xfId="0" applyAlignment="1" applyFont="1">
      <alignment horizontal="center" readingOrder="0" shrinkToFit="0" vertical="center" wrapText="0"/>
    </xf>
    <xf borderId="1" fillId="2" fontId="5" numFmtId="0" xfId="0" applyAlignment="1" applyBorder="1" applyFont="1">
      <alignment horizontal="right" readingOrder="0" shrinkToFit="0" vertical="center" wrapText="0"/>
    </xf>
    <xf borderId="1" fillId="2" fontId="1" numFmtId="0" xfId="0" applyAlignment="1" applyBorder="1" applyFont="1">
      <alignment horizontal="center" readingOrder="0" shrinkToFit="0" vertical="center" wrapText="0"/>
    </xf>
    <xf borderId="0" fillId="3" fontId="8" numFmtId="0" xfId="0" applyAlignment="1" applyFill="1" applyFont="1">
      <alignment horizontal="right"/>
    </xf>
    <xf borderId="2" fillId="3" fontId="9" numFmtId="0" xfId="0" applyAlignment="1" applyBorder="1" applyFont="1">
      <alignment horizontal="left" readingOrder="0"/>
    </xf>
    <xf borderId="0" fillId="3" fontId="10" numFmtId="0" xfId="0" applyAlignment="1" applyFont="1">
      <alignment horizontal="right" readingOrder="0" vertical="center"/>
    </xf>
    <xf borderId="2" fillId="4" fontId="11" numFmtId="3" xfId="0" applyAlignment="1" applyBorder="1" applyFill="1" applyFont="1" applyNumberFormat="1">
      <alignment horizontal="center" vertical="center"/>
    </xf>
    <xf borderId="0" fillId="3" fontId="10" numFmtId="164" xfId="0" applyAlignment="1" applyFont="1" applyNumberFormat="1">
      <alignment horizontal="center" readingOrder="0" shrinkToFit="0" vertical="center" wrapText="1"/>
    </xf>
    <xf borderId="0" fillId="3" fontId="5" numFmtId="165" xfId="0" applyAlignment="1" applyFont="1" applyNumberFormat="1">
      <alignment horizontal="left" readingOrder="0" shrinkToFit="0" vertical="center" wrapText="1"/>
    </xf>
    <xf borderId="0" fillId="5" fontId="12" numFmtId="165" xfId="0" applyAlignment="1" applyFill="1" applyFont="1" applyNumberFormat="1">
      <alignment horizontal="left" readingOrder="0" shrinkToFit="0" vertical="center" wrapText="1"/>
    </xf>
    <xf borderId="3" fillId="3" fontId="13" numFmtId="0" xfId="0" applyAlignment="1" applyBorder="1" applyFont="1">
      <alignment horizontal="left" readingOrder="0"/>
    </xf>
    <xf borderId="3" fillId="6" fontId="14" numFmtId="3" xfId="0" applyAlignment="1" applyBorder="1" applyFill="1" applyFont="1" applyNumberFormat="1">
      <alignment horizontal="center" vertical="center"/>
    </xf>
    <xf borderId="3" fillId="3" fontId="15" numFmtId="0" xfId="0" applyAlignment="1" applyBorder="1" applyFont="1">
      <alignment horizontal="left"/>
    </xf>
    <xf borderId="3" fillId="2" fontId="16" numFmtId="3" xfId="0" applyAlignment="1" applyBorder="1" applyFont="1" applyNumberFormat="1">
      <alignment horizontal="center" vertical="center"/>
    </xf>
    <xf borderId="3" fillId="7" fontId="17" numFmtId="0" xfId="0" applyAlignment="1" applyBorder="1" applyFill="1" applyFont="1">
      <alignment horizontal="center" readingOrder="0" vertical="bottom"/>
    </xf>
    <xf borderId="0" fillId="3" fontId="8" numFmtId="0" xfId="0" applyAlignment="1" applyFont="1">
      <alignment horizontal="center" vertical="bottom"/>
    </xf>
    <xf borderId="3" fillId="8" fontId="8" numFmtId="3" xfId="0" applyAlignment="1" applyBorder="1" applyFill="1" applyFont="1" applyNumberFormat="1">
      <alignment horizontal="center" vertical="center"/>
    </xf>
    <xf borderId="1" fillId="3" fontId="8" numFmtId="0" xfId="0" applyAlignment="1" applyBorder="1" applyFont="1">
      <alignment horizontal="right"/>
    </xf>
    <xf borderId="4" fillId="7" fontId="17" numFmtId="0" xfId="0" applyAlignment="1" applyBorder="1" applyFont="1">
      <alignment horizontal="center" readingOrder="0" vertical="center"/>
    </xf>
    <xf borderId="1" fillId="3" fontId="8" numFmtId="0" xfId="0" applyAlignment="1" applyBorder="1" applyFont="1">
      <alignment horizontal="center" vertical="bottom"/>
    </xf>
    <xf borderId="1" fillId="3" fontId="10" numFmtId="0" xfId="0" applyAlignment="1" applyBorder="1" applyFont="1">
      <alignment horizontal="center" readingOrder="0" vertical="center"/>
    </xf>
    <xf borderId="4" fillId="9" fontId="18" numFmtId="3" xfId="0" applyAlignment="1" applyBorder="1" applyFill="1" applyFont="1" applyNumberFormat="1">
      <alignment horizontal="center" vertical="center"/>
    </xf>
    <xf borderId="1" fillId="3" fontId="10" numFmtId="164" xfId="0" applyAlignment="1" applyBorder="1" applyFont="1" applyNumberFormat="1">
      <alignment horizontal="center" readingOrder="0" shrinkToFit="0" vertical="center" wrapText="1"/>
    </xf>
    <xf borderId="1" fillId="0" fontId="19" numFmtId="0" xfId="0" applyBorder="1" applyFont="1"/>
    <xf borderId="1" fillId="5" fontId="12" numFmtId="165" xfId="0" applyAlignment="1" applyBorder="1" applyFont="1" applyNumberFormat="1">
      <alignment horizontal="left" readingOrder="0" shrinkToFit="0" vertical="center" wrapText="1"/>
    </xf>
    <xf borderId="5" fillId="9" fontId="11" numFmtId="0" xfId="0" applyAlignment="1" applyBorder="1" applyFont="1">
      <alignment horizontal="center" vertical="center"/>
    </xf>
    <xf borderId="6" fillId="2" fontId="11" numFmtId="0" xfId="0" applyAlignment="1" applyBorder="1" applyFont="1">
      <alignment horizontal="center" readingOrder="0" vertical="center"/>
    </xf>
    <xf borderId="7" fillId="9" fontId="11" numFmtId="0" xfId="0" applyAlignment="1" applyBorder="1" applyFont="1">
      <alignment horizontal="center" readingOrder="0" vertical="center"/>
    </xf>
    <xf borderId="8" fillId="9" fontId="11" numFmtId="0" xfId="0" applyAlignment="1" applyBorder="1" applyFont="1">
      <alignment horizontal="center" readingOrder="0" vertical="center"/>
    </xf>
    <xf borderId="8" fillId="9" fontId="11" numFmtId="165" xfId="0" applyAlignment="1" applyBorder="1" applyFont="1" applyNumberFormat="1">
      <alignment horizontal="center" vertical="center"/>
    </xf>
    <xf borderId="8" fillId="9" fontId="11" numFmtId="0" xfId="0" applyAlignment="1" applyBorder="1" applyFont="1">
      <alignment horizontal="center" vertical="center"/>
    </xf>
    <xf borderId="8" fillId="2" fontId="17" numFmtId="0" xfId="0" applyAlignment="1" applyBorder="1" applyFont="1">
      <alignment horizontal="center" readingOrder="0" vertical="center"/>
    </xf>
    <xf borderId="8" fillId="2" fontId="11" numFmtId="0" xfId="0" applyAlignment="1" applyBorder="1" applyFont="1">
      <alignment horizontal="center" vertical="center"/>
    </xf>
    <xf borderId="8" fillId="9" fontId="11" numFmtId="0" xfId="0" applyAlignment="1" applyBorder="1" applyFont="1">
      <alignment horizontal="center" vertical="center"/>
    </xf>
    <xf borderId="8" fillId="4" fontId="11" numFmtId="0" xfId="0" applyAlignment="1" applyBorder="1" applyFont="1">
      <alignment horizontal="center" vertical="center"/>
    </xf>
    <xf borderId="8" fillId="10" fontId="11" numFmtId="0" xfId="0" applyAlignment="1" applyBorder="1" applyFill="1" applyFont="1">
      <alignment horizontal="center" vertical="center"/>
    </xf>
    <xf borderId="8" fillId="11" fontId="11" numFmtId="0" xfId="0" applyAlignment="1" applyBorder="1" applyFill="1" applyFont="1">
      <alignment horizontal="center" readingOrder="0" vertical="center"/>
    </xf>
    <xf borderId="8" fillId="12" fontId="11" numFmtId="0" xfId="0" applyAlignment="1" applyBorder="1" applyFill="1" applyFont="1">
      <alignment horizontal="center" vertical="center"/>
    </xf>
    <xf borderId="9" fillId="9" fontId="11" numFmtId="0" xfId="0" applyAlignment="1" applyBorder="1" applyFont="1">
      <alignment horizontal="center" vertical="center"/>
    </xf>
    <xf borderId="0" fillId="9" fontId="11" numFmtId="0" xfId="0" applyAlignment="1" applyFont="1">
      <alignment horizontal="center" vertical="center"/>
    </xf>
    <xf borderId="0" fillId="9" fontId="11" numFmtId="0" xfId="0" applyAlignment="1" applyFont="1">
      <alignment horizontal="center" readingOrder="0" vertical="center"/>
    </xf>
    <xf borderId="10" fillId="13" fontId="20" numFmtId="0" xfId="0" applyAlignment="1" applyBorder="1" applyFill="1" applyFont="1">
      <alignment horizontal="right" readingOrder="0" vertical="bottom"/>
    </xf>
    <xf borderId="11" fillId="13" fontId="20" numFmtId="0" xfId="0" applyAlignment="1" applyBorder="1" applyFont="1">
      <alignment readingOrder="0" vertical="bottom"/>
    </xf>
    <xf borderId="11" fillId="13" fontId="20" numFmtId="0" xfId="0" applyAlignment="1" applyBorder="1" applyFont="1">
      <alignment horizontal="center" readingOrder="0" vertical="bottom"/>
    </xf>
    <xf borderId="11" fillId="13" fontId="20" numFmtId="166" xfId="0" applyAlignment="1" applyBorder="1" applyFont="1" applyNumberFormat="1">
      <alignment horizontal="center" readingOrder="0" vertical="bottom"/>
    </xf>
    <xf borderId="11" fillId="14" fontId="20" numFmtId="0" xfId="0" applyAlignment="1" applyBorder="1" applyFill="1" applyFont="1">
      <alignment readingOrder="0" vertical="bottom"/>
    </xf>
    <xf borderId="11" fillId="13" fontId="21" numFmtId="0" xfId="0" applyAlignment="1" applyBorder="1" applyFont="1">
      <alignment readingOrder="0" vertical="bottom"/>
    </xf>
    <xf borderId="11" fillId="15" fontId="22" numFmtId="0" xfId="0" applyAlignment="1" applyBorder="1" applyFill="1" applyFont="1">
      <alignment readingOrder="0" vertical="bottom"/>
    </xf>
    <xf borderId="11" fillId="15" fontId="23" numFmtId="0" xfId="0" applyAlignment="1" applyBorder="1" applyFont="1">
      <alignment horizontal="center" readingOrder="0" vertical="bottom"/>
    </xf>
    <xf borderId="11" fillId="13" fontId="20" numFmtId="0" xfId="0" applyAlignment="1" applyBorder="1" applyFont="1">
      <alignment readingOrder="0"/>
    </xf>
    <xf borderId="11" fillId="13" fontId="20" numFmtId="0" xfId="0" applyAlignment="1" applyBorder="1" applyFont="1">
      <alignment horizontal="center" vertical="bottom"/>
    </xf>
    <xf borderId="11" fillId="13" fontId="20" numFmtId="0" xfId="0" applyAlignment="1" applyBorder="1" applyFont="1">
      <alignment vertical="bottom"/>
    </xf>
    <xf borderId="12" fillId="13" fontId="20" numFmtId="0" xfId="0" applyAlignment="1" applyBorder="1" applyFont="1">
      <alignment vertical="bottom"/>
    </xf>
    <xf borderId="0" fillId="14" fontId="20" numFmtId="0" xfId="0" applyAlignment="1" applyFont="1">
      <alignment vertical="bottom"/>
    </xf>
    <xf borderId="0" fillId="15" fontId="24" numFmtId="0" xfId="0" applyFont="1"/>
    <xf borderId="0" fillId="0" fontId="20" numFmtId="0" xfId="0" applyAlignment="1" applyFont="1">
      <alignment vertical="bottom"/>
    </xf>
    <xf borderId="0" fillId="14" fontId="20" numFmtId="0" xfId="0" applyAlignment="1" applyFont="1">
      <alignment vertical="bottom"/>
    </xf>
    <xf borderId="11" fillId="15" fontId="21" numFmtId="0" xfId="0" applyAlignment="1" applyBorder="1" applyFont="1">
      <alignment horizontal="center" readingOrder="0" vertical="bottom"/>
    </xf>
    <xf borderId="11" fillId="15" fontId="25" numFmtId="0" xfId="0" applyAlignment="1" applyBorder="1" applyFont="1">
      <alignment readingOrder="0" vertical="bottom"/>
    </xf>
    <xf borderId="11" fillId="15" fontId="26" numFmtId="0" xfId="0" applyAlignment="1" applyBorder="1" applyFont="1">
      <alignment readingOrder="0" vertical="bottom"/>
    </xf>
    <xf borderId="11" fillId="13" fontId="27" numFmtId="0" xfId="0" applyAlignment="1" applyBorder="1" applyFont="1">
      <alignment vertical="bottom"/>
    </xf>
    <xf borderId="11" fillId="15" fontId="23" numFmtId="167" xfId="0" applyAlignment="1" applyBorder="1" applyFont="1" applyNumberFormat="1">
      <alignment horizontal="center" readingOrder="0" vertical="bottom"/>
    </xf>
    <xf borderId="10" fillId="16" fontId="20" numFmtId="0" xfId="0" applyAlignment="1" applyBorder="1" applyFill="1" applyFont="1">
      <alignment horizontal="right" readingOrder="0" vertical="bottom"/>
    </xf>
    <xf borderId="11" fillId="16" fontId="20" numFmtId="0" xfId="0" applyAlignment="1" applyBorder="1" applyFont="1">
      <alignment readingOrder="0" vertical="bottom"/>
    </xf>
    <xf borderId="11" fillId="16" fontId="20" numFmtId="0" xfId="0" applyAlignment="1" applyBorder="1" applyFont="1">
      <alignment horizontal="center" readingOrder="0" vertical="bottom"/>
    </xf>
    <xf borderId="11" fillId="16" fontId="20" numFmtId="166" xfId="0" applyAlignment="1" applyBorder="1" applyFont="1" applyNumberFormat="1">
      <alignment horizontal="center" readingOrder="0" vertical="bottom"/>
    </xf>
    <xf borderId="11" fillId="16" fontId="21" numFmtId="0" xfId="0" applyAlignment="1" applyBorder="1" applyFont="1">
      <alignment readingOrder="0" vertical="bottom"/>
    </xf>
    <xf borderId="11" fillId="16" fontId="23" numFmtId="0" xfId="0" applyAlignment="1" applyBorder="1" applyFont="1">
      <alignment horizontal="center" readingOrder="0" vertical="bottom"/>
    </xf>
    <xf borderId="11" fillId="16" fontId="20" numFmtId="0" xfId="0" applyAlignment="1" applyBorder="1" applyFont="1">
      <alignment readingOrder="0"/>
    </xf>
    <xf borderId="11" fillId="16" fontId="20" numFmtId="0" xfId="0" applyAlignment="1" applyBorder="1" applyFont="1">
      <alignment horizontal="center" vertical="bottom"/>
    </xf>
    <xf borderId="11" fillId="16" fontId="20" numFmtId="0" xfId="0" applyAlignment="1" applyBorder="1" applyFont="1">
      <alignment vertical="bottom"/>
    </xf>
    <xf borderId="12" fillId="16" fontId="20" numFmtId="0" xfId="0" applyAlignment="1" applyBorder="1" applyFont="1">
      <alignment vertical="bottom"/>
    </xf>
    <xf borderId="0" fillId="16" fontId="20" numFmtId="0" xfId="0" applyAlignment="1" applyFont="1">
      <alignment vertical="bottom"/>
    </xf>
    <xf borderId="0" fillId="16" fontId="20" numFmtId="0" xfId="0" applyAlignment="1" applyFont="1">
      <alignment vertical="bottom"/>
    </xf>
    <xf borderId="0" fillId="16" fontId="24" numFmtId="0" xfId="0" applyFont="1"/>
    <xf borderId="11" fillId="15" fontId="23" numFmtId="168" xfId="0" applyAlignment="1" applyBorder="1" applyFont="1" applyNumberFormat="1">
      <alignment horizontal="center" readingOrder="0" vertical="bottom"/>
    </xf>
    <xf borderId="13" fillId="2" fontId="28" numFmtId="0" xfId="0" applyAlignment="1" applyBorder="1" applyFont="1">
      <alignment horizontal="left" readingOrder="0" shrinkToFit="0" vertical="center" wrapText="0"/>
    </xf>
    <xf borderId="13" fillId="2" fontId="28" numFmtId="0" xfId="0" applyAlignment="1" applyBorder="1" applyFont="1">
      <alignment horizontal="center" readingOrder="0" shrinkToFit="0" vertical="center" wrapText="0"/>
    </xf>
    <xf borderId="13" fillId="2" fontId="28" numFmtId="4" xfId="0" applyAlignment="1" applyBorder="1" applyFont="1" applyNumberFormat="1">
      <alignment horizontal="center" readingOrder="0" shrinkToFit="0" vertical="center" wrapText="0"/>
    </xf>
    <xf borderId="13" fillId="2" fontId="29" numFmtId="0" xfId="0" applyBorder="1" applyFont="1"/>
    <xf borderId="0" fillId="17" fontId="30" numFmtId="0" xfId="0" applyFill="1" applyFont="1"/>
    <xf borderId="0" fillId="17" fontId="30" numFmtId="4" xfId="0" applyFont="1" applyNumberFormat="1"/>
    <xf borderId="0" fillId="17" fontId="30" numFmtId="0" xfId="0" applyAlignment="1" applyFont="1">
      <alignment readingOrder="0"/>
    </xf>
    <xf borderId="0" fillId="17" fontId="31" numFmtId="0" xfId="0" applyFont="1"/>
    <xf borderId="0" fillId="17" fontId="31" numFmtId="4" xfId="0" applyFont="1" applyNumberFormat="1"/>
    <xf borderId="0" fillId="17" fontId="32" numFmtId="0" xfId="0" applyAlignment="1" applyFont="1">
      <alignment horizontal="center"/>
    </xf>
    <xf borderId="14" fillId="9" fontId="33" numFmtId="0" xfId="0" applyAlignment="1" applyBorder="1" applyFont="1">
      <alignment readingOrder="0"/>
    </xf>
    <xf borderId="15" fillId="0" fontId="19" numFmtId="0" xfId="0" applyBorder="1" applyFont="1"/>
    <xf borderId="16" fillId="9" fontId="33" numFmtId="0" xfId="0" applyAlignment="1" applyBorder="1" applyFont="1">
      <alignment horizontal="center" readingOrder="0" vertical="center"/>
    </xf>
    <xf borderId="16" fillId="8" fontId="33" numFmtId="0" xfId="0" applyAlignment="1" applyBorder="1" applyFont="1">
      <alignment horizontal="center" readingOrder="0" vertical="center"/>
    </xf>
    <xf borderId="16" fillId="2" fontId="33" numFmtId="0" xfId="0" applyAlignment="1" applyBorder="1" applyFont="1">
      <alignment horizontal="center" readingOrder="0" vertical="center"/>
    </xf>
    <xf borderId="16" fillId="18" fontId="33" numFmtId="0" xfId="0" applyAlignment="1" applyBorder="1" applyFill="1" applyFont="1">
      <alignment horizontal="center" readingOrder="0" vertical="center"/>
    </xf>
    <xf borderId="16" fillId="3" fontId="33" numFmtId="0" xfId="0" applyAlignment="1" applyBorder="1" applyFont="1">
      <alignment horizontal="center" readingOrder="0" vertical="center"/>
    </xf>
    <xf borderId="17" fillId="9" fontId="33" numFmtId="4" xfId="0" applyAlignment="1" applyBorder="1" applyFont="1" applyNumberFormat="1">
      <alignment horizontal="center" readingOrder="0" vertical="center"/>
    </xf>
    <xf borderId="0" fillId="17" fontId="32" numFmtId="0" xfId="0" applyFont="1"/>
    <xf borderId="0" fillId="17" fontId="32" numFmtId="0" xfId="0" applyAlignment="1" applyFont="1">
      <alignment readingOrder="0"/>
    </xf>
    <xf borderId="18" fillId="19" fontId="34" numFmtId="0" xfId="0" applyAlignment="1" applyBorder="1" applyFill="1" applyFont="1">
      <alignment readingOrder="0"/>
    </xf>
    <xf borderId="19" fillId="19" fontId="34" numFmtId="0" xfId="0" applyAlignment="1" applyBorder="1" applyFont="1">
      <alignment horizontal="center" readingOrder="0" vertical="center"/>
    </xf>
    <xf borderId="20" fillId="19" fontId="34" numFmtId="0" xfId="0" applyAlignment="1" applyBorder="1" applyFont="1">
      <alignment horizontal="center" vertical="center"/>
    </xf>
    <xf borderId="20" fillId="19" fontId="33" numFmtId="0" xfId="0" applyAlignment="1" applyBorder="1" applyFont="1">
      <alignment horizontal="center" vertical="center"/>
    </xf>
    <xf borderId="21" fillId="19" fontId="34" numFmtId="164" xfId="0" applyAlignment="1" applyBorder="1" applyFont="1" applyNumberFormat="1">
      <alignment horizontal="center" vertical="center"/>
    </xf>
    <xf borderId="0" fillId="17" fontId="31" numFmtId="0" xfId="0" applyAlignment="1" applyFont="1">
      <alignment readingOrder="0"/>
    </xf>
    <xf borderId="22" fillId="14" fontId="31" numFmtId="0" xfId="0" applyAlignment="1" applyBorder="1" applyFont="1">
      <alignment readingOrder="0" vertical="bottom"/>
    </xf>
    <xf borderId="23" fillId="17" fontId="31" numFmtId="0" xfId="0" applyAlignment="1" applyBorder="1" applyFont="1">
      <alignment horizontal="center" readingOrder="0" vertical="center"/>
    </xf>
    <xf borderId="24" fillId="17" fontId="31" numFmtId="0" xfId="0" applyAlignment="1" applyBorder="1" applyFont="1">
      <alignment horizontal="center" vertical="center"/>
    </xf>
    <xf borderId="24" fillId="17" fontId="32" numFmtId="0" xfId="0" applyAlignment="1" applyBorder="1" applyFont="1">
      <alignment horizontal="center" vertical="center"/>
    </xf>
    <xf borderId="25" fillId="17" fontId="31" numFmtId="164" xfId="0" applyAlignment="1" applyBorder="1" applyFont="1" applyNumberFormat="1">
      <alignment horizontal="center" vertical="center"/>
    </xf>
    <xf borderId="20" fillId="17" fontId="31" numFmtId="0" xfId="0" applyAlignment="1" applyBorder="1" applyFont="1">
      <alignment horizontal="center" vertical="center"/>
    </xf>
    <xf borderId="20" fillId="17" fontId="32" numFmtId="0" xfId="0" applyAlignment="1" applyBorder="1" applyFont="1">
      <alignment horizontal="center" vertical="center"/>
    </xf>
    <xf borderId="21" fillId="17" fontId="31" numFmtId="164" xfId="0" applyAlignment="1" applyBorder="1" applyFont="1" applyNumberFormat="1">
      <alignment horizontal="center" vertical="center"/>
    </xf>
    <xf borderId="26" fillId="14" fontId="31" numFmtId="0" xfId="0" applyAlignment="1" applyBorder="1" applyFont="1">
      <alignment readingOrder="0" vertical="bottom"/>
    </xf>
    <xf borderId="27" fillId="17" fontId="31" numFmtId="0" xfId="0" applyAlignment="1" applyBorder="1" applyFont="1">
      <alignment horizontal="center" readingOrder="0" vertical="center"/>
    </xf>
    <xf borderId="28" fillId="17" fontId="31" numFmtId="0" xfId="0" applyAlignment="1" applyBorder="1" applyFont="1">
      <alignment horizontal="center" vertical="center"/>
    </xf>
    <xf borderId="28" fillId="17" fontId="32" numFmtId="0" xfId="0" applyAlignment="1" applyBorder="1" applyFont="1">
      <alignment horizontal="center" vertical="center"/>
    </xf>
    <xf borderId="29" fillId="17" fontId="31" numFmtId="164" xfId="0" applyAlignment="1" applyBorder="1" applyFont="1" applyNumberFormat="1">
      <alignment horizontal="center" vertical="center"/>
    </xf>
    <xf borderId="30" fillId="14" fontId="31" numFmtId="0" xfId="0" applyAlignment="1" applyBorder="1" applyFont="1">
      <alignment readingOrder="0" vertical="bottom"/>
    </xf>
    <xf borderId="31" fillId="17" fontId="31" numFmtId="164" xfId="0" applyAlignment="1" applyBorder="1" applyFont="1" applyNumberFormat="1">
      <alignment horizontal="center" vertical="center"/>
    </xf>
    <xf borderId="32" fillId="17" fontId="31" numFmtId="164" xfId="0" applyAlignment="1" applyBorder="1" applyFont="1" applyNumberFormat="1">
      <alignment horizontal="center" vertical="center"/>
    </xf>
    <xf borderId="33" fillId="14" fontId="31" numFmtId="0" xfId="0" applyAlignment="1" applyBorder="1" applyFont="1">
      <alignment readingOrder="0" vertical="bottom"/>
    </xf>
    <xf borderId="34" fillId="17" fontId="31" numFmtId="0" xfId="0" applyAlignment="1" applyBorder="1" applyFont="1">
      <alignment horizontal="center" readingOrder="0" vertical="center"/>
    </xf>
    <xf borderId="35" fillId="14" fontId="31" numFmtId="0" xfId="0" applyAlignment="1" applyBorder="1" applyFont="1">
      <alignment readingOrder="0" vertical="bottom"/>
    </xf>
    <xf borderId="36" fillId="17" fontId="31" numFmtId="0" xfId="0" applyAlignment="1" applyBorder="1" applyFont="1">
      <alignment horizontal="center" readingOrder="0" vertical="center"/>
    </xf>
    <xf borderId="37" fillId="17" fontId="31" numFmtId="0" xfId="0" applyAlignment="1" applyBorder="1" applyFont="1">
      <alignment horizontal="center" vertical="center"/>
    </xf>
    <xf borderId="37" fillId="17" fontId="32" numFmtId="0" xfId="0" applyAlignment="1" applyBorder="1" applyFont="1">
      <alignment horizontal="center" vertical="center"/>
    </xf>
    <xf borderId="38" fillId="17" fontId="31" numFmtId="164" xfId="0" applyAlignment="1" applyBorder="1" applyFont="1" applyNumberFormat="1">
      <alignment horizontal="center" vertical="center"/>
    </xf>
    <xf borderId="39" fillId="17" fontId="31" numFmtId="0" xfId="0" applyAlignment="1" applyBorder="1" applyFont="1">
      <alignment readingOrder="0"/>
    </xf>
    <xf borderId="40" fillId="17" fontId="31" numFmtId="164" xfId="0" applyAlignment="1" applyBorder="1" applyFont="1" applyNumberFormat="1">
      <alignment horizontal="center" vertical="center"/>
    </xf>
    <xf borderId="41" fillId="17" fontId="31" numFmtId="0" xfId="0" applyAlignment="1" applyBorder="1" applyFont="1">
      <alignment readingOrder="0"/>
    </xf>
    <xf borderId="19" fillId="17" fontId="31" numFmtId="0" xfId="0" applyAlignment="1" applyBorder="1" applyFont="1">
      <alignment horizontal="center" readingOrder="0" vertical="center"/>
    </xf>
    <xf borderId="42" fillId="17" fontId="31" numFmtId="164" xfId="0" applyAlignment="1" applyBorder="1" applyFont="1" applyNumberFormat="1">
      <alignment horizontal="center" vertical="center"/>
    </xf>
    <xf borderId="41" fillId="17" fontId="31" numFmtId="0" xfId="0" applyAlignment="1" applyBorder="1" applyFont="1">
      <alignment readingOrder="0"/>
    </xf>
    <xf borderId="43" fillId="17" fontId="31" numFmtId="0" xfId="0" applyAlignment="1" applyBorder="1" applyFont="1">
      <alignment readingOrder="0"/>
    </xf>
    <xf borderId="44" fillId="17" fontId="31" numFmtId="0" xfId="0" applyAlignment="1" applyBorder="1" applyFont="1">
      <alignment horizontal="center" readingOrder="0" vertical="center"/>
    </xf>
    <xf borderId="45" fillId="17" fontId="31" numFmtId="0" xfId="0" applyAlignment="1" applyBorder="1" applyFont="1">
      <alignment horizontal="center" vertical="center"/>
    </xf>
    <xf borderId="45" fillId="17" fontId="32" numFmtId="0" xfId="0" applyAlignment="1" applyBorder="1" applyFont="1">
      <alignment horizontal="center" vertical="center"/>
    </xf>
    <xf borderId="46" fillId="17" fontId="31" numFmtId="164" xfId="0" applyAlignment="1" applyBorder="1" applyFont="1" applyNumberFormat="1">
      <alignment horizontal="center" vertical="center"/>
    </xf>
    <xf borderId="0" fillId="17" fontId="35" numFmtId="0" xfId="0" applyAlignment="1" applyFont="1">
      <alignment readingOrder="0"/>
    </xf>
    <xf borderId="0" fillId="17" fontId="35" numFmtId="0" xfId="0" applyAlignment="1" applyFont="1">
      <alignment readingOrder="0"/>
    </xf>
    <xf borderId="0" fillId="17" fontId="36" numFmtId="0" xfId="0" applyAlignment="1" applyFont="1">
      <alignment readingOrder="0"/>
    </xf>
    <xf borderId="0" fillId="17" fontId="30" numFmtId="0" xfId="0" applyAlignment="1" applyFont="1">
      <alignment readingOrder="0"/>
    </xf>
    <xf borderId="0" fillId="14" fontId="37" numFmtId="0" xfId="0" applyAlignment="1" applyFont="1">
      <alignment vertical="center"/>
    </xf>
    <xf borderId="47" fillId="17" fontId="38" numFmtId="0" xfId="0" applyAlignment="1" applyBorder="1" applyFont="1">
      <alignment horizontal="right" vertical="center"/>
    </xf>
    <xf borderId="47" fillId="17" fontId="38" numFmtId="0" xfId="0" applyAlignment="1" applyBorder="1" applyFont="1">
      <alignment horizontal="center" vertical="center"/>
    </xf>
    <xf borderId="47" fillId="14" fontId="37" numFmtId="0" xfId="0" applyAlignment="1" applyBorder="1" applyFont="1">
      <alignment horizontal="center" vertical="center"/>
    </xf>
    <xf borderId="47" fillId="0" fontId="39" numFmtId="0" xfId="0" applyAlignment="1" applyBorder="1" applyFont="1">
      <alignment readingOrder="0" shrinkToFit="0" vertical="center" wrapText="0"/>
    </xf>
    <xf borderId="47" fillId="0" fontId="39" numFmtId="0" xfId="0" applyAlignment="1" applyBorder="1" applyFont="1">
      <alignment vertical="center"/>
    </xf>
    <xf borderId="48" fillId="0" fontId="39" numFmtId="0" xfId="0" applyAlignment="1" applyBorder="1" applyFont="1">
      <alignment readingOrder="0" vertical="center"/>
    </xf>
    <xf borderId="49" fillId="0" fontId="19" numFmtId="0" xfId="0" applyBorder="1" applyFont="1"/>
    <xf borderId="50" fillId="14" fontId="37" numFmtId="0" xfId="0" applyAlignment="1" applyBorder="1" applyFont="1">
      <alignment vertical="center"/>
    </xf>
    <xf borderId="51" fillId="14" fontId="37" numFmtId="0" xfId="0" applyAlignment="1" applyBorder="1" applyFont="1">
      <alignment vertical="center"/>
    </xf>
    <xf borderId="52" fillId="14" fontId="37" numFmtId="0" xfId="0" applyAlignment="1" applyBorder="1" applyFont="1">
      <alignment vertical="center"/>
    </xf>
    <xf borderId="0" fillId="11" fontId="40" numFmtId="0" xfId="0" applyAlignment="1" applyFont="1">
      <alignment horizontal="center" vertical="center"/>
    </xf>
    <xf borderId="52" fillId="0" fontId="19" numFmtId="0" xfId="0" applyBorder="1" applyFont="1"/>
    <xf borderId="50" fillId="0" fontId="19" numFmtId="0" xfId="0" applyBorder="1" applyFont="1"/>
    <xf borderId="53" fillId="0" fontId="19" numFmtId="0" xfId="0" applyBorder="1" applyFont="1"/>
    <xf borderId="52" fillId="14" fontId="41" numFmtId="0" xfId="0" applyAlignment="1" applyBorder="1" applyFont="1">
      <alignment readingOrder="0" vertical="center"/>
    </xf>
    <xf borderId="54" fillId="11" fontId="40" numFmtId="0" xfId="0" applyAlignment="1" applyBorder="1" applyFont="1">
      <alignment vertical="center"/>
    </xf>
    <xf borderId="53" fillId="11" fontId="40" numFmtId="0" xfId="0" applyAlignment="1" applyBorder="1" applyFont="1">
      <alignment vertical="center"/>
    </xf>
    <xf borderId="53" fillId="11" fontId="40" numFmtId="0" xfId="0" applyAlignment="1" applyBorder="1" applyFont="1">
      <alignment horizontal="center" vertical="center"/>
    </xf>
    <xf borderId="50" fillId="11" fontId="40" numFmtId="0" xfId="0" applyAlignment="1" applyBorder="1" applyFont="1">
      <alignment horizontal="center" readingOrder="0" vertical="center"/>
    </xf>
    <xf borderId="55" fillId="11" fontId="40" numFmtId="0" xfId="0" applyAlignment="1" applyBorder="1" applyFont="1">
      <alignment horizontal="center" vertical="center"/>
    </xf>
    <xf borderId="53" fillId="11" fontId="40" numFmtId="0" xfId="0" applyAlignment="1" applyBorder="1" applyFont="1">
      <alignment horizontal="center" readingOrder="0" vertical="center"/>
    </xf>
    <xf borderId="56" fillId="0" fontId="37" numFmtId="0" xfId="0" applyAlignment="1" applyBorder="1" applyFont="1">
      <alignment horizontal="right" vertical="center"/>
    </xf>
    <xf borderId="57" fillId="0" fontId="37" numFmtId="0" xfId="0" applyAlignment="1" applyBorder="1" applyFont="1">
      <alignment vertical="center"/>
    </xf>
    <xf borderId="57" fillId="0" fontId="37" numFmtId="0" xfId="0" applyAlignment="1" applyBorder="1" applyFont="1">
      <alignment horizontal="center" vertical="center"/>
    </xf>
    <xf borderId="57" fillId="0" fontId="37" numFmtId="0" xfId="0" applyAlignment="1" applyBorder="1" applyFont="1">
      <alignment horizontal="left" vertical="center"/>
    </xf>
    <xf borderId="58" fillId="0" fontId="37" numFmtId="0" xfId="0" applyAlignment="1" applyBorder="1" applyFont="1">
      <alignment horizontal="center" vertical="center"/>
    </xf>
    <xf borderId="56" fillId="0" fontId="37" numFmtId="0" xfId="0" applyAlignment="1" applyBorder="1" applyFont="1">
      <alignment horizontal="left" vertical="center"/>
    </xf>
    <xf borderId="59" fillId="0" fontId="37" numFmtId="0" xfId="0" applyAlignment="1" applyBorder="1" applyFont="1">
      <alignment horizontal="center" vertical="center"/>
    </xf>
    <xf borderId="58" fillId="0" fontId="42" numFmtId="0" xfId="0" applyAlignment="1" applyBorder="1" applyFont="1">
      <alignment horizontal="center" vertical="center"/>
    </xf>
    <xf borderId="57" fillId="15" fontId="43" numFmtId="0" xfId="0" applyAlignment="1" applyBorder="1" applyFont="1">
      <alignment vertical="center"/>
    </xf>
    <xf borderId="59" fillId="0" fontId="44" numFmtId="0" xfId="0" applyAlignment="1" applyBorder="1" applyFont="1">
      <alignment horizontal="center" vertical="center"/>
    </xf>
    <xf borderId="56" fillId="0" fontId="37" numFmtId="0" xfId="0" applyAlignment="1" applyBorder="1" applyFont="1">
      <alignment vertical="center"/>
    </xf>
    <xf borderId="60" fillId="0" fontId="37" numFmtId="0" xfId="0" applyAlignment="1" applyBorder="1" applyFont="1">
      <alignment vertical="center"/>
    </xf>
    <xf borderId="61" fillId="0" fontId="37" numFmtId="0" xfId="0" applyAlignment="1" applyBorder="1" applyFont="1">
      <alignment vertical="center"/>
    </xf>
    <xf borderId="61" fillId="0" fontId="37" numFmtId="0" xfId="0" applyAlignment="1" applyBorder="1" applyFont="1">
      <alignment horizontal="left" vertical="center"/>
    </xf>
    <xf borderId="53" fillId="0" fontId="37" numFmtId="0" xfId="0" applyAlignment="1" applyBorder="1" applyFont="1">
      <alignment horizontal="center" vertical="center"/>
    </xf>
    <xf borderId="50" fillId="0" fontId="37" numFmtId="0" xfId="0" applyAlignment="1" applyBorder="1" applyFont="1">
      <alignment vertical="center"/>
    </xf>
    <xf borderId="53" fillId="0" fontId="37" numFmtId="0" xfId="0" applyAlignment="1" applyBorder="1" applyFont="1">
      <alignment vertical="center"/>
    </xf>
    <xf borderId="0" fillId="0" fontId="37" numFmtId="0" xfId="0" applyAlignment="1" applyFont="1">
      <alignment vertical="center"/>
    </xf>
    <xf borderId="0" fillId="0" fontId="37" numFmtId="0" xfId="0" applyAlignment="1" applyFont="1">
      <alignment horizontal="center" vertical="center"/>
    </xf>
    <xf borderId="0" fillId="0" fontId="37" numFmtId="0" xfId="0" applyAlignment="1" applyFont="1">
      <alignment horizontal="left" vertical="center"/>
    </xf>
  </cellXfs>
  <cellStyles count="1">
    <cellStyle xfId="0" name="Normal" builtinId="0"/>
  </cellStyles>
  <dxfs count="47">
    <dxf>
      <font>
        <b/>
        <color rgb="FFFFFFFF"/>
      </font>
      <fill>
        <patternFill patternType="solid">
          <fgColor rgb="FF073763"/>
          <bgColor rgb="FF073763"/>
        </patternFill>
      </fill>
      <border/>
    </dxf>
    <dxf>
      <font>
        <b/>
        <color rgb="FFFFFFFF"/>
      </font>
      <fill>
        <patternFill patternType="solid">
          <fgColor rgb="FF274E13"/>
          <bgColor rgb="FF274E13"/>
        </patternFill>
      </fill>
      <border/>
    </dxf>
    <dxf>
      <font>
        <b/>
        <color theme="0"/>
      </font>
      <fill>
        <patternFill patternType="solid">
          <fgColor rgb="FFFF9900"/>
          <bgColor rgb="FFFF9900"/>
        </patternFill>
      </fill>
      <border/>
    </dxf>
    <dxf>
      <font>
        <b/>
        <color rgb="FFF3F3F3"/>
      </font>
      <fill>
        <patternFill patternType="solid">
          <fgColor rgb="FF000000"/>
          <bgColor rgb="FF000000"/>
        </patternFill>
      </fill>
      <border/>
    </dxf>
    <dxf>
      <font>
        <b/>
        <color rgb="FFFFFFFF"/>
      </font>
      <fill>
        <patternFill patternType="solid">
          <fgColor rgb="FFF6B26B"/>
          <bgColor rgb="FFF6B26B"/>
        </patternFill>
      </fill>
      <border/>
    </dxf>
    <dxf>
      <font>
        <b/>
        <color rgb="FF4A86E8"/>
      </font>
      <fill>
        <patternFill patternType="solid">
          <fgColor rgb="FFFFFF00"/>
          <bgColor rgb="FFFFFF00"/>
        </patternFill>
      </fill>
      <border/>
    </dxf>
    <dxf>
      <font>
        <b/>
        <color rgb="FFF4CCCC"/>
      </font>
      <fill>
        <patternFill patternType="solid">
          <fgColor rgb="FFE06666"/>
          <bgColor rgb="FFE06666"/>
        </patternFill>
      </fill>
      <border/>
    </dxf>
    <dxf>
      <font>
        <b/>
        <color rgb="FFCFE2F3"/>
      </font>
      <fill>
        <patternFill patternType="solid">
          <fgColor rgb="FF0B5394"/>
          <bgColor rgb="FF0B5394"/>
        </patternFill>
      </fill>
      <border/>
    </dxf>
    <dxf>
      <font>
        <b/>
        <color rgb="FF000000"/>
      </font>
      <fill>
        <patternFill patternType="solid">
          <fgColor rgb="FFEA9999"/>
          <bgColor rgb="FFEA9999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D9D9D9"/>
          <bgColor rgb="FFD9D9D9"/>
        </patternFill>
      </fill>
      <border/>
    </dxf>
    <dxf>
      <font>
        <b/>
      </font>
      <fill>
        <patternFill patternType="solid">
          <fgColor rgb="FFFFFFFF"/>
          <bgColor rgb="FFFFFFFF"/>
        </patternFill>
      </fill>
      <border/>
    </dxf>
    <dxf>
      <font>
        <b/>
        <color rgb="FFFFFFFF"/>
      </font>
      <fill>
        <patternFill patternType="solid">
          <fgColor rgb="FFB6D7A8"/>
          <bgColor rgb="FFB6D7A8"/>
        </patternFill>
      </fill>
      <border/>
    </dxf>
    <dxf>
      <font>
        <b/>
        <color rgb="FFB6D7A8"/>
      </font>
      <fill>
        <patternFill patternType="solid">
          <fgColor rgb="FF666666"/>
          <bgColor rgb="FF666666"/>
        </patternFill>
      </fill>
      <border/>
    </dxf>
    <dxf>
      <font>
        <b/>
        <color rgb="FFB6D7A8"/>
      </font>
      <fill>
        <patternFill patternType="solid">
          <fgColor rgb="FF0B5394"/>
          <bgColor rgb="FF0B5394"/>
        </patternFill>
      </fill>
      <border/>
    </dxf>
    <dxf>
      <font>
        <b/>
        <color rgb="FFFCE5CD"/>
      </font>
      <fill>
        <patternFill patternType="solid">
          <fgColor rgb="FFE69138"/>
          <bgColor rgb="FFE69138"/>
        </patternFill>
      </fill>
      <border/>
    </dxf>
    <dxf>
      <font>
        <b/>
        <color rgb="FF7F6000"/>
      </font>
      <fill>
        <patternFill patternType="solid">
          <fgColor rgb="FFFCE5CD"/>
          <bgColor rgb="FFFCE5CD"/>
        </patternFill>
      </fill>
      <border/>
    </dxf>
    <dxf>
      <font>
        <b/>
        <color rgb="FFF9CB9C"/>
      </font>
      <fill>
        <patternFill patternType="solid">
          <fgColor rgb="FF783F04"/>
          <bgColor rgb="FF783F04"/>
        </patternFill>
      </fill>
      <border/>
    </dxf>
    <dxf>
      <font>
        <b/>
        <color rgb="FF783F04"/>
      </font>
      <fill>
        <patternFill patternType="solid">
          <fgColor rgb="FFD9D9D9"/>
          <bgColor rgb="FFD9D9D9"/>
        </patternFill>
      </fill>
      <border/>
    </dxf>
    <dxf>
      <font>
        <b/>
        <color rgb="FFC9DAF8"/>
      </font>
      <fill>
        <patternFill patternType="solid">
          <fgColor rgb="FF1C4587"/>
          <bgColor rgb="FF1C4587"/>
        </patternFill>
      </fill>
      <border/>
    </dxf>
    <dxf>
      <font>
        <b/>
      </font>
      <fill>
        <patternFill patternType="solid">
          <fgColor rgb="FFFFE599"/>
          <bgColor rgb="FFFFE599"/>
        </patternFill>
      </fill>
      <border/>
    </dxf>
    <dxf>
      <font>
        <b/>
        <color rgb="FFFFFFFF"/>
      </font>
      <fill>
        <patternFill patternType="solid">
          <fgColor rgb="FF6D9EEB"/>
          <bgColor rgb="FF6D9EEB"/>
        </patternFill>
      </fill>
      <border/>
    </dxf>
    <dxf>
      <font>
        <b/>
        <color rgb="FFFFFFFF"/>
      </font>
      <fill>
        <patternFill patternType="solid">
          <fgColor rgb="FFB45F06"/>
          <bgColor rgb="FFB45F06"/>
        </patternFill>
      </fill>
      <border/>
    </dxf>
    <dxf>
      <font>
        <b/>
        <color rgb="FFBF9000"/>
      </font>
      <fill>
        <patternFill patternType="solid">
          <fgColor rgb="FFFFFFFF"/>
          <bgColor rgb="FFFFFFFF"/>
        </patternFill>
      </fill>
      <border/>
    </dxf>
    <dxf>
      <font>
        <b/>
        <color rgb="FF666666"/>
      </font>
      <fill>
        <patternFill patternType="solid">
          <fgColor rgb="FFFFFFFF"/>
          <bgColor rgb="FFFFFFFF"/>
        </patternFill>
      </fill>
      <border/>
    </dxf>
    <dxf>
      <font>
        <b/>
        <color rgb="FF274E13"/>
      </font>
      <fill>
        <patternFill patternType="solid">
          <fgColor rgb="FFB6D7A8"/>
          <bgColor rgb="FFB6D7A8"/>
        </patternFill>
      </fill>
      <border/>
    </dxf>
    <dxf>
      <font>
        <b/>
        <color rgb="FFFFFFFF"/>
      </font>
      <fill>
        <patternFill patternType="solid">
          <fgColor rgb="FFE69138"/>
          <bgColor rgb="FFE69138"/>
        </patternFill>
      </fill>
      <border/>
    </dxf>
    <dxf>
      <font>
        <b/>
        <color rgb="FFB6D7A8"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C6D67C"/>
          <bgColor rgb="FFC6D67C"/>
        </patternFill>
      </fill>
      <border/>
    </dxf>
    <dxf>
      <font>
        <b/>
        <color rgb="FFFFFFFF"/>
      </font>
      <fill>
        <patternFill patternType="solid">
          <fgColor rgb="FF9CAA5C"/>
          <bgColor rgb="FF9CAA5C"/>
        </patternFill>
      </fill>
      <border/>
    </dxf>
    <dxf>
      <font>
        <b/>
        <color rgb="FF000000"/>
      </font>
      <fill>
        <patternFill patternType="solid">
          <fgColor rgb="FFCCEC39"/>
          <bgColor rgb="FFCCEC39"/>
        </patternFill>
      </fill>
      <border/>
    </dxf>
    <dxf>
      <font>
        <b/>
        <color rgb="FF666666"/>
      </font>
      <fill>
        <patternFill patternType="solid">
          <fgColor rgb="FFEFEFEF"/>
          <bgColor rgb="FFEFEFEF"/>
        </patternFill>
      </fill>
      <border/>
    </dxf>
    <dxf>
      <font>
        <b/>
        <color rgb="FF7F6000"/>
      </font>
      <fill>
        <patternFill patternType="solid">
          <fgColor rgb="FFFFDA70"/>
          <bgColor rgb="FFFFDA70"/>
        </patternFill>
      </fill>
      <border/>
    </dxf>
    <dxf>
      <font>
        <b/>
        <color rgb="FF073763"/>
      </font>
      <fill>
        <patternFill patternType="solid">
          <fgColor rgb="FF9FC5E8"/>
          <bgColor rgb="FF9FC5E8"/>
        </patternFill>
      </fill>
      <border/>
    </dxf>
    <dxf>
      <font>
        <b/>
        <color rgb="FF783F04"/>
      </font>
      <fill>
        <patternFill patternType="solid">
          <fgColor rgb="FFFFE6B9"/>
          <bgColor rgb="FFFFE6B9"/>
        </patternFill>
      </fill>
      <border/>
    </dxf>
    <dxf>
      <font>
        <b/>
        <color rgb="FFFFFFFF"/>
      </font>
      <fill>
        <patternFill patternType="solid">
          <fgColor rgb="FF783F04"/>
          <bgColor rgb="FF783F04"/>
        </patternFill>
      </fill>
      <border/>
    </dxf>
    <dxf>
      <font>
        <b/>
        <color rgb="FFFFFFFF"/>
      </font>
      <fill>
        <patternFill patternType="solid">
          <fgColor rgb="FF674EA7"/>
          <bgColor rgb="FF674EA7"/>
        </patternFill>
      </fill>
      <border/>
    </dxf>
    <dxf>
      <font>
        <b/>
        <color rgb="FF38761D"/>
      </font>
      <fill>
        <patternFill patternType="solid">
          <fgColor rgb="FFD9EAD3"/>
          <bgColor rgb="FFD9EAD3"/>
        </patternFill>
      </fill>
      <border/>
    </dxf>
    <dxf>
      <font>
        <b/>
        <color rgb="FFFFFFFF"/>
      </font>
      <fill>
        <patternFill patternType="solid">
          <fgColor rgb="FF6AA84F"/>
          <bgColor rgb="FF6AA84F"/>
        </patternFill>
      </fill>
      <border/>
    </dxf>
    <dxf>
      <font>
        <b/>
        <color rgb="FFD9EAD3"/>
      </font>
      <fill>
        <patternFill patternType="solid">
          <fgColor rgb="FF274E13"/>
          <bgColor rgb="FF274E13"/>
        </patternFill>
      </fill>
      <border/>
    </dxf>
    <dxf>
      <font/>
      <fill>
        <patternFill patternType="none"/>
      </fill>
      <border/>
    </dxf>
    <dxf>
      <font>
        <b/>
        <color theme="0"/>
      </font>
      <fill>
        <patternFill patternType="solid">
          <fgColor rgb="FF274E13"/>
          <bgColor rgb="FF274E13"/>
        </patternFill>
      </fill>
      <border/>
    </dxf>
    <dxf>
      <font>
        <strike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>
        <b/>
        <color rgb="FFFFFFFF"/>
      </font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Statistics!$E$5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val>
            <c:numRef>
              <c:f>Statistics!$E$6</c:f>
              <c:numCache/>
            </c:numRef>
          </c:val>
        </c:ser>
        <c:ser>
          <c:idx val="1"/>
          <c:order val="1"/>
          <c:tx>
            <c:strRef>
              <c:f>Statistics!$F$5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val>
            <c:numRef>
              <c:f>Statistics!$F$6</c:f>
              <c:numCache/>
            </c:numRef>
          </c:val>
        </c:ser>
        <c:ser>
          <c:idx val="2"/>
          <c:order val="2"/>
          <c:tx>
            <c:strRef>
              <c:f>Statistics!$G$5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val>
            <c:numRef>
              <c:f>Statistics!$G$6</c:f>
              <c:numCache/>
            </c:numRef>
          </c:val>
        </c:ser>
        <c:ser>
          <c:idx val="3"/>
          <c:order val="3"/>
          <c:tx>
            <c:strRef>
              <c:f>Statistics!$H$5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val>
            <c:numRef>
              <c:f>Statistics!$H$6</c:f>
              <c:numCache/>
            </c:numRef>
          </c:val>
        </c:ser>
        <c:overlap val="100"/>
        <c:axId val="573645729"/>
        <c:axId val="1191241375"/>
      </c:barChart>
      <c:catAx>
        <c:axId val="573645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241375"/>
      </c:catAx>
      <c:valAx>
        <c:axId val="1191241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645729"/>
      </c:valAx>
    </c:plotArea>
    <c:legend>
      <c:legendPos val="b"/>
      <c:overlay val="0"/>
      <c:txPr>
        <a:bodyPr/>
        <a:lstStyle/>
        <a:p>
          <a:pPr lvl="0">
            <a:defRPr b="0" sz="1400">
              <a:solidFill>
                <a:srgbClr val="999999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0</xdr:row>
      <xdr:rowOff>0</xdr:rowOff>
    </xdr:from>
    <xdr:ext cx="466725" cy="333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3</xdr:row>
      <xdr:rowOff>161925</xdr:rowOff>
    </xdr:from>
    <xdr:ext cx="3429000" cy="3000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</xdr:row>
      <xdr:rowOff>0</xdr:rowOff>
    </xdr:from>
    <xdr:ext cx="2762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Kumahelion/790/" TargetMode="External"/><Relationship Id="rId190" Type="http://schemas.openxmlformats.org/officeDocument/2006/relationships/hyperlink" Target="https://www.munzee.com/m/Neloras/1261/" TargetMode="External"/><Relationship Id="rId42" Type="http://schemas.openxmlformats.org/officeDocument/2006/relationships/hyperlink" Target="https://www.munzee.com/m/TheEvilPoles/2496/" TargetMode="External"/><Relationship Id="rId41" Type="http://schemas.openxmlformats.org/officeDocument/2006/relationships/hyperlink" Target="https://www.munzee.com/m/Attis/19549/" TargetMode="External"/><Relationship Id="rId44" Type="http://schemas.openxmlformats.org/officeDocument/2006/relationships/hyperlink" Target="https://www.munzee.com/m/jukkas/3260/" TargetMode="External"/><Relationship Id="rId194" Type="http://schemas.openxmlformats.org/officeDocument/2006/relationships/hyperlink" Target="https://www.munzee.com/m/Nicolet/182/" TargetMode="External"/><Relationship Id="rId43" Type="http://schemas.openxmlformats.org/officeDocument/2006/relationships/hyperlink" Target="https://www.munzee.com/m/CoalCracker7/4882/" TargetMode="External"/><Relationship Id="rId193" Type="http://schemas.openxmlformats.org/officeDocument/2006/relationships/hyperlink" Target="https://www.munzee.com/m/Neloras/1305/" TargetMode="External"/><Relationship Id="rId46" Type="http://schemas.openxmlformats.org/officeDocument/2006/relationships/hyperlink" Target="https://www.munzee.com/m/rodrico101/5443/" TargetMode="External"/><Relationship Id="rId192" Type="http://schemas.openxmlformats.org/officeDocument/2006/relationships/hyperlink" Target="https://www.munzee.com/m/NikitaStolk/3865/" TargetMode="External"/><Relationship Id="rId45" Type="http://schemas.openxmlformats.org/officeDocument/2006/relationships/hyperlink" Target="https://www.munzee.com/m/thorkel/7022/" TargetMode="External"/><Relationship Id="rId191" Type="http://schemas.openxmlformats.org/officeDocument/2006/relationships/hyperlink" Target="https://www.munzee.com/m/Lorax1/435/" TargetMode="External"/><Relationship Id="rId48" Type="http://schemas.openxmlformats.org/officeDocument/2006/relationships/hyperlink" Target="https://www.munzee.com/m/harrie56/3440/" TargetMode="External"/><Relationship Id="rId187" Type="http://schemas.openxmlformats.org/officeDocument/2006/relationships/hyperlink" Target="https://www.munzee.com/m/Lorax1/519/" TargetMode="External"/><Relationship Id="rId47" Type="http://schemas.openxmlformats.org/officeDocument/2006/relationships/hyperlink" Target="https://www.munzee.com/m/123xilef/11071/" TargetMode="External"/><Relationship Id="rId186" Type="http://schemas.openxmlformats.org/officeDocument/2006/relationships/hyperlink" Target="https://www.munzee.com/m/Neloras/1215/" TargetMode="External"/><Relationship Id="rId185" Type="http://schemas.openxmlformats.org/officeDocument/2006/relationships/hyperlink" Target="https://www.munzee.com/m/Frikandelbroodjes/732/" TargetMode="External"/><Relationship Id="rId49" Type="http://schemas.openxmlformats.org/officeDocument/2006/relationships/hyperlink" Target="https://www.munzee.com/m/23speds/7442/admin/convert/" TargetMode="External"/><Relationship Id="rId184" Type="http://schemas.openxmlformats.org/officeDocument/2006/relationships/hyperlink" Target="https://www.munzee.com/m/Aiden29/2588/" TargetMode="External"/><Relationship Id="rId189" Type="http://schemas.openxmlformats.org/officeDocument/2006/relationships/hyperlink" Target="https://www.munzee.com/m/mathew611/724/" TargetMode="External"/><Relationship Id="rId188" Type="http://schemas.openxmlformats.org/officeDocument/2006/relationships/hyperlink" Target="https://www.munzee.com/m/Kapor24/707/" TargetMode="External"/><Relationship Id="rId31" Type="http://schemas.openxmlformats.org/officeDocument/2006/relationships/hyperlink" Target="https://www.munzee.com/m/Bisquick2/5820/" TargetMode="External"/><Relationship Id="rId30" Type="http://schemas.openxmlformats.org/officeDocument/2006/relationships/hyperlink" Target="https://www.munzee.com/m/PelicanRouge/3085/" TargetMode="External"/><Relationship Id="rId33" Type="http://schemas.openxmlformats.org/officeDocument/2006/relationships/hyperlink" Target="https://www.munzee.com/m/Lanyasummer/5146/" TargetMode="External"/><Relationship Id="rId183" Type="http://schemas.openxmlformats.org/officeDocument/2006/relationships/hyperlink" Target="https://www.munzee.com/m/teamsturms/6566/" TargetMode="External"/><Relationship Id="rId32" Type="http://schemas.openxmlformats.org/officeDocument/2006/relationships/hyperlink" Target="https://www.munzee.com/m/RF/5001/" TargetMode="External"/><Relationship Id="rId182" Type="http://schemas.openxmlformats.org/officeDocument/2006/relationships/hyperlink" Target="https://www.munzee.com/m/Franske/2028/" TargetMode="External"/><Relationship Id="rId35" Type="http://schemas.openxmlformats.org/officeDocument/2006/relationships/hyperlink" Target="https://www.munzee.com/m/Soitenlysue/1136/" TargetMode="External"/><Relationship Id="rId181" Type="http://schemas.openxmlformats.org/officeDocument/2006/relationships/hyperlink" Target="https://www.munzee.com/m/jurikvandspol/809/" TargetMode="External"/><Relationship Id="rId34" Type="http://schemas.openxmlformats.org/officeDocument/2006/relationships/hyperlink" Target="https://www.munzee.com/m/bazfum/9217/" TargetMode="External"/><Relationship Id="rId180" Type="http://schemas.openxmlformats.org/officeDocument/2006/relationships/hyperlink" Target="https://www.munzee.com/m/Kapor24/713/" TargetMode="External"/><Relationship Id="rId37" Type="http://schemas.openxmlformats.org/officeDocument/2006/relationships/hyperlink" Target="https://www.munzee.com/m/TheFrog/5249/" TargetMode="External"/><Relationship Id="rId176" Type="http://schemas.openxmlformats.org/officeDocument/2006/relationships/hyperlink" Target="https://www.munzee.com/m/and2470/295/" TargetMode="External"/><Relationship Id="rId297" Type="http://schemas.openxmlformats.org/officeDocument/2006/relationships/hyperlink" Target="https://www.munzee.com/m/mathew611/698/" TargetMode="External"/><Relationship Id="rId36" Type="http://schemas.openxmlformats.org/officeDocument/2006/relationships/hyperlink" Target="https://www.munzee.com/m/Shun79/2138/" TargetMode="External"/><Relationship Id="rId175" Type="http://schemas.openxmlformats.org/officeDocument/2006/relationships/hyperlink" Target="https://www.munzee.com/m/Neloras/1126/" TargetMode="External"/><Relationship Id="rId296" Type="http://schemas.openxmlformats.org/officeDocument/2006/relationships/hyperlink" Target="https://www.munzee.com/m/KarelVeliky/3402/" TargetMode="External"/><Relationship Id="rId39" Type="http://schemas.openxmlformats.org/officeDocument/2006/relationships/hyperlink" Target="https://www.munzee.com/m/Kyrandia/4307/" TargetMode="External"/><Relationship Id="rId174" Type="http://schemas.openxmlformats.org/officeDocument/2006/relationships/hyperlink" Target="https://www.munzee.com/m/29Februaris/760/admin/" TargetMode="External"/><Relationship Id="rId295" Type="http://schemas.openxmlformats.org/officeDocument/2006/relationships/hyperlink" Target="https://www.munzee.com/m/Nicolet/33/" TargetMode="External"/><Relationship Id="rId38" Type="http://schemas.openxmlformats.org/officeDocument/2006/relationships/hyperlink" Target="https://www.munzee.com/m/Soitenlysue/1143/" TargetMode="External"/><Relationship Id="rId173" Type="http://schemas.openxmlformats.org/officeDocument/2006/relationships/hyperlink" Target="https://www.munzee.com/m/woenny/7960/admin/" TargetMode="External"/><Relationship Id="rId294" Type="http://schemas.openxmlformats.org/officeDocument/2006/relationships/hyperlink" Target="https://www.munzee.com/m/Kapor24/754/" TargetMode="External"/><Relationship Id="rId179" Type="http://schemas.openxmlformats.org/officeDocument/2006/relationships/hyperlink" Target="https://www.munzee.com/m/mathew611/707/" TargetMode="External"/><Relationship Id="rId178" Type="http://schemas.openxmlformats.org/officeDocument/2006/relationships/hyperlink" Target="https://www.munzee.com/m/woenny/2007/admin/" TargetMode="External"/><Relationship Id="rId299" Type="http://schemas.openxmlformats.org/officeDocument/2006/relationships/hyperlink" Target="https://www.munzee.com/m/KarelVeliky/6392/" TargetMode="External"/><Relationship Id="rId177" Type="http://schemas.openxmlformats.org/officeDocument/2006/relationships/hyperlink" Target="https://www.munzee.com/m/KarelVeliky/4279/" TargetMode="External"/><Relationship Id="rId298" Type="http://schemas.openxmlformats.org/officeDocument/2006/relationships/hyperlink" Target="https://www.munzee.com/m/Neloras/1111/" TargetMode="External"/><Relationship Id="rId20" Type="http://schemas.openxmlformats.org/officeDocument/2006/relationships/hyperlink" Target="https://www.munzee.com/m/Kiitokurre/7432/" TargetMode="External"/><Relationship Id="rId22" Type="http://schemas.openxmlformats.org/officeDocument/2006/relationships/hyperlink" Target="https://www.munzee.com/m/markcase/8680/admin/" TargetMode="External"/><Relationship Id="rId21" Type="http://schemas.openxmlformats.org/officeDocument/2006/relationships/hyperlink" Target="https://www.munzee.com/m/JackSparrow/25470" TargetMode="External"/><Relationship Id="rId24" Type="http://schemas.openxmlformats.org/officeDocument/2006/relationships/hyperlink" Target="https://www.munzee.com/m/ajaxiss/2574" TargetMode="External"/><Relationship Id="rId23" Type="http://schemas.openxmlformats.org/officeDocument/2006/relationships/hyperlink" Target="https://www.munzee.com/m/amadoreugen/6619/" TargetMode="External"/><Relationship Id="rId26" Type="http://schemas.openxmlformats.org/officeDocument/2006/relationships/hyperlink" Target="https://www.munzee.com/m/joroma80/932" TargetMode="External"/><Relationship Id="rId25" Type="http://schemas.openxmlformats.org/officeDocument/2006/relationships/hyperlink" Target="https://www.munzee.com/m/aufbau/11615" TargetMode="External"/><Relationship Id="rId28" Type="http://schemas.openxmlformats.org/officeDocument/2006/relationships/hyperlink" Target="https://www.munzee.com/m/babyw/3696/" TargetMode="External"/><Relationship Id="rId27" Type="http://schemas.openxmlformats.org/officeDocument/2006/relationships/hyperlink" Target="https://www.munzee.com/m/Derlame/17475/" TargetMode="External"/><Relationship Id="rId29" Type="http://schemas.openxmlformats.org/officeDocument/2006/relationships/hyperlink" Target="https://www.munzee.com/m/Leesap/2605/" TargetMode="External"/><Relationship Id="rId11" Type="http://schemas.openxmlformats.org/officeDocument/2006/relationships/hyperlink" Target="https://www.munzee.com/m/MeanderingMonkeys/16949" TargetMode="External"/><Relationship Id="rId10" Type="http://schemas.openxmlformats.org/officeDocument/2006/relationships/hyperlink" Target="https://www.munzee.com/m/levesund/7190" TargetMode="External"/><Relationship Id="rId13" Type="http://schemas.openxmlformats.org/officeDocument/2006/relationships/hyperlink" Target="https://www.munzee.com/m/Kapor24/718/" TargetMode="External"/><Relationship Id="rId12" Type="http://schemas.openxmlformats.org/officeDocument/2006/relationships/hyperlink" Target="https://www.munzee.com/m/Rikitan/2954/" TargetMode="External"/><Relationship Id="rId15" Type="http://schemas.openxmlformats.org/officeDocument/2006/relationships/hyperlink" Target="https://www.munzee.com/m/Rikitan/3079/" TargetMode="External"/><Relationship Id="rId198" Type="http://schemas.openxmlformats.org/officeDocument/2006/relationships/hyperlink" Target="https://www.munzee.com/m/scarlettdragon/1084/admin/" TargetMode="External"/><Relationship Id="rId14" Type="http://schemas.openxmlformats.org/officeDocument/2006/relationships/hyperlink" Target="https://www.munzee.com/m/Maxi72/3451" TargetMode="External"/><Relationship Id="rId197" Type="http://schemas.openxmlformats.org/officeDocument/2006/relationships/hyperlink" Target="https://www.munzee.com/m/Nicolet/200/" TargetMode="External"/><Relationship Id="rId17" Type="http://schemas.openxmlformats.org/officeDocument/2006/relationships/hyperlink" Target="https://www.munzee.com/m/lison55/6871" TargetMode="External"/><Relationship Id="rId196" Type="http://schemas.openxmlformats.org/officeDocument/2006/relationships/hyperlink" Target="https://www.munzee.com/m/woenny/2008/admin/" TargetMode="External"/><Relationship Id="rId16" Type="http://schemas.openxmlformats.org/officeDocument/2006/relationships/hyperlink" Target="https://www.munzee.com/m/harrie56/3531/" TargetMode="External"/><Relationship Id="rId195" Type="http://schemas.openxmlformats.org/officeDocument/2006/relationships/hyperlink" Target="https://www.munzee.com/m/Kapor24/717/" TargetMode="External"/><Relationship Id="rId19" Type="http://schemas.openxmlformats.org/officeDocument/2006/relationships/hyperlink" Target="https://www.munzee.com/m/ChickenRun/10866" TargetMode="External"/><Relationship Id="rId18" Type="http://schemas.openxmlformats.org/officeDocument/2006/relationships/hyperlink" Target="https://www.munzee.com/m/tcguru/7688/" TargetMode="External"/><Relationship Id="rId199" Type="http://schemas.openxmlformats.org/officeDocument/2006/relationships/hyperlink" Target="https://www.munzee.com/m/Charonovci/465" TargetMode="External"/><Relationship Id="rId84" Type="http://schemas.openxmlformats.org/officeDocument/2006/relationships/hyperlink" Target="https://www.munzee.com/m/VikingPrincess/1070" TargetMode="External"/><Relationship Id="rId83" Type="http://schemas.openxmlformats.org/officeDocument/2006/relationships/hyperlink" Target="https://www.munzee.com/m/Nicolet/826/" TargetMode="External"/><Relationship Id="rId86" Type="http://schemas.openxmlformats.org/officeDocument/2006/relationships/hyperlink" Target="https://www.munzee.com/m/denali0407/17992/" TargetMode="External"/><Relationship Id="rId85" Type="http://schemas.openxmlformats.org/officeDocument/2006/relationships/hyperlink" Target="https://www.munzee.com/m/KarelVeliky/2330/" TargetMode="External"/><Relationship Id="rId88" Type="http://schemas.openxmlformats.org/officeDocument/2006/relationships/hyperlink" Target="https://www.munzee.com/m/KarelVeliky/2131/" TargetMode="External"/><Relationship Id="rId150" Type="http://schemas.openxmlformats.org/officeDocument/2006/relationships/hyperlink" Target="https://www.munzee.com/m/Ganesia/1632/" TargetMode="External"/><Relationship Id="rId271" Type="http://schemas.openxmlformats.org/officeDocument/2006/relationships/hyperlink" Target="https://www.munzee.com/m/and2470/949/" TargetMode="External"/><Relationship Id="rId87" Type="http://schemas.openxmlformats.org/officeDocument/2006/relationships/hyperlink" Target="https://www.munzee.com/m/Nicolet/52/" TargetMode="External"/><Relationship Id="rId270" Type="http://schemas.openxmlformats.org/officeDocument/2006/relationships/hyperlink" Target="https://www.munzee.com/m/KarelVeliky/3091/" TargetMode="External"/><Relationship Id="rId89" Type="http://schemas.openxmlformats.org/officeDocument/2006/relationships/hyperlink" Target="https://www.munzee.com/m/29Februaris/985/admin/" TargetMode="External"/><Relationship Id="rId80" Type="http://schemas.openxmlformats.org/officeDocument/2006/relationships/hyperlink" Target="https://www.munzee.com/m/hems79/8504/" TargetMode="External"/><Relationship Id="rId82" Type="http://schemas.openxmlformats.org/officeDocument/2006/relationships/hyperlink" Target="https://www.munzee.com/m/Neloras/1125/" TargetMode="External"/><Relationship Id="rId81" Type="http://schemas.openxmlformats.org/officeDocument/2006/relationships/hyperlink" Target="https://www.munzee.com/m/KarelVeliky/2168/" TargetMode="External"/><Relationship Id="rId1" Type="http://schemas.openxmlformats.org/officeDocument/2006/relationships/hyperlink" Target="https://tinyurl.com/SKgardens" TargetMode="External"/><Relationship Id="rId2" Type="http://schemas.openxmlformats.org/officeDocument/2006/relationships/hyperlink" Target="https://www.munzee.com/map/u2s1ypt8y/16" TargetMode="External"/><Relationship Id="rId3" Type="http://schemas.openxmlformats.org/officeDocument/2006/relationships/hyperlink" Target="https://tinyurl.com/chillikiller" TargetMode="External"/><Relationship Id="rId149" Type="http://schemas.openxmlformats.org/officeDocument/2006/relationships/hyperlink" Target="https://www.munzee.com/m/Neloras/1786/" TargetMode="External"/><Relationship Id="rId4" Type="http://schemas.openxmlformats.org/officeDocument/2006/relationships/hyperlink" Target="https://www.munzee.com/m/CoffeeEater/4172/" TargetMode="External"/><Relationship Id="rId148" Type="http://schemas.openxmlformats.org/officeDocument/2006/relationships/hyperlink" Target="https://www.munzee.com/m/jurikvandspol/770/" TargetMode="External"/><Relationship Id="rId269" Type="http://schemas.openxmlformats.org/officeDocument/2006/relationships/hyperlink" Target="https://www.munzee.com/m/Kapor24/699/" TargetMode="External"/><Relationship Id="rId9" Type="http://schemas.openxmlformats.org/officeDocument/2006/relationships/hyperlink" Target="https://www.munzee.com/m/humbird7/16604/" TargetMode="External"/><Relationship Id="rId143" Type="http://schemas.openxmlformats.org/officeDocument/2006/relationships/hyperlink" Target="https://www.munzee.com/m/Charonovci/1413" TargetMode="External"/><Relationship Id="rId264" Type="http://schemas.openxmlformats.org/officeDocument/2006/relationships/hyperlink" Target="https://www.munzee.com/m/29Februaris/741/admin/" TargetMode="External"/><Relationship Id="rId142" Type="http://schemas.openxmlformats.org/officeDocument/2006/relationships/hyperlink" Target="https://www.munzee.com/m/EeveeFox/1025" TargetMode="External"/><Relationship Id="rId263" Type="http://schemas.openxmlformats.org/officeDocument/2006/relationships/hyperlink" Target="https://www.munzee.com/m/VLoopSouth/1365/" TargetMode="External"/><Relationship Id="rId141" Type="http://schemas.openxmlformats.org/officeDocument/2006/relationships/hyperlink" Target="https://www.munzee.com/m/MacickaLizza/1031" TargetMode="External"/><Relationship Id="rId262" Type="http://schemas.openxmlformats.org/officeDocument/2006/relationships/hyperlink" Target="https://www.munzee.com/m/MacickaLizza/1052" TargetMode="External"/><Relationship Id="rId140" Type="http://schemas.openxmlformats.org/officeDocument/2006/relationships/hyperlink" Target="https://www.munzee.com/m/Charonovci/1420" TargetMode="External"/><Relationship Id="rId261" Type="http://schemas.openxmlformats.org/officeDocument/2006/relationships/hyperlink" Target="https://www.munzee.com/m/EeveeFox/1018/" TargetMode="External"/><Relationship Id="rId5" Type="http://schemas.openxmlformats.org/officeDocument/2006/relationships/hyperlink" Target="https://www.munzee.com/m/harrie56/3610/" TargetMode="External"/><Relationship Id="rId147" Type="http://schemas.openxmlformats.org/officeDocument/2006/relationships/hyperlink" Target="https://www.munzee.com/m/Charonovci/1412" TargetMode="External"/><Relationship Id="rId268" Type="http://schemas.openxmlformats.org/officeDocument/2006/relationships/hyperlink" Target="https://www.munzee.com/m/Nicolet/35/" TargetMode="External"/><Relationship Id="rId6" Type="http://schemas.openxmlformats.org/officeDocument/2006/relationships/hyperlink" Target="https://www.munzee.com/m/scoutref/2433/" TargetMode="External"/><Relationship Id="rId146" Type="http://schemas.openxmlformats.org/officeDocument/2006/relationships/hyperlink" Target="https://www.munzee.com/m/mathew611/764/" TargetMode="External"/><Relationship Id="rId267" Type="http://schemas.openxmlformats.org/officeDocument/2006/relationships/hyperlink" Target="https://www.munzee.com/m/KarelVeliky/4298/" TargetMode="External"/><Relationship Id="rId7" Type="http://schemas.openxmlformats.org/officeDocument/2006/relationships/hyperlink" Target="https://www.munzee.com/m/jurikvandspol/201/" TargetMode="External"/><Relationship Id="rId145" Type="http://schemas.openxmlformats.org/officeDocument/2006/relationships/hyperlink" Target="https://www.munzee.com/m/EeveeFox/1021" TargetMode="External"/><Relationship Id="rId266" Type="http://schemas.openxmlformats.org/officeDocument/2006/relationships/hyperlink" Target="https://www.munzee.com/m/KarelVeliky/4280/" TargetMode="External"/><Relationship Id="rId8" Type="http://schemas.openxmlformats.org/officeDocument/2006/relationships/hyperlink" Target="https://www.munzee.com/m/florish/2526/" TargetMode="External"/><Relationship Id="rId144" Type="http://schemas.openxmlformats.org/officeDocument/2006/relationships/hyperlink" Target="https://www.munzee.com/m/MacickaLizza/1032" TargetMode="External"/><Relationship Id="rId265" Type="http://schemas.openxmlformats.org/officeDocument/2006/relationships/hyperlink" Target="https://www.munzee.com/m/Nicolet/42/" TargetMode="External"/><Relationship Id="rId73" Type="http://schemas.openxmlformats.org/officeDocument/2006/relationships/hyperlink" Target="https://www.munzee.com/m/disneyfan4life85/5990" TargetMode="External"/><Relationship Id="rId72" Type="http://schemas.openxmlformats.org/officeDocument/2006/relationships/hyperlink" Target="https://www.munzee.com/m/hippiemop/4259" TargetMode="External"/><Relationship Id="rId75" Type="http://schemas.openxmlformats.org/officeDocument/2006/relationships/hyperlink" Target="https://www.munzee.com/m/Lorax1/110/" TargetMode="External"/><Relationship Id="rId74" Type="http://schemas.openxmlformats.org/officeDocument/2006/relationships/hyperlink" Target="https://www.munzee.com/m/Minnie213/9145" TargetMode="External"/><Relationship Id="rId77" Type="http://schemas.openxmlformats.org/officeDocument/2006/relationships/hyperlink" Target="https://www.munzee.com/m/Soitenlysue/1154/" TargetMode="External"/><Relationship Id="rId260" Type="http://schemas.openxmlformats.org/officeDocument/2006/relationships/hyperlink" Target="https://www.munzee.com/m/Rikitan/3127/" TargetMode="External"/><Relationship Id="rId76" Type="http://schemas.openxmlformats.org/officeDocument/2006/relationships/hyperlink" Target="https://www.munzee.com/m/Adushka/377/" TargetMode="External"/><Relationship Id="rId79" Type="http://schemas.openxmlformats.org/officeDocument/2006/relationships/hyperlink" Target="https://www.munzee.com/m/Neloras/2321/" TargetMode="External"/><Relationship Id="rId78" Type="http://schemas.openxmlformats.org/officeDocument/2006/relationships/hyperlink" Target="https://www.munzee.com/m/thelanes/15426/" TargetMode="External"/><Relationship Id="rId71" Type="http://schemas.openxmlformats.org/officeDocument/2006/relationships/hyperlink" Target="https://www.munzee.com/m/Rikitan/3010/" TargetMode="External"/><Relationship Id="rId70" Type="http://schemas.openxmlformats.org/officeDocument/2006/relationships/hyperlink" Target="https://www.munzee.com/m/Charonovci/1409" TargetMode="External"/><Relationship Id="rId139" Type="http://schemas.openxmlformats.org/officeDocument/2006/relationships/hyperlink" Target="https://www.munzee.com/m/EeveeFox/1030" TargetMode="External"/><Relationship Id="rId138" Type="http://schemas.openxmlformats.org/officeDocument/2006/relationships/hyperlink" Target="https://www.munzee.com/m/MacickaLizza/1022" TargetMode="External"/><Relationship Id="rId259" Type="http://schemas.openxmlformats.org/officeDocument/2006/relationships/hyperlink" Target="https://www.munzee.com/m/scoutref/2906/" TargetMode="External"/><Relationship Id="rId137" Type="http://schemas.openxmlformats.org/officeDocument/2006/relationships/hyperlink" Target="https://www.munzee.com/m/Charonovci/1421" TargetMode="External"/><Relationship Id="rId258" Type="http://schemas.openxmlformats.org/officeDocument/2006/relationships/hyperlink" Target="https://www.munzee.com/m/Derlame/17681/" TargetMode="External"/><Relationship Id="rId132" Type="http://schemas.openxmlformats.org/officeDocument/2006/relationships/hyperlink" Target="https://www.munzee.com/m/Majsan/15107/" TargetMode="External"/><Relationship Id="rId253" Type="http://schemas.openxmlformats.org/officeDocument/2006/relationships/hyperlink" Target="https://www.munzee.com/m/Charonovci/1488" TargetMode="External"/><Relationship Id="rId131" Type="http://schemas.openxmlformats.org/officeDocument/2006/relationships/hyperlink" Target="https://www.munzee.com/m/BonnieB1/5238/admin/" TargetMode="External"/><Relationship Id="rId252" Type="http://schemas.openxmlformats.org/officeDocument/2006/relationships/hyperlink" Target="https://www.munzee.com/m/kpcrystal07/23205/" TargetMode="External"/><Relationship Id="rId130" Type="http://schemas.openxmlformats.org/officeDocument/2006/relationships/hyperlink" Target="https://www.munzee.com/m/KarelVeliky/2821/" TargetMode="External"/><Relationship Id="rId251" Type="http://schemas.openxmlformats.org/officeDocument/2006/relationships/hyperlink" Target="https://www.munzee.com/m/jurikvandspol/765/" TargetMode="External"/><Relationship Id="rId250" Type="http://schemas.openxmlformats.org/officeDocument/2006/relationships/hyperlink" Target="https://www.munzee.com/m/29Februaris/742/admin/" TargetMode="External"/><Relationship Id="rId136" Type="http://schemas.openxmlformats.org/officeDocument/2006/relationships/hyperlink" Target="https://www.munzee.com/m/annabanana/15212/" TargetMode="External"/><Relationship Id="rId257" Type="http://schemas.openxmlformats.org/officeDocument/2006/relationships/hyperlink" Target="https://www.munzee.com/m/Charonovci/539" TargetMode="External"/><Relationship Id="rId135" Type="http://schemas.openxmlformats.org/officeDocument/2006/relationships/hyperlink" Target="https://www.munzee.com/m/Kapor24/763/" TargetMode="External"/><Relationship Id="rId256" Type="http://schemas.openxmlformats.org/officeDocument/2006/relationships/hyperlink" Target="https://www.munzee.com/m/halizwein/16063/" TargetMode="External"/><Relationship Id="rId134" Type="http://schemas.openxmlformats.org/officeDocument/2006/relationships/hyperlink" Target="https://www.munzee.com/m/Charonovci/1422" TargetMode="External"/><Relationship Id="rId255" Type="http://schemas.openxmlformats.org/officeDocument/2006/relationships/hyperlink" Target="https://www.munzee.com/m/mathew611/714/" TargetMode="External"/><Relationship Id="rId133" Type="http://schemas.openxmlformats.org/officeDocument/2006/relationships/hyperlink" Target="https://www.munzee.com/m/Nicolet/51/" TargetMode="External"/><Relationship Id="rId254" Type="http://schemas.openxmlformats.org/officeDocument/2006/relationships/hyperlink" Target="https://www.munzee.com/m/Neloras/1188/" TargetMode="External"/><Relationship Id="rId62" Type="http://schemas.openxmlformats.org/officeDocument/2006/relationships/hyperlink" Target="https://www.munzee.com/m/woenny/2006/admin/" TargetMode="External"/><Relationship Id="rId61" Type="http://schemas.openxmlformats.org/officeDocument/2006/relationships/hyperlink" Target="https://www.munzee.com/m/Chivasloyal/4640/" TargetMode="External"/><Relationship Id="rId64" Type="http://schemas.openxmlformats.org/officeDocument/2006/relationships/hyperlink" Target="https://www.munzee.com/m/Soitenlysue/1145/" TargetMode="External"/><Relationship Id="rId63" Type="http://schemas.openxmlformats.org/officeDocument/2006/relationships/hyperlink" Target="https://www.munzee.com/m/irmeli/3208/" TargetMode="External"/><Relationship Id="rId66" Type="http://schemas.openxmlformats.org/officeDocument/2006/relationships/hyperlink" Target="https://www.munzee.com/m/Kumahelion/755/" TargetMode="External"/><Relationship Id="rId172" Type="http://schemas.openxmlformats.org/officeDocument/2006/relationships/hyperlink" Target="https://www.munzee.com/m/KarelVeliky/3490/" TargetMode="External"/><Relationship Id="rId293" Type="http://schemas.openxmlformats.org/officeDocument/2006/relationships/hyperlink" Target="https://www.munzee.com/m/and2470/940/" TargetMode="External"/><Relationship Id="rId65" Type="http://schemas.openxmlformats.org/officeDocument/2006/relationships/hyperlink" Target="https://www.munzee.com/m/harrie56/3442/" TargetMode="External"/><Relationship Id="rId171" Type="http://schemas.openxmlformats.org/officeDocument/2006/relationships/hyperlink" Target="https://www.munzee.com/m/Maattmoo/2173/" TargetMode="External"/><Relationship Id="rId292" Type="http://schemas.openxmlformats.org/officeDocument/2006/relationships/hyperlink" Target="https://www.munzee.com/m/jurikvandspol/808/" TargetMode="External"/><Relationship Id="rId68" Type="http://schemas.openxmlformats.org/officeDocument/2006/relationships/hyperlink" Target="https://www.munzee.com/m/florish/2943/" TargetMode="External"/><Relationship Id="rId170" Type="http://schemas.openxmlformats.org/officeDocument/2006/relationships/hyperlink" Target="https://www.munzee.com/m/Lorax1/387/" TargetMode="External"/><Relationship Id="rId291" Type="http://schemas.openxmlformats.org/officeDocument/2006/relationships/hyperlink" Target="https://www.munzee.com/m/Kapor24/698/" TargetMode="External"/><Relationship Id="rId67" Type="http://schemas.openxmlformats.org/officeDocument/2006/relationships/hyperlink" Target="https://www.munzee.com/m/mierischclan/3564/admin/" TargetMode="External"/><Relationship Id="rId290" Type="http://schemas.openxmlformats.org/officeDocument/2006/relationships/hyperlink" Target="https://www.munzee.com/m/and2470/350/" TargetMode="External"/><Relationship Id="rId60" Type="http://schemas.openxmlformats.org/officeDocument/2006/relationships/hyperlink" Target="https://www.munzee.com/m/29Februaris/1236/" TargetMode="External"/><Relationship Id="rId165" Type="http://schemas.openxmlformats.org/officeDocument/2006/relationships/hyperlink" Target="https://www.munzee.com/m/Nicolet/172/" TargetMode="External"/><Relationship Id="rId286" Type="http://schemas.openxmlformats.org/officeDocument/2006/relationships/hyperlink" Target="https://www.munzee.com/m/EeveeFox/1017" TargetMode="External"/><Relationship Id="rId69" Type="http://schemas.openxmlformats.org/officeDocument/2006/relationships/hyperlink" Target="https://www.munzee.com/m/KarelVeliky/2011/" TargetMode="External"/><Relationship Id="rId164" Type="http://schemas.openxmlformats.org/officeDocument/2006/relationships/hyperlink" Target="https://www.munzee.com/m/thehowlers/1998/" TargetMode="External"/><Relationship Id="rId285" Type="http://schemas.openxmlformats.org/officeDocument/2006/relationships/hyperlink" Target="https://www.munzee.com/m/Charonovci/449" TargetMode="External"/><Relationship Id="rId163" Type="http://schemas.openxmlformats.org/officeDocument/2006/relationships/hyperlink" Target="https://www.munzee.com/m/Kumahelion/1544/" TargetMode="External"/><Relationship Id="rId284" Type="http://schemas.openxmlformats.org/officeDocument/2006/relationships/hyperlink" Target="https://www.munzee.com/m/Neloras/914/" TargetMode="External"/><Relationship Id="rId162" Type="http://schemas.openxmlformats.org/officeDocument/2006/relationships/hyperlink" Target="https://www.munzee.com/m/KarelVeliky/2352/admin/" TargetMode="External"/><Relationship Id="rId283" Type="http://schemas.openxmlformats.org/officeDocument/2006/relationships/hyperlink" Target="https://www.munzee.com/m/florish/1992/" TargetMode="External"/><Relationship Id="rId169" Type="http://schemas.openxmlformats.org/officeDocument/2006/relationships/hyperlink" Target="https://www.munzee.com/m/KarelVeliky/2573/" TargetMode="External"/><Relationship Id="rId168" Type="http://schemas.openxmlformats.org/officeDocument/2006/relationships/hyperlink" Target="https://www.munzee.com/m/gd/4757/" TargetMode="External"/><Relationship Id="rId289" Type="http://schemas.openxmlformats.org/officeDocument/2006/relationships/hyperlink" Target="https://www.munzee.com/m/Nicolet/37/" TargetMode="External"/><Relationship Id="rId167" Type="http://schemas.openxmlformats.org/officeDocument/2006/relationships/hyperlink" Target="https://www.munzee.com/m/Dazzaf/6804/" TargetMode="External"/><Relationship Id="rId288" Type="http://schemas.openxmlformats.org/officeDocument/2006/relationships/hyperlink" Target="https://www.munzee.com/m/Charonovci/454" TargetMode="External"/><Relationship Id="rId166" Type="http://schemas.openxmlformats.org/officeDocument/2006/relationships/hyperlink" Target="https://www.munzee.com/m/KarelVeliky/2488/" TargetMode="External"/><Relationship Id="rId287" Type="http://schemas.openxmlformats.org/officeDocument/2006/relationships/hyperlink" Target="https://www.munzee.com/m/MacickaLizza/1055" TargetMode="External"/><Relationship Id="rId51" Type="http://schemas.openxmlformats.org/officeDocument/2006/relationships/hyperlink" Target="https://www.munzee.com/m/Lorax1/108/" TargetMode="External"/><Relationship Id="rId50" Type="http://schemas.openxmlformats.org/officeDocument/2006/relationships/hyperlink" Target="https://www.munzee.com/m/mierischclan/3559/admin/" TargetMode="External"/><Relationship Id="rId53" Type="http://schemas.openxmlformats.org/officeDocument/2006/relationships/hyperlink" Target="https://www.munzee.com/m/c-bn/20061/" TargetMode="External"/><Relationship Id="rId52" Type="http://schemas.openxmlformats.org/officeDocument/2006/relationships/hyperlink" Target="https://www.munzee.com/m/jurikvandspol/772/" TargetMode="External"/><Relationship Id="rId55" Type="http://schemas.openxmlformats.org/officeDocument/2006/relationships/hyperlink" Target="https://www.munzee.com/m/KarelVeliky/1991/" TargetMode="External"/><Relationship Id="rId161" Type="http://schemas.openxmlformats.org/officeDocument/2006/relationships/hyperlink" Target="https://www.munzee.com/m/Nicolet/155/" TargetMode="External"/><Relationship Id="rId282" Type="http://schemas.openxmlformats.org/officeDocument/2006/relationships/hyperlink" Target="https://www.munzee.com/m/KarelVeliky/4303/" TargetMode="External"/><Relationship Id="rId54" Type="http://schemas.openxmlformats.org/officeDocument/2006/relationships/hyperlink" Target="https://www.munzee.com/m/florish/2944/" TargetMode="External"/><Relationship Id="rId160" Type="http://schemas.openxmlformats.org/officeDocument/2006/relationships/hyperlink" Target="https://www.munzee.com/m/TheEvilPoles/5363/" TargetMode="External"/><Relationship Id="rId281" Type="http://schemas.openxmlformats.org/officeDocument/2006/relationships/hyperlink" Target="https://www.munzee.com/m/Neloras/1122/" TargetMode="External"/><Relationship Id="rId57" Type="http://schemas.openxmlformats.org/officeDocument/2006/relationships/hyperlink" Target="https://www.munzee.com/m/29Februaris/389/admin/" TargetMode="External"/><Relationship Id="rId280" Type="http://schemas.openxmlformats.org/officeDocument/2006/relationships/hyperlink" Target="https://www.munzee.com/m/florish/3245/" TargetMode="External"/><Relationship Id="rId56" Type="http://schemas.openxmlformats.org/officeDocument/2006/relationships/hyperlink" Target="https://www.munzee.com/m/Dazzaf/4822/" TargetMode="External"/><Relationship Id="rId159" Type="http://schemas.openxmlformats.org/officeDocument/2006/relationships/hyperlink" Target="https://www.munzee.com/m/KarelVeliky/2339/" TargetMode="External"/><Relationship Id="rId59" Type="http://schemas.openxmlformats.org/officeDocument/2006/relationships/hyperlink" Target="https://www.munzee.com/m/florish/2503/" TargetMode="External"/><Relationship Id="rId154" Type="http://schemas.openxmlformats.org/officeDocument/2006/relationships/hyperlink" Target="https://www.munzee.com/m/Redsixmix/259/" TargetMode="External"/><Relationship Id="rId275" Type="http://schemas.openxmlformats.org/officeDocument/2006/relationships/hyperlink" Target="https://www.munzee.com/m/munzeeprof/12089/" TargetMode="External"/><Relationship Id="rId58" Type="http://schemas.openxmlformats.org/officeDocument/2006/relationships/hyperlink" Target="https://www.munzee.com/m/mobility/17260/" TargetMode="External"/><Relationship Id="rId153" Type="http://schemas.openxmlformats.org/officeDocument/2006/relationships/hyperlink" Target="https://www.munzee.com/m/Kapor24/1338/" TargetMode="External"/><Relationship Id="rId274" Type="http://schemas.openxmlformats.org/officeDocument/2006/relationships/hyperlink" Target="https://www.munzee.com/m/Kapor24/700/" TargetMode="External"/><Relationship Id="rId152" Type="http://schemas.openxmlformats.org/officeDocument/2006/relationships/hyperlink" Target="https://www.munzee.com/m/EagleDadandXenia/35368/" TargetMode="External"/><Relationship Id="rId273" Type="http://schemas.openxmlformats.org/officeDocument/2006/relationships/hyperlink" Target="https://www.munzee.com/m/Adushka/922/" TargetMode="External"/><Relationship Id="rId151" Type="http://schemas.openxmlformats.org/officeDocument/2006/relationships/hyperlink" Target="https://www.munzee.com/m/Lorax1/375/" TargetMode="External"/><Relationship Id="rId272" Type="http://schemas.openxmlformats.org/officeDocument/2006/relationships/hyperlink" Target="https://www.munzee.com/m/TheOneWhoScans/9377/" TargetMode="External"/><Relationship Id="rId158" Type="http://schemas.openxmlformats.org/officeDocument/2006/relationships/hyperlink" Target="https://www.munzee.com/m/rgforsythe/14119/" TargetMode="External"/><Relationship Id="rId279" Type="http://schemas.openxmlformats.org/officeDocument/2006/relationships/hyperlink" Target="https://www.munzee.com/m/mathew611/715/" TargetMode="External"/><Relationship Id="rId157" Type="http://schemas.openxmlformats.org/officeDocument/2006/relationships/hyperlink" Target="https://www.munzee.com/m/Rikitan/4181/" TargetMode="External"/><Relationship Id="rId278" Type="http://schemas.openxmlformats.org/officeDocument/2006/relationships/hyperlink" Target="https://www.munzee.com/m/ZlatanTrip/43/" TargetMode="External"/><Relationship Id="rId156" Type="http://schemas.openxmlformats.org/officeDocument/2006/relationships/hyperlink" Target="https://www.munzee.com/m/Neloras/1191/" TargetMode="External"/><Relationship Id="rId277" Type="http://schemas.openxmlformats.org/officeDocument/2006/relationships/hyperlink" Target="https://www.munzee.com/m/29Februaris/1048/admin/" TargetMode="External"/><Relationship Id="rId155" Type="http://schemas.openxmlformats.org/officeDocument/2006/relationships/hyperlink" Target="https://www.munzee.com/m/rita85gto/4116/" TargetMode="External"/><Relationship Id="rId276" Type="http://schemas.openxmlformats.org/officeDocument/2006/relationships/hyperlink" Target="https://www.munzee.com/m/mathew611/703/" TargetMode="External"/><Relationship Id="rId107" Type="http://schemas.openxmlformats.org/officeDocument/2006/relationships/hyperlink" Target="https://www.munzee.com/m/CopperWings/1341/" TargetMode="External"/><Relationship Id="rId228" Type="http://schemas.openxmlformats.org/officeDocument/2006/relationships/hyperlink" Target="https://www.munzee.com/m/Nicolet/836/" TargetMode="External"/><Relationship Id="rId106" Type="http://schemas.openxmlformats.org/officeDocument/2006/relationships/hyperlink" Target="https://www.munzee.com/m/florish/2424/" TargetMode="External"/><Relationship Id="rId227" Type="http://schemas.openxmlformats.org/officeDocument/2006/relationships/hyperlink" Target="https://www.munzee.com/m/KarelVeliky/5356/" TargetMode="External"/><Relationship Id="rId105" Type="http://schemas.openxmlformats.org/officeDocument/2006/relationships/hyperlink" Target="https://www.munzee.com/m/chaosmanor/2315" TargetMode="External"/><Relationship Id="rId226" Type="http://schemas.openxmlformats.org/officeDocument/2006/relationships/hyperlink" Target="https://www.munzee.com/m/Nicolet/43/" TargetMode="External"/><Relationship Id="rId104" Type="http://schemas.openxmlformats.org/officeDocument/2006/relationships/hyperlink" Target="https://www.munzee.com/m/Kapor24/798/" TargetMode="External"/><Relationship Id="rId225" Type="http://schemas.openxmlformats.org/officeDocument/2006/relationships/hyperlink" Target="https://www.munzee.com/m/Neloras/1190/" TargetMode="External"/><Relationship Id="rId109" Type="http://schemas.openxmlformats.org/officeDocument/2006/relationships/hyperlink" Target="https://www.munzee.com/m/Kumahelion/246/" TargetMode="External"/><Relationship Id="rId108" Type="http://schemas.openxmlformats.org/officeDocument/2006/relationships/hyperlink" Target="https://www.munzee.com/m/mathew611/727/" TargetMode="External"/><Relationship Id="rId229" Type="http://schemas.openxmlformats.org/officeDocument/2006/relationships/hyperlink" Target="https://www.munzee.com/m/KarelVeliky/5918/" TargetMode="External"/><Relationship Id="rId220" Type="http://schemas.openxmlformats.org/officeDocument/2006/relationships/hyperlink" Target="https://www.munzee.com/m/EeveeFox/1020" TargetMode="External"/><Relationship Id="rId103" Type="http://schemas.openxmlformats.org/officeDocument/2006/relationships/hyperlink" Target="https://www.munzee.com/m/jurikvandspol/771/" TargetMode="External"/><Relationship Id="rId224" Type="http://schemas.openxmlformats.org/officeDocument/2006/relationships/hyperlink" Target="https://www.munzee.com/m/MacickaLizza/1034" TargetMode="External"/><Relationship Id="rId102" Type="http://schemas.openxmlformats.org/officeDocument/2006/relationships/hyperlink" Target="https://www.munzee.com/m/Nicolet/197/" TargetMode="External"/><Relationship Id="rId223" Type="http://schemas.openxmlformats.org/officeDocument/2006/relationships/hyperlink" Target="https://www.munzee.com/m/EeveeFox/1019" TargetMode="External"/><Relationship Id="rId101" Type="http://schemas.openxmlformats.org/officeDocument/2006/relationships/hyperlink" Target="https://www.munzee.com/m/Lorax1/112/" TargetMode="External"/><Relationship Id="rId222" Type="http://schemas.openxmlformats.org/officeDocument/2006/relationships/hyperlink" Target="https://www.munzee.com/m/chaosmanor/1722/admin/" TargetMode="External"/><Relationship Id="rId100" Type="http://schemas.openxmlformats.org/officeDocument/2006/relationships/hyperlink" Target="https://www.munzee.com/m/Kumahelion/265/" TargetMode="External"/><Relationship Id="rId221" Type="http://schemas.openxmlformats.org/officeDocument/2006/relationships/hyperlink" Target="https://www.munzee.com/m/MacickaLizza/1033" TargetMode="External"/><Relationship Id="rId217" Type="http://schemas.openxmlformats.org/officeDocument/2006/relationships/hyperlink" Target="https://www.munzee.com/m/mathew611/704/" TargetMode="External"/><Relationship Id="rId216" Type="http://schemas.openxmlformats.org/officeDocument/2006/relationships/hyperlink" Target="https://www.munzee.com/m/Charonovci/436" TargetMode="External"/><Relationship Id="rId215" Type="http://schemas.openxmlformats.org/officeDocument/2006/relationships/hyperlink" Target="https://www.munzee.com/m/Neloras/1161/" TargetMode="External"/><Relationship Id="rId214" Type="http://schemas.openxmlformats.org/officeDocument/2006/relationships/hyperlink" Target="https://www.munzee.com/m/Charonovci/1423" TargetMode="External"/><Relationship Id="rId219" Type="http://schemas.openxmlformats.org/officeDocument/2006/relationships/hyperlink" Target="https://www.munzee.com/m/Lonni/1090/" TargetMode="External"/><Relationship Id="rId218" Type="http://schemas.openxmlformats.org/officeDocument/2006/relationships/hyperlink" Target="https://www.munzee.com/m/KarelVeliky/1975/" TargetMode="External"/><Relationship Id="rId213" Type="http://schemas.openxmlformats.org/officeDocument/2006/relationships/hyperlink" Target="https://www.munzee.com/m/mathew611/726/" TargetMode="External"/><Relationship Id="rId212" Type="http://schemas.openxmlformats.org/officeDocument/2006/relationships/hyperlink" Target="https://www.munzee.com/m/Kapor24/709/" TargetMode="External"/><Relationship Id="rId211" Type="http://schemas.openxmlformats.org/officeDocument/2006/relationships/hyperlink" Target="https://www.munzee.com/m/ponu/8426/" TargetMode="External"/><Relationship Id="rId210" Type="http://schemas.openxmlformats.org/officeDocument/2006/relationships/hyperlink" Target="https://www.munzee.com/m/Rikitan/3745/" TargetMode="External"/><Relationship Id="rId129" Type="http://schemas.openxmlformats.org/officeDocument/2006/relationships/hyperlink" Target="https://www.munzee.com/m/mathew611/1300/" TargetMode="External"/><Relationship Id="rId128" Type="http://schemas.openxmlformats.org/officeDocument/2006/relationships/hyperlink" Target="https://www.munzee.com/m/scarlettdragon/892" TargetMode="External"/><Relationship Id="rId249" Type="http://schemas.openxmlformats.org/officeDocument/2006/relationships/hyperlink" Target="https://www.munzee.com/m/Neloras/931/" TargetMode="External"/><Relationship Id="rId127" Type="http://schemas.openxmlformats.org/officeDocument/2006/relationships/hyperlink" Target="https://www.munzee.com/m/Kumahelion/2076/" TargetMode="External"/><Relationship Id="rId248" Type="http://schemas.openxmlformats.org/officeDocument/2006/relationships/hyperlink" Target="https://www.munzee.com/m/Charonovci/1064" TargetMode="External"/><Relationship Id="rId126" Type="http://schemas.openxmlformats.org/officeDocument/2006/relationships/hyperlink" Target="https://www.munzee.com/m/TheEvilPoles/2408/" TargetMode="External"/><Relationship Id="rId247" Type="http://schemas.openxmlformats.org/officeDocument/2006/relationships/hyperlink" Target="https://www.munzee.com/m/Majsan/7686/" TargetMode="External"/><Relationship Id="rId121" Type="http://schemas.openxmlformats.org/officeDocument/2006/relationships/hyperlink" Target="https://www.munzee.com/m/DeLeeuwen/4571/" TargetMode="External"/><Relationship Id="rId242" Type="http://schemas.openxmlformats.org/officeDocument/2006/relationships/hyperlink" Target="https://www.munzee.com/m/mding4gold/9481" TargetMode="External"/><Relationship Id="rId120" Type="http://schemas.openxmlformats.org/officeDocument/2006/relationships/hyperlink" Target="https://www.munzee.com/m/Rikitan/3604/" TargetMode="External"/><Relationship Id="rId241" Type="http://schemas.openxmlformats.org/officeDocument/2006/relationships/hyperlink" Target="https://www.munzee.com/m/KarelVeliky/3002/" TargetMode="External"/><Relationship Id="rId240" Type="http://schemas.openxmlformats.org/officeDocument/2006/relationships/hyperlink" Target="https://www.munzee.com/m/Kumahelion/894/" TargetMode="External"/><Relationship Id="rId125" Type="http://schemas.openxmlformats.org/officeDocument/2006/relationships/hyperlink" Target="https://www.munzee.com/m/woenny/2005/admin/" TargetMode="External"/><Relationship Id="rId246" Type="http://schemas.openxmlformats.org/officeDocument/2006/relationships/hyperlink" Target="https://www.munzee.com/m/Centern/10012/" TargetMode="External"/><Relationship Id="rId124" Type="http://schemas.openxmlformats.org/officeDocument/2006/relationships/hyperlink" Target="https://www.munzee.com/m/florish/2286/" TargetMode="External"/><Relationship Id="rId245" Type="http://schemas.openxmlformats.org/officeDocument/2006/relationships/hyperlink" Target="https://www.munzee.com/m/KarelVeliky/3964/" TargetMode="External"/><Relationship Id="rId123" Type="http://schemas.openxmlformats.org/officeDocument/2006/relationships/hyperlink" Target="https://www.munzee.com/m/Kapor24/797/" TargetMode="External"/><Relationship Id="rId244" Type="http://schemas.openxmlformats.org/officeDocument/2006/relationships/hyperlink" Target="https://www.munzee.com/m/29Februaris/1044/admin/" TargetMode="External"/><Relationship Id="rId122" Type="http://schemas.openxmlformats.org/officeDocument/2006/relationships/hyperlink" Target="https://www.munzee.com/m/Nicolet/196/" TargetMode="External"/><Relationship Id="rId243" Type="http://schemas.openxmlformats.org/officeDocument/2006/relationships/hyperlink" Target="https://www.munzee.com/m/Kapor24/704/" TargetMode="External"/><Relationship Id="rId95" Type="http://schemas.openxmlformats.org/officeDocument/2006/relationships/hyperlink" Target="https://www.munzee.com/m/KarelVeliky/2134/" TargetMode="External"/><Relationship Id="rId94" Type="http://schemas.openxmlformats.org/officeDocument/2006/relationships/hyperlink" Target="https://www.munzee.com/m/Neloras/1269/" TargetMode="External"/><Relationship Id="rId97" Type="http://schemas.openxmlformats.org/officeDocument/2006/relationships/hyperlink" Target="https://www.munzee.com/m/Neloras/1270/" TargetMode="External"/><Relationship Id="rId96" Type="http://schemas.openxmlformats.org/officeDocument/2006/relationships/hyperlink" Target="https://www.munzee.com/m/29Februaris/984/admin/" TargetMode="External"/><Relationship Id="rId99" Type="http://schemas.openxmlformats.org/officeDocument/2006/relationships/hyperlink" Target="https://www.munzee.com/m/nyisutter/9145/" TargetMode="External"/><Relationship Id="rId98" Type="http://schemas.openxmlformats.org/officeDocument/2006/relationships/hyperlink" Target="https://www.munzee.com/m/harrie56/3443/" TargetMode="External"/><Relationship Id="rId91" Type="http://schemas.openxmlformats.org/officeDocument/2006/relationships/hyperlink" Target="https://www.munzee.com/m/Nicolet/168/" TargetMode="External"/><Relationship Id="rId90" Type="http://schemas.openxmlformats.org/officeDocument/2006/relationships/hyperlink" Target="https://www.munzee.com/m/Neloras/1217/" TargetMode="External"/><Relationship Id="rId93" Type="http://schemas.openxmlformats.org/officeDocument/2006/relationships/hyperlink" Target="https://www.munzee.com/m/kepke3/1130/" TargetMode="External"/><Relationship Id="rId92" Type="http://schemas.openxmlformats.org/officeDocument/2006/relationships/hyperlink" Target="https://www.munzee.com/m/Adushka/408/" TargetMode="External"/><Relationship Id="rId118" Type="http://schemas.openxmlformats.org/officeDocument/2006/relationships/hyperlink" Target="https://www.munzee.com/m/Kapor24/786/" TargetMode="External"/><Relationship Id="rId239" Type="http://schemas.openxmlformats.org/officeDocument/2006/relationships/hyperlink" Target="https://www.munzee.com/m/mathew611/705/" TargetMode="External"/><Relationship Id="rId117" Type="http://schemas.openxmlformats.org/officeDocument/2006/relationships/hyperlink" Target="https://www.munzee.com/m/jurikvandspol/769/" TargetMode="External"/><Relationship Id="rId238" Type="http://schemas.openxmlformats.org/officeDocument/2006/relationships/hyperlink" Target="https://www.munzee.com/m/Kapor24/712/" TargetMode="External"/><Relationship Id="rId116" Type="http://schemas.openxmlformats.org/officeDocument/2006/relationships/hyperlink" Target="https://www.munzee.com/m/Lorax1/363/" TargetMode="External"/><Relationship Id="rId237" Type="http://schemas.openxmlformats.org/officeDocument/2006/relationships/hyperlink" Target="https://www.munzee.com/m/Nicolet/36/" TargetMode="External"/><Relationship Id="rId115" Type="http://schemas.openxmlformats.org/officeDocument/2006/relationships/hyperlink" Target="https://www.munzee.com/m/destolkjes4ever/4803/" TargetMode="External"/><Relationship Id="rId236" Type="http://schemas.openxmlformats.org/officeDocument/2006/relationships/hyperlink" Target="https://www.munzee.com/m/mathew611/1366/" TargetMode="External"/><Relationship Id="rId119" Type="http://schemas.openxmlformats.org/officeDocument/2006/relationships/hyperlink" Target="https://www.munzee.com/m/Nicolet/186/" TargetMode="External"/><Relationship Id="rId110" Type="http://schemas.openxmlformats.org/officeDocument/2006/relationships/hyperlink" Target="https://www.munzee.com/m/Neloras/1214/" TargetMode="External"/><Relationship Id="rId231" Type="http://schemas.openxmlformats.org/officeDocument/2006/relationships/hyperlink" Target="https://www.munzee.com/m/Nicolet/25/" TargetMode="External"/><Relationship Id="rId230" Type="http://schemas.openxmlformats.org/officeDocument/2006/relationships/hyperlink" Target="https://www.munzee.com/m/chaosmanor/2091" TargetMode="External"/><Relationship Id="rId114" Type="http://schemas.openxmlformats.org/officeDocument/2006/relationships/hyperlink" Target="https://www.munzee.com/m/mathew611/762/" TargetMode="External"/><Relationship Id="rId235" Type="http://schemas.openxmlformats.org/officeDocument/2006/relationships/hyperlink" Target="https://www.munzee.com/m/Sidcup/11493/admin/" TargetMode="External"/><Relationship Id="rId113" Type="http://schemas.openxmlformats.org/officeDocument/2006/relationships/hyperlink" Target="https://www.munzee.com/m/Kapor24/785/" TargetMode="External"/><Relationship Id="rId234" Type="http://schemas.openxmlformats.org/officeDocument/2006/relationships/hyperlink" Target="https://www.munzee.com/m/Neloras/1124/" TargetMode="External"/><Relationship Id="rId112" Type="http://schemas.openxmlformats.org/officeDocument/2006/relationships/hyperlink" Target="https://www.munzee.com/m/Lorax1/736" TargetMode="External"/><Relationship Id="rId233" Type="http://schemas.openxmlformats.org/officeDocument/2006/relationships/hyperlink" Target="https://www.munzee.com/m/Kapor24/666/" TargetMode="External"/><Relationship Id="rId111" Type="http://schemas.openxmlformats.org/officeDocument/2006/relationships/hyperlink" Target="https://www.munzee.com/m/mathew611/754/" TargetMode="External"/><Relationship Id="rId232" Type="http://schemas.openxmlformats.org/officeDocument/2006/relationships/hyperlink" Target="https://www.munzee.com/m/taska1981/6695/" TargetMode="External"/><Relationship Id="rId305" Type="http://schemas.openxmlformats.org/officeDocument/2006/relationships/hyperlink" Target="https://www.munzee.com/m/mathew611/672/" TargetMode="External"/><Relationship Id="rId304" Type="http://schemas.openxmlformats.org/officeDocument/2006/relationships/hyperlink" Target="https://www.munzee.com/m/and2470/162/" TargetMode="External"/><Relationship Id="rId303" Type="http://schemas.openxmlformats.org/officeDocument/2006/relationships/hyperlink" Target="https://www.munzee.com/m/29Februaris/756/admin/" TargetMode="External"/><Relationship Id="rId302" Type="http://schemas.openxmlformats.org/officeDocument/2006/relationships/hyperlink" Target="https://www.munzee.com/m/EeveeFox/1016" TargetMode="External"/><Relationship Id="rId309" Type="http://schemas.openxmlformats.org/officeDocument/2006/relationships/hyperlink" Target="https://www.munzee.com/m/tcguru/17096/" TargetMode="External"/><Relationship Id="rId308" Type="http://schemas.openxmlformats.org/officeDocument/2006/relationships/hyperlink" Target="https://www.munzee.com/m/Kapor24/694/" TargetMode="External"/><Relationship Id="rId307" Type="http://schemas.openxmlformats.org/officeDocument/2006/relationships/hyperlink" Target="https://www.munzee.com/m/and2470/815/" TargetMode="External"/><Relationship Id="rId306" Type="http://schemas.openxmlformats.org/officeDocument/2006/relationships/hyperlink" Target="https://www.munzee.com/m/Neloras/884/" TargetMode="External"/><Relationship Id="rId301" Type="http://schemas.openxmlformats.org/officeDocument/2006/relationships/hyperlink" Target="https://www.munzee.com/m/Charonovci/1508" TargetMode="External"/><Relationship Id="rId300" Type="http://schemas.openxmlformats.org/officeDocument/2006/relationships/hyperlink" Target="https://www.munzee.com/m/Rikitan/6634/" TargetMode="External"/><Relationship Id="rId206" Type="http://schemas.openxmlformats.org/officeDocument/2006/relationships/hyperlink" Target="https://www.munzee.com/m/Lorax1/762/" TargetMode="External"/><Relationship Id="rId205" Type="http://schemas.openxmlformats.org/officeDocument/2006/relationships/hyperlink" Target="https://www.munzee.com/m/mathew611/717/" TargetMode="External"/><Relationship Id="rId204" Type="http://schemas.openxmlformats.org/officeDocument/2006/relationships/hyperlink" Target="https://www.munzee.com/m/CopperWings/2462/" TargetMode="External"/><Relationship Id="rId203" Type="http://schemas.openxmlformats.org/officeDocument/2006/relationships/hyperlink" Target="https://www.munzee.com/m/Charonovci/1424" TargetMode="External"/><Relationship Id="rId209" Type="http://schemas.openxmlformats.org/officeDocument/2006/relationships/hyperlink" Target="https://www.munzee.com/m/jurikvandspol/767/" TargetMode="External"/><Relationship Id="rId208" Type="http://schemas.openxmlformats.org/officeDocument/2006/relationships/hyperlink" Target="https://www.munzee.com/m/mathew611/718/" TargetMode="External"/><Relationship Id="rId207" Type="http://schemas.openxmlformats.org/officeDocument/2006/relationships/hyperlink" Target="https://www.munzee.com/m/Kapor24/705/" TargetMode="External"/><Relationship Id="rId202" Type="http://schemas.openxmlformats.org/officeDocument/2006/relationships/hyperlink" Target="https://www.munzee.com/m/29Februaris/749/admin/" TargetMode="External"/><Relationship Id="rId201" Type="http://schemas.openxmlformats.org/officeDocument/2006/relationships/hyperlink" Target="https://www.munzee.com/m/Nicolet/49/" TargetMode="External"/><Relationship Id="rId322" Type="http://schemas.openxmlformats.org/officeDocument/2006/relationships/drawing" Target="../drawings/drawing1.xml"/><Relationship Id="rId200" Type="http://schemas.openxmlformats.org/officeDocument/2006/relationships/hyperlink" Target="https://www.munzee.com/m/Neloras/1088/" TargetMode="External"/><Relationship Id="rId321" Type="http://schemas.openxmlformats.org/officeDocument/2006/relationships/hyperlink" Target="https://www.munzee.com/m/StaceyZ/7164/admin/" TargetMode="External"/><Relationship Id="rId320" Type="http://schemas.openxmlformats.org/officeDocument/2006/relationships/hyperlink" Target="https://www.munzee.com/m/barefootguru/7496/" TargetMode="External"/><Relationship Id="rId316" Type="http://schemas.openxmlformats.org/officeDocument/2006/relationships/hyperlink" Target="https://www.munzee.com/m/and2470/770/" TargetMode="External"/><Relationship Id="rId315" Type="http://schemas.openxmlformats.org/officeDocument/2006/relationships/hyperlink" Target="https://www.munzee.com/m/Kapor24/956/" TargetMode="External"/><Relationship Id="rId314" Type="http://schemas.openxmlformats.org/officeDocument/2006/relationships/hyperlink" Target="https://www.munzee.com/m/florish/2262/" TargetMode="External"/><Relationship Id="rId313" Type="http://schemas.openxmlformats.org/officeDocument/2006/relationships/hyperlink" Target="https://www.munzee.com/m/Neloras/842/" TargetMode="External"/><Relationship Id="rId319" Type="http://schemas.openxmlformats.org/officeDocument/2006/relationships/hyperlink" Target="https://www.munzee.com/m/scarlettdragon/879/" TargetMode="External"/><Relationship Id="rId318" Type="http://schemas.openxmlformats.org/officeDocument/2006/relationships/hyperlink" Target="https://www.munzee.com/m/Nicolet/381/" TargetMode="External"/><Relationship Id="rId317" Type="http://schemas.openxmlformats.org/officeDocument/2006/relationships/hyperlink" Target="https://www.munzee.com/m/mathew611/917/" TargetMode="External"/><Relationship Id="rId312" Type="http://schemas.openxmlformats.org/officeDocument/2006/relationships/hyperlink" Target="https://www.munzee.com/m/Traycee/8288/" TargetMode="External"/><Relationship Id="rId311" Type="http://schemas.openxmlformats.org/officeDocument/2006/relationships/hyperlink" Target="https://www.munzee.com/m/mortonfox/24416/admin/" TargetMode="External"/><Relationship Id="rId310" Type="http://schemas.openxmlformats.org/officeDocument/2006/relationships/hyperlink" Target="https://www.munzee.com/m/Nicolet/24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inyurl.com/SKgarden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unzee.com/m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5.75"/>
    <col customWidth="1" min="2" max="2" width="28.38"/>
    <col customWidth="1" min="3" max="4" width="4.88"/>
    <col customWidth="1" min="5" max="5" width="11.75"/>
    <col customWidth="1" min="6" max="6" width="12.5"/>
    <col customWidth="1" min="7" max="7" width="14.5"/>
    <col customWidth="1" min="8" max="8" width="17.0"/>
    <col customWidth="1" min="9" max="9" width="41.0"/>
    <col customWidth="1" min="10" max="10" width="22.13"/>
    <col customWidth="1" min="11" max="11" width="8.88"/>
    <col customWidth="1" hidden="1" min="12" max="14" width="7.0"/>
    <col customWidth="1" hidden="1" min="15" max="15" width="8.88"/>
    <col customWidth="1" min="16" max="16" width="16.75"/>
    <col hidden="1" min="17" max="22" width="12.63"/>
  </cols>
  <sheetData>
    <row r="1" ht="26.25" customHeight="1">
      <c r="A1" s="1"/>
      <c r="B1" s="2" t="s">
        <v>0</v>
      </c>
      <c r="C1" s="1"/>
      <c r="D1" s="1"/>
      <c r="E1" s="3" t="s">
        <v>1</v>
      </c>
      <c r="F1" s="4" t="s">
        <v>2</v>
      </c>
      <c r="G1" s="5"/>
      <c r="H1" s="6"/>
      <c r="I1" s="7" t="s">
        <v>3</v>
      </c>
      <c r="J1" s="8" t="s">
        <v>4</v>
      </c>
      <c r="K1" s="9"/>
      <c r="Q1" s="10"/>
      <c r="R1" s="10"/>
      <c r="S1" s="10"/>
      <c r="T1" s="10"/>
      <c r="U1" s="10"/>
      <c r="V1" s="11">
        <f>sum(V8:V130)</f>
        <v>46</v>
      </c>
    </row>
    <row r="2" ht="15.0" customHeight="1">
      <c r="A2" s="12"/>
      <c r="B2" s="13" t="s">
        <v>5</v>
      </c>
      <c r="C2" s="12"/>
      <c r="D2" s="14" t="s">
        <v>6</v>
      </c>
      <c r="E2" s="15">
        <f>sum(L:L)</f>
        <v>39</v>
      </c>
      <c r="F2" s="16">
        <f t="shared" ref="F2:F5" si="1">$E2/$E$6</f>
        <v>0.1092436975</v>
      </c>
      <c r="G2" s="17" t="s">
        <v>7</v>
      </c>
      <c r="Q2" s="18"/>
      <c r="R2" s="18"/>
      <c r="S2" s="18"/>
      <c r="T2" s="18"/>
      <c r="U2" s="18"/>
      <c r="V2" s="18"/>
    </row>
    <row r="3" ht="15.0" customHeight="1">
      <c r="A3" s="12"/>
      <c r="B3" s="19" t="s">
        <v>8</v>
      </c>
      <c r="C3" s="12"/>
      <c r="D3" s="14" t="s">
        <v>9</v>
      </c>
      <c r="E3" s="20">
        <f>sum(M:M)</f>
        <v>0</v>
      </c>
      <c r="F3" s="16">
        <f t="shared" si="1"/>
        <v>0</v>
      </c>
      <c r="Q3" s="18"/>
      <c r="R3" s="18"/>
      <c r="S3" s="18"/>
      <c r="T3" s="18"/>
      <c r="U3" s="18"/>
      <c r="V3" s="18"/>
    </row>
    <row r="4" ht="15.0" customHeight="1">
      <c r="A4" s="12"/>
      <c r="B4" s="21" t="str">
        <f>HYPERLINK("http://gardenpainter.ide.sk/paint.php","Created with Gardenpainter")</f>
        <v>Created with Gardenpainter</v>
      </c>
      <c r="C4" s="12"/>
      <c r="D4" s="14" t="s">
        <v>10</v>
      </c>
      <c r="E4" s="22">
        <f>sum(N:N)</f>
        <v>3</v>
      </c>
      <c r="F4" s="16">
        <f t="shared" si="1"/>
        <v>0.008403361345</v>
      </c>
      <c r="Q4" s="18"/>
      <c r="R4" s="18"/>
      <c r="S4" s="18"/>
      <c r="T4" s="18"/>
      <c r="U4" s="18"/>
      <c r="V4" s="18"/>
    </row>
    <row r="5" ht="15.0" customHeight="1">
      <c r="A5" s="12"/>
      <c r="B5" s="23" t="s">
        <v>11</v>
      </c>
      <c r="C5" s="24"/>
      <c r="D5" s="14" t="s">
        <v>12</v>
      </c>
      <c r="E5" s="25">
        <f>countif(K:K,TRUE)</f>
        <v>315</v>
      </c>
      <c r="F5" s="16">
        <f t="shared" si="1"/>
        <v>0.8823529412</v>
      </c>
      <c r="Q5" s="18"/>
      <c r="R5" s="18"/>
      <c r="S5" s="18"/>
      <c r="T5" s="18"/>
      <c r="U5" s="18"/>
      <c r="V5" s="18"/>
    </row>
    <row r="6" ht="15.0" customHeight="1">
      <c r="A6" s="26"/>
      <c r="B6" s="27" t="s">
        <v>13</v>
      </c>
      <c r="C6" s="28"/>
      <c r="D6" s="29" t="s">
        <v>14</v>
      </c>
      <c r="E6" s="30">
        <f>counta(B8:B370)</f>
        <v>357</v>
      </c>
      <c r="F6" s="31"/>
      <c r="G6" s="32"/>
      <c r="H6" s="32"/>
      <c r="I6" s="32"/>
      <c r="J6" s="32"/>
      <c r="K6" s="32"/>
      <c r="L6" s="32"/>
      <c r="M6" s="32"/>
      <c r="N6" s="32"/>
      <c r="O6" s="32"/>
      <c r="P6" s="32"/>
      <c r="Q6" s="33"/>
      <c r="R6" s="33"/>
      <c r="S6" s="33"/>
      <c r="T6" s="33"/>
      <c r="U6" s="33"/>
      <c r="V6" s="33"/>
    </row>
    <row r="7" ht="18.0" customHeight="1">
      <c r="A7" s="34" t="s">
        <v>15</v>
      </c>
      <c r="B7" s="35" t="s">
        <v>16</v>
      </c>
      <c r="C7" s="36" t="s">
        <v>17</v>
      </c>
      <c r="D7" s="37" t="s">
        <v>18</v>
      </c>
      <c r="E7" s="38" t="s">
        <v>19</v>
      </c>
      <c r="F7" s="38" t="s">
        <v>20</v>
      </c>
      <c r="G7" s="39" t="s">
        <v>21</v>
      </c>
      <c r="H7" s="39" t="s">
        <v>22</v>
      </c>
      <c r="I7" s="40" t="s">
        <v>23</v>
      </c>
      <c r="J7" s="41" t="s">
        <v>24</v>
      </c>
      <c r="K7" s="42" t="s">
        <v>25</v>
      </c>
      <c r="L7" s="43" t="s">
        <v>26</v>
      </c>
      <c r="M7" s="44" t="s">
        <v>27</v>
      </c>
      <c r="N7" s="45" t="s">
        <v>28</v>
      </c>
      <c r="O7" s="46" t="s">
        <v>29</v>
      </c>
      <c r="P7" s="47" t="s">
        <v>30</v>
      </c>
      <c r="Q7" s="48"/>
      <c r="R7" s="48"/>
      <c r="S7" s="48"/>
      <c r="T7" s="48"/>
      <c r="U7" s="49" t="s">
        <v>31</v>
      </c>
      <c r="V7" s="49" t="s">
        <v>32</v>
      </c>
    </row>
    <row r="8" ht="15.0" customHeight="1">
      <c r="A8" s="50">
        <v>1.0</v>
      </c>
      <c r="B8" s="51" t="str">
        <f t="shared" ref="B8:B364" si="2">$B$1&amp;" #"&amp;$A8&amp;" | R"&amp;C8&amp;" - C"&amp;D8</f>
        <v>Chilli 🌶️ Killer ☠️ #1 | R1 - C23</v>
      </c>
      <c r="C8" s="52">
        <v>1.0</v>
      </c>
      <c r="D8" s="52">
        <v>23.0</v>
      </c>
      <c r="E8" s="53">
        <v>48.1633439</v>
      </c>
      <c r="F8" s="53">
        <v>17.14716153</v>
      </c>
      <c r="G8" s="54" t="s">
        <v>33</v>
      </c>
      <c r="H8" s="55" t="str">
        <f t="shared" ref="H8:H46" si="3">IF(AND(ISURL(I8),ISTEXT(G8)),U8,IF(ISURL(I8),"&lt; Choose type","Insert URL ▶"))</f>
        <v>CoffeeEater</v>
      </c>
      <c r="I8" s="56" t="s">
        <v>34</v>
      </c>
      <c r="J8" s="57"/>
      <c r="K8" s="58" t="b">
        <v>1</v>
      </c>
      <c r="L8" s="59">
        <f t="shared" ref="L8:L46" si="4">IF($I8="",1,0)</f>
        <v>0</v>
      </c>
      <c r="M8" s="59">
        <f t="shared" ref="M8:M46" si="5">IF(AND($I8&lt;&gt;"",$H8="Insert URL ▶"),1,0)</f>
        <v>0</v>
      </c>
      <c r="N8" s="59">
        <f t="shared" ref="N8:N46" si="6">IF(K8=TRUE,0,IF(AND($I8&lt;&gt;"",$H8&lt;&gt;"Insert URL ▶"),1,0))</f>
        <v>0</v>
      </c>
      <c r="O8" s="60" t="str">
        <f t="shared" ref="O8:O40" si="7">IF($N8=1,HYPERLINK($I8&amp;"map/?lat="&amp;$E8&amp;"lon="&amp;$F8&amp;"type="&amp;$G8,"Munzee"),"")</f>
        <v/>
      </c>
      <c r="P8" s="61" t="str">
        <f>IFERROR(__xludf.DUMMYFUNCTION("IF($N8=1,IFERROR(IMPORTXML($I8, ""//p[@class='status-date']""), ""Not Loading""),"""")"),"")</f>
        <v/>
      </c>
      <c r="Q8" s="62"/>
      <c r="R8" s="62"/>
      <c r="S8" s="62" t="str">
        <f>IFERROR(__xludf.DUMMYFUNCTION("IF($N8=1,IFERROR(IMPORTXML($I8, ""//span[@class='deployed-at']""), ""Not Loading""),"""")"),"")</f>
        <v/>
      </c>
      <c r="T8" s="62"/>
      <c r="U8" s="62" t="str">
        <f t="shared" ref="U8:U364" si="8">iferror(mid(I8,26,find("/",I8,26)-26),"")</f>
        <v>CoffeeEater</v>
      </c>
      <c r="V8" s="63">
        <f>IFERROR(__xludf.DUMMYFUNCTION("iferror(VALUE(left(index(IMPORTXML(I10, ""//div[@class='col-lg-2 user-stat stat-green']""),2,1),len(index(IMPORTXML(I10, ""//div[@class='col-lg-2 user-stat stat-green']""),2,1))-8)),0)"),0.0)</f>
        <v>0</v>
      </c>
    </row>
    <row r="9" ht="15.0" customHeight="1">
      <c r="A9" s="50">
        <f t="shared" ref="A9:A364" si="9">1+A8</f>
        <v>2</v>
      </c>
      <c r="B9" s="51" t="str">
        <f t="shared" si="2"/>
        <v>Chilli 🌶️ Killer ☠️ #2 | R1 - C24</v>
      </c>
      <c r="C9" s="52">
        <v>1.0</v>
      </c>
      <c r="D9" s="52">
        <v>24.0</v>
      </c>
      <c r="E9" s="53">
        <v>48.1633439</v>
      </c>
      <c r="F9" s="53">
        <v>17.14737701</v>
      </c>
      <c r="G9" s="54" t="s">
        <v>33</v>
      </c>
      <c r="H9" s="55" t="str">
        <f t="shared" si="3"/>
        <v>harrie56</v>
      </c>
      <c r="I9" s="56" t="s">
        <v>35</v>
      </c>
      <c r="J9" s="57"/>
      <c r="K9" s="58" t="b">
        <v>1</v>
      </c>
      <c r="L9" s="59">
        <f t="shared" si="4"/>
        <v>0</v>
      </c>
      <c r="M9" s="59">
        <f t="shared" si="5"/>
        <v>0</v>
      </c>
      <c r="N9" s="59">
        <f t="shared" si="6"/>
        <v>0</v>
      </c>
      <c r="O9" s="60" t="str">
        <f t="shared" si="7"/>
        <v/>
      </c>
      <c r="P9" s="61" t="str">
        <f>IFERROR(__xludf.DUMMYFUNCTION("IF($N9=1,IFERROR(IMPORTXML($I9, ""//p[@class='status-date']""), ""Not Loading""),"""")"),"")</f>
        <v/>
      </c>
      <c r="Q9" s="64"/>
      <c r="R9" s="64"/>
      <c r="S9" s="64"/>
      <c r="T9" s="64"/>
      <c r="U9" s="62" t="str">
        <f t="shared" si="8"/>
        <v>harrie56</v>
      </c>
      <c r="V9" s="63">
        <f>IFERROR(__xludf.DUMMYFUNCTION("iferror(VALUE(left(index(IMPORTXML(I11, ""//div[@class='col-lg-2 user-stat stat-green']""),2,1),len(index(IMPORTXML(I11, ""//div[@class='col-lg-2 user-stat stat-green']""),2,1))-8)),0)"),0.0)</f>
        <v>0</v>
      </c>
    </row>
    <row r="10" ht="15.0" customHeight="1">
      <c r="A10" s="50">
        <f t="shared" si="9"/>
        <v>3</v>
      </c>
      <c r="B10" s="51" t="str">
        <f t="shared" si="2"/>
        <v>Chilli 🌶️ Killer ☠️ #3 | R1 - C25</v>
      </c>
      <c r="C10" s="52">
        <v>1.0</v>
      </c>
      <c r="D10" s="52">
        <v>25.0</v>
      </c>
      <c r="E10" s="53">
        <v>48.1633439</v>
      </c>
      <c r="F10" s="53">
        <v>17.14759249</v>
      </c>
      <c r="G10" s="54" t="s">
        <v>33</v>
      </c>
      <c r="H10" s="55" t="str">
        <f t="shared" si="3"/>
        <v>scoutref</v>
      </c>
      <c r="I10" s="56" t="s">
        <v>36</v>
      </c>
      <c r="J10" s="57"/>
      <c r="K10" s="58" t="b">
        <v>1</v>
      </c>
      <c r="L10" s="59">
        <f t="shared" si="4"/>
        <v>0</v>
      </c>
      <c r="M10" s="59">
        <f t="shared" si="5"/>
        <v>0</v>
      </c>
      <c r="N10" s="59">
        <f t="shared" si="6"/>
        <v>0</v>
      </c>
      <c r="O10" s="60" t="str">
        <f t="shared" si="7"/>
        <v/>
      </c>
      <c r="P10" s="61" t="str">
        <f>IFERROR(__xludf.DUMMYFUNCTION("IF($N10=1,IFERROR(IMPORTXML($I10, ""//p[@class='status-date']""), ""Not Loading""),"""")"),"")</f>
        <v/>
      </c>
      <c r="Q10" s="65"/>
      <c r="R10" s="65"/>
      <c r="S10" s="65"/>
      <c r="T10" s="65"/>
      <c r="U10" s="62" t="str">
        <f t="shared" si="8"/>
        <v>scoutref</v>
      </c>
      <c r="V10" s="63">
        <f>IFERROR(__xludf.DUMMYFUNCTION("iferror(VALUE(left(index(IMPORTXML(I12, ""//div[@class='col-lg-2 user-stat stat-green']""),2,1),len(index(IMPORTXML(I12, ""//div[@class='col-lg-2 user-stat stat-green']""),2,1))-8)),0)"),0.0)</f>
        <v>0</v>
      </c>
    </row>
    <row r="11" ht="15.0" customHeight="1">
      <c r="A11" s="50">
        <f t="shared" si="9"/>
        <v>4</v>
      </c>
      <c r="B11" s="51" t="str">
        <f t="shared" si="2"/>
        <v>Chilli 🌶️ Killer ☠️ #4 | R1 - C26</v>
      </c>
      <c r="C11" s="52">
        <v>1.0</v>
      </c>
      <c r="D11" s="52">
        <v>26.0</v>
      </c>
      <c r="E11" s="53">
        <v>48.1633439</v>
      </c>
      <c r="F11" s="53">
        <v>17.14780798</v>
      </c>
      <c r="G11" s="54" t="s">
        <v>33</v>
      </c>
      <c r="H11" s="55" t="str">
        <f t="shared" si="3"/>
        <v>jurikvandspol</v>
      </c>
      <c r="I11" s="56" t="s">
        <v>37</v>
      </c>
      <c r="J11" s="57"/>
      <c r="K11" s="58" t="b">
        <v>1</v>
      </c>
      <c r="L11" s="59">
        <f t="shared" si="4"/>
        <v>0</v>
      </c>
      <c r="M11" s="59">
        <f t="shared" si="5"/>
        <v>0</v>
      </c>
      <c r="N11" s="59">
        <f t="shared" si="6"/>
        <v>0</v>
      </c>
      <c r="O11" s="60" t="str">
        <f t="shared" si="7"/>
        <v/>
      </c>
      <c r="P11" s="61" t="str">
        <f>IFERROR(__xludf.DUMMYFUNCTION("IF($N11=1,IFERROR(IMPORTXML($I11, ""//p[@class='status-date']""), ""Not Loading""),"""")"),"")</f>
        <v/>
      </c>
      <c r="Q11" s="64"/>
      <c r="R11" s="64"/>
      <c r="S11" s="64"/>
      <c r="T11" s="64"/>
      <c r="U11" s="62" t="str">
        <f t="shared" si="8"/>
        <v>jurikvandspol</v>
      </c>
      <c r="V11" s="63">
        <f>IFERROR(__xludf.DUMMYFUNCTION("iferror(VALUE(left(index(IMPORTXML(I13, ""//div[@class='col-lg-2 user-stat stat-green']""),2,1),len(index(IMPORTXML(I13, ""//div[@class='col-lg-2 user-stat stat-green']""),2,1))-8)),0)"),0.0)</f>
        <v>0</v>
      </c>
    </row>
    <row r="12" ht="15.0" customHeight="1">
      <c r="A12" s="50">
        <f t="shared" si="9"/>
        <v>5</v>
      </c>
      <c r="B12" s="51" t="str">
        <f t="shared" si="2"/>
        <v>Chilli 🌶️ Killer ☠️ #5 | R1 - C27</v>
      </c>
      <c r="C12" s="52">
        <v>1.0</v>
      </c>
      <c r="D12" s="52">
        <v>27.0</v>
      </c>
      <c r="E12" s="53">
        <v>48.16334389</v>
      </c>
      <c r="F12" s="53">
        <v>17.14802346</v>
      </c>
      <c r="G12" s="54" t="s">
        <v>33</v>
      </c>
      <c r="H12" s="55" t="str">
        <f t="shared" si="3"/>
        <v>florish</v>
      </c>
      <c r="I12" s="56" t="s">
        <v>38</v>
      </c>
      <c r="J12" s="57"/>
      <c r="K12" s="58" t="b">
        <v>1</v>
      </c>
      <c r="L12" s="59">
        <f t="shared" si="4"/>
        <v>0</v>
      </c>
      <c r="M12" s="59">
        <f t="shared" si="5"/>
        <v>0</v>
      </c>
      <c r="N12" s="59">
        <f t="shared" si="6"/>
        <v>0</v>
      </c>
      <c r="O12" s="60" t="str">
        <f t="shared" si="7"/>
        <v/>
      </c>
      <c r="P12" s="61" t="str">
        <f>IFERROR(__xludf.DUMMYFUNCTION("IF($N12=1,IFERROR(IMPORTXML($I12, ""//p[@class='status-date']""), ""Not Loading""),"""")"),"")</f>
        <v/>
      </c>
      <c r="Q12" s="65"/>
      <c r="R12" s="65"/>
      <c r="S12" s="65"/>
      <c r="T12" s="65"/>
      <c r="U12" s="62" t="str">
        <f t="shared" si="8"/>
        <v>florish</v>
      </c>
      <c r="V12" s="63">
        <f>IFERROR(__xludf.DUMMYFUNCTION("iferror(VALUE(left(index(IMPORTXML(I14, ""//div[@class='col-lg-2 user-stat stat-green']""),2,1),len(index(IMPORTXML(I14, ""//div[@class='col-lg-2 user-stat stat-green']""),2,1))-8)),0)"),0.0)</f>
        <v>0</v>
      </c>
    </row>
    <row r="13" ht="15.0" customHeight="1">
      <c r="A13" s="50">
        <f t="shared" si="9"/>
        <v>6</v>
      </c>
      <c r="B13" s="51" t="str">
        <f t="shared" si="2"/>
        <v>Chilli 🌶️ Killer ☠️ #6 | R2 - C20</v>
      </c>
      <c r="C13" s="52">
        <v>2.0</v>
      </c>
      <c r="D13" s="52">
        <v>20.0</v>
      </c>
      <c r="E13" s="53">
        <v>48.16321942</v>
      </c>
      <c r="F13" s="53">
        <v>17.1466228</v>
      </c>
      <c r="G13" s="54" t="s">
        <v>33</v>
      </c>
      <c r="H13" s="55" t="str">
        <f t="shared" si="3"/>
        <v>humbird7</v>
      </c>
      <c r="I13" s="56" t="s">
        <v>39</v>
      </c>
      <c r="J13" s="57"/>
      <c r="K13" s="58" t="b">
        <v>1</v>
      </c>
      <c r="L13" s="59">
        <f t="shared" si="4"/>
        <v>0</v>
      </c>
      <c r="M13" s="59">
        <f t="shared" si="5"/>
        <v>0</v>
      </c>
      <c r="N13" s="59">
        <f t="shared" si="6"/>
        <v>0</v>
      </c>
      <c r="O13" s="60" t="str">
        <f t="shared" si="7"/>
        <v/>
      </c>
      <c r="P13" s="61" t="str">
        <f>IFERROR(__xludf.DUMMYFUNCTION("IF($N13=1,IFERROR(IMPORTXML($I13, ""//p[@class='status-date']""), ""Not Loading""),"""")"),"")</f>
        <v/>
      </c>
      <c r="Q13" s="64"/>
      <c r="R13" s="64"/>
      <c r="S13" s="64"/>
      <c r="T13" s="64"/>
      <c r="U13" s="62" t="str">
        <f t="shared" si="8"/>
        <v>humbird7</v>
      </c>
      <c r="V13" s="63">
        <f>IFERROR(__xludf.DUMMYFUNCTION("iferror(VALUE(left(index(IMPORTXML(I15, ""//div[@class='col-lg-2 user-stat stat-green']""),2,1),len(index(IMPORTXML(I15, ""//div[@class='col-lg-2 user-stat stat-green']""),2,1))-8)),0)"),0.0)</f>
        <v>0</v>
      </c>
    </row>
    <row r="14" ht="15.0" customHeight="1">
      <c r="A14" s="50">
        <f t="shared" si="9"/>
        <v>7</v>
      </c>
      <c r="B14" s="51" t="str">
        <f t="shared" si="2"/>
        <v>Chilli 🌶️ Killer ☠️ #7 | R2 - C21</v>
      </c>
      <c r="C14" s="52">
        <v>2.0</v>
      </c>
      <c r="D14" s="52">
        <v>21.0</v>
      </c>
      <c r="E14" s="53">
        <v>48.16321942</v>
      </c>
      <c r="F14" s="53">
        <v>17.14683828</v>
      </c>
      <c r="G14" s="54" t="s">
        <v>33</v>
      </c>
      <c r="H14" s="55" t="str">
        <f t="shared" si="3"/>
        <v>levesund</v>
      </c>
      <c r="I14" s="56" t="s">
        <v>40</v>
      </c>
      <c r="J14" s="57"/>
      <c r="K14" s="58" t="b">
        <v>1</v>
      </c>
      <c r="L14" s="59">
        <f t="shared" si="4"/>
        <v>0</v>
      </c>
      <c r="M14" s="59">
        <f t="shared" si="5"/>
        <v>0</v>
      </c>
      <c r="N14" s="59">
        <f t="shared" si="6"/>
        <v>0</v>
      </c>
      <c r="O14" s="60" t="str">
        <f t="shared" si="7"/>
        <v/>
      </c>
      <c r="P14" s="61" t="str">
        <f>IFERROR(__xludf.DUMMYFUNCTION("IF($N14=1,IFERROR(IMPORTXML($I14, ""//p[@class='status-date']""), ""Not Loading""),"""")"),"")</f>
        <v/>
      </c>
      <c r="Q14" s="65"/>
      <c r="R14" s="65"/>
      <c r="S14" s="65"/>
      <c r="T14" s="65"/>
      <c r="U14" s="62" t="str">
        <f t="shared" si="8"/>
        <v>levesund</v>
      </c>
      <c r="V14" s="63">
        <f>IFERROR(__xludf.DUMMYFUNCTION("iferror(VALUE(left(index(IMPORTXML(I16, ""//div[@class='col-lg-2 user-stat stat-green']""),2,1),len(index(IMPORTXML(I16, ""//div[@class='col-lg-2 user-stat stat-green']""),2,1))-8)),0)"),0.0)</f>
        <v>0</v>
      </c>
    </row>
    <row r="15" ht="15.0" customHeight="1">
      <c r="A15" s="50">
        <f t="shared" si="9"/>
        <v>8</v>
      </c>
      <c r="B15" s="51" t="str">
        <f t="shared" si="2"/>
        <v>Chilli 🌶️ Killer ☠️ #8 | R2 - C22</v>
      </c>
      <c r="C15" s="52">
        <v>2.0</v>
      </c>
      <c r="D15" s="52">
        <v>22.0</v>
      </c>
      <c r="E15" s="53">
        <v>48.16321942</v>
      </c>
      <c r="F15" s="53">
        <v>17.14705377</v>
      </c>
      <c r="G15" s="54" t="s">
        <v>33</v>
      </c>
      <c r="H15" s="55" t="str">
        <f t="shared" si="3"/>
        <v>MeanderingMonkeys</v>
      </c>
      <c r="I15" s="56" t="s">
        <v>41</v>
      </c>
      <c r="J15" s="57"/>
      <c r="K15" s="58" t="b">
        <v>1</v>
      </c>
      <c r="L15" s="59">
        <f t="shared" si="4"/>
        <v>0</v>
      </c>
      <c r="M15" s="59">
        <f t="shared" si="5"/>
        <v>0</v>
      </c>
      <c r="N15" s="59">
        <f t="shared" si="6"/>
        <v>0</v>
      </c>
      <c r="O15" s="60" t="str">
        <f t="shared" si="7"/>
        <v/>
      </c>
      <c r="P15" s="61" t="str">
        <f>IFERROR(__xludf.DUMMYFUNCTION("IF($N15=1,IFERROR(IMPORTXML($I15, ""//p[@class='status-date']""), ""Not Loading""),"""")"),"")</f>
        <v/>
      </c>
      <c r="Q15" s="64"/>
      <c r="R15" s="64"/>
      <c r="S15" s="64"/>
      <c r="T15" s="64"/>
      <c r="U15" s="62" t="str">
        <f t="shared" si="8"/>
        <v>MeanderingMonkeys</v>
      </c>
      <c r="V15" s="63">
        <f>IFERROR(__xludf.DUMMYFUNCTION("iferror(VALUE(left(index(IMPORTXML(I17, ""//div[@class='col-lg-2 user-stat stat-green']""),2,1),len(index(IMPORTXML(I17, ""//div[@class='col-lg-2 user-stat stat-green']""),2,1))-8)),0)"),0.0)</f>
        <v>0</v>
      </c>
    </row>
    <row r="16" ht="15.0" customHeight="1">
      <c r="A16" s="50">
        <f t="shared" si="9"/>
        <v>9</v>
      </c>
      <c r="B16" s="51" t="str">
        <f t="shared" si="2"/>
        <v>Chilli 🌶️ Killer ☠️ #9 | R2 - C23</v>
      </c>
      <c r="C16" s="52">
        <v>2.0</v>
      </c>
      <c r="D16" s="52">
        <v>23.0</v>
      </c>
      <c r="E16" s="53">
        <v>48.16321942</v>
      </c>
      <c r="F16" s="53">
        <v>17.14726925</v>
      </c>
      <c r="G16" s="54" t="s">
        <v>42</v>
      </c>
      <c r="H16" s="55" t="str">
        <f t="shared" si="3"/>
        <v>Rikitan</v>
      </c>
      <c r="I16" s="56" t="s">
        <v>43</v>
      </c>
      <c r="J16" s="66"/>
      <c r="K16" s="58" t="b">
        <v>1</v>
      </c>
      <c r="L16" s="59">
        <f t="shared" si="4"/>
        <v>0</v>
      </c>
      <c r="M16" s="59">
        <f t="shared" si="5"/>
        <v>0</v>
      </c>
      <c r="N16" s="59">
        <f t="shared" si="6"/>
        <v>0</v>
      </c>
      <c r="O16" s="60" t="str">
        <f t="shared" si="7"/>
        <v/>
      </c>
      <c r="P16" s="61" t="str">
        <f>IFERROR(__xludf.DUMMYFUNCTION("IF($N16=1,IFERROR(IMPORTXML($I16, ""//p[@class='status-date']""), ""Not Loading""),"""")"),"")</f>
        <v/>
      </c>
      <c r="Q16" s="65"/>
      <c r="R16" s="65"/>
      <c r="S16" s="65"/>
      <c r="T16" s="65"/>
      <c r="U16" s="62" t="str">
        <f t="shared" si="8"/>
        <v>Rikitan</v>
      </c>
      <c r="V16" s="63">
        <f>IFERROR(__xludf.DUMMYFUNCTION("iferror(VALUE(left(index(IMPORTXML(I18, ""//div[@class='col-lg-2 user-stat stat-green']""),2,1),len(index(IMPORTXML(I18, ""//div[@class='col-lg-2 user-stat stat-green']""),2,1))-8)),0)"),0.0)</f>
        <v>0</v>
      </c>
    </row>
    <row r="17" ht="15.0" customHeight="1">
      <c r="A17" s="50">
        <f t="shared" si="9"/>
        <v>10</v>
      </c>
      <c r="B17" s="51" t="str">
        <f t="shared" si="2"/>
        <v>Chilli 🌶️ Killer ☠️ #10 | R2 - C24</v>
      </c>
      <c r="C17" s="52">
        <v>2.0</v>
      </c>
      <c r="D17" s="52">
        <v>24.0</v>
      </c>
      <c r="E17" s="53">
        <v>48.16321942</v>
      </c>
      <c r="F17" s="53">
        <v>17.14748473</v>
      </c>
      <c r="G17" s="54" t="s">
        <v>42</v>
      </c>
      <c r="H17" s="55" t="str">
        <f t="shared" si="3"/>
        <v>Kapor24</v>
      </c>
      <c r="I17" s="56" t="s">
        <v>44</v>
      </c>
      <c r="J17" s="66"/>
      <c r="K17" s="58" t="b">
        <v>1</v>
      </c>
      <c r="L17" s="59">
        <f t="shared" si="4"/>
        <v>0</v>
      </c>
      <c r="M17" s="59">
        <f t="shared" si="5"/>
        <v>0</v>
      </c>
      <c r="N17" s="59">
        <f t="shared" si="6"/>
        <v>0</v>
      </c>
      <c r="O17" s="60" t="str">
        <f t="shared" si="7"/>
        <v/>
      </c>
      <c r="P17" s="61" t="str">
        <f>IFERROR(__xludf.DUMMYFUNCTION("IF($N17=1,IFERROR(IMPORTXML($I17, ""//p[@class='status-date']""), ""Not Loading""),"""")"),"")</f>
        <v/>
      </c>
      <c r="Q17" s="64"/>
      <c r="R17" s="64"/>
      <c r="S17" s="64"/>
      <c r="T17" s="64"/>
      <c r="U17" s="62" t="str">
        <f t="shared" si="8"/>
        <v>Kapor24</v>
      </c>
      <c r="V17" s="63">
        <f>IFERROR(__xludf.DUMMYFUNCTION("iferror(VALUE(left(index(IMPORTXML(I19, ""//div[@class='col-lg-2 user-stat stat-green']""),2,1),len(index(IMPORTXML(I19, ""//div[@class='col-lg-2 user-stat stat-green']""),2,1))-8)),0)"),0.0)</f>
        <v>0</v>
      </c>
    </row>
    <row r="18" ht="15.0" customHeight="1">
      <c r="A18" s="50">
        <f t="shared" si="9"/>
        <v>11</v>
      </c>
      <c r="B18" s="51" t="str">
        <f t="shared" si="2"/>
        <v>Chilli 🌶️ Killer ☠️ #11 | R2 - C25</v>
      </c>
      <c r="C18" s="52">
        <v>2.0</v>
      </c>
      <c r="D18" s="52">
        <v>25.0</v>
      </c>
      <c r="E18" s="53">
        <v>48.16321942</v>
      </c>
      <c r="F18" s="53">
        <v>17.14770022</v>
      </c>
      <c r="G18" s="54" t="s">
        <v>42</v>
      </c>
      <c r="H18" s="55" t="str">
        <f t="shared" si="3"/>
        <v>Maxi72</v>
      </c>
      <c r="I18" s="56" t="s">
        <v>45</v>
      </c>
      <c r="J18" s="57"/>
      <c r="K18" s="58" t="b">
        <v>1</v>
      </c>
      <c r="L18" s="59">
        <f t="shared" si="4"/>
        <v>0</v>
      </c>
      <c r="M18" s="59">
        <f t="shared" si="5"/>
        <v>0</v>
      </c>
      <c r="N18" s="59">
        <f t="shared" si="6"/>
        <v>0</v>
      </c>
      <c r="O18" s="60" t="str">
        <f t="shared" si="7"/>
        <v/>
      </c>
      <c r="P18" s="61" t="str">
        <f>IFERROR(__xludf.DUMMYFUNCTION("IF($N18=1,IFERROR(IMPORTXML($I18, ""//p[@class='status-date']""), ""Not Loading""),"""")"),"")</f>
        <v/>
      </c>
      <c r="Q18" s="65"/>
      <c r="R18" s="65"/>
      <c r="S18" s="65"/>
      <c r="T18" s="65"/>
      <c r="U18" s="62" t="str">
        <f t="shared" si="8"/>
        <v>Maxi72</v>
      </c>
      <c r="V18" s="63">
        <f>IFERROR(__xludf.DUMMYFUNCTION("iferror(VALUE(left(index(IMPORTXML(I20, ""//div[@class='col-lg-2 user-stat stat-green']""),2,1),len(index(IMPORTXML(I20, ""//div[@class='col-lg-2 user-stat stat-green']""),2,1))-8)),0)"),0.0)</f>
        <v>0</v>
      </c>
    </row>
    <row r="19" ht="15.0" customHeight="1">
      <c r="A19" s="50">
        <f t="shared" si="9"/>
        <v>12</v>
      </c>
      <c r="B19" s="51" t="str">
        <f t="shared" si="2"/>
        <v>Chilli 🌶️ Killer ☠️ #12 | R2 - C26</v>
      </c>
      <c r="C19" s="52">
        <v>2.0</v>
      </c>
      <c r="D19" s="52">
        <v>26.0</v>
      </c>
      <c r="E19" s="53">
        <v>48.16321942</v>
      </c>
      <c r="F19" s="53">
        <v>17.1479157</v>
      </c>
      <c r="G19" s="54" t="s">
        <v>42</v>
      </c>
      <c r="H19" s="55" t="str">
        <f t="shared" si="3"/>
        <v>Rikitan</v>
      </c>
      <c r="I19" s="56" t="s">
        <v>46</v>
      </c>
      <c r="J19" s="66"/>
      <c r="K19" s="58" t="b">
        <v>1</v>
      </c>
      <c r="L19" s="59">
        <f t="shared" si="4"/>
        <v>0</v>
      </c>
      <c r="M19" s="59">
        <f t="shared" si="5"/>
        <v>0</v>
      </c>
      <c r="N19" s="59">
        <f t="shared" si="6"/>
        <v>0</v>
      </c>
      <c r="O19" s="60" t="str">
        <f t="shared" si="7"/>
        <v/>
      </c>
      <c r="P19" s="61" t="str">
        <f>IFERROR(__xludf.DUMMYFUNCTION("IF($N19=1,IFERROR(IMPORTXML($I19, ""//p[@class='status-date']""), ""Not Loading""),"""")"),"")</f>
        <v/>
      </c>
      <c r="Q19" s="64"/>
      <c r="R19" s="64"/>
      <c r="S19" s="64"/>
      <c r="T19" s="64"/>
      <c r="U19" s="62" t="str">
        <f t="shared" si="8"/>
        <v>Rikitan</v>
      </c>
      <c r="V19" s="63">
        <f>IFERROR(__xludf.DUMMYFUNCTION("iferror(VALUE(left(index(IMPORTXML(I21, ""//div[@class='col-lg-2 user-stat stat-green']""),2,1),len(index(IMPORTXML(I21, ""//div[@class='col-lg-2 user-stat stat-green']""),2,1))-8)),0)"),0.0)</f>
        <v>0</v>
      </c>
    </row>
    <row r="20" ht="15.0" customHeight="1">
      <c r="A20" s="50">
        <f t="shared" si="9"/>
        <v>13</v>
      </c>
      <c r="B20" s="51" t="str">
        <f t="shared" si="2"/>
        <v>Chilli 🌶️ Killer ☠️ #13 | R2 - C27</v>
      </c>
      <c r="C20" s="52">
        <v>2.0</v>
      </c>
      <c r="D20" s="52">
        <v>27.0</v>
      </c>
      <c r="E20" s="53">
        <v>48.16321942</v>
      </c>
      <c r="F20" s="53">
        <v>17.14813119</v>
      </c>
      <c r="G20" s="54" t="s">
        <v>33</v>
      </c>
      <c r="H20" s="55" t="str">
        <f t="shared" si="3"/>
        <v>harrie56</v>
      </c>
      <c r="I20" s="56" t="s">
        <v>47</v>
      </c>
      <c r="J20" s="57"/>
      <c r="K20" s="58" t="b">
        <v>1</v>
      </c>
      <c r="L20" s="59">
        <f t="shared" si="4"/>
        <v>0</v>
      </c>
      <c r="M20" s="59">
        <f t="shared" si="5"/>
        <v>0</v>
      </c>
      <c r="N20" s="59">
        <f t="shared" si="6"/>
        <v>0</v>
      </c>
      <c r="O20" s="60" t="str">
        <f t="shared" si="7"/>
        <v/>
      </c>
      <c r="P20" s="61" t="str">
        <f>IFERROR(__xludf.DUMMYFUNCTION("IF($N20=1,IFERROR(IMPORTXML($I20, ""//p[@class='status-date']""), ""Not Loading""),"""")"),"")</f>
        <v/>
      </c>
      <c r="Q20" s="65"/>
      <c r="R20" s="65"/>
      <c r="S20" s="65"/>
      <c r="T20" s="65"/>
      <c r="U20" s="62" t="str">
        <f t="shared" si="8"/>
        <v>harrie56</v>
      </c>
      <c r="V20" s="63">
        <f>IFERROR(__xludf.DUMMYFUNCTION("iferror(VALUE(left(index(IMPORTXML(I22, ""//div[@class='col-lg-2 user-stat stat-green']""),2,1),len(index(IMPORTXML(I22, ""//div[@class='col-lg-2 user-stat stat-green']""),2,1))-8)),0)"),0.0)</f>
        <v>0</v>
      </c>
    </row>
    <row r="21" ht="15.0" customHeight="1">
      <c r="A21" s="50">
        <f t="shared" si="9"/>
        <v>14</v>
      </c>
      <c r="B21" s="51" t="str">
        <f t="shared" si="2"/>
        <v>Chilli 🌶️ Killer ☠️ #14 | R2 - C28</v>
      </c>
      <c r="C21" s="52">
        <v>2.0</v>
      </c>
      <c r="D21" s="52">
        <v>28.0</v>
      </c>
      <c r="E21" s="53">
        <v>48.16321942</v>
      </c>
      <c r="F21" s="53">
        <v>17.14834667</v>
      </c>
      <c r="G21" s="54" t="s">
        <v>33</v>
      </c>
      <c r="H21" s="55" t="str">
        <f t="shared" si="3"/>
        <v>lison55</v>
      </c>
      <c r="I21" s="56" t="s">
        <v>48</v>
      </c>
      <c r="J21" s="57"/>
      <c r="K21" s="58" t="b">
        <v>1</v>
      </c>
      <c r="L21" s="59">
        <f t="shared" si="4"/>
        <v>0</v>
      </c>
      <c r="M21" s="59">
        <f t="shared" si="5"/>
        <v>0</v>
      </c>
      <c r="N21" s="59">
        <f t="shared" si="6"/>
        <v>0</v>
      </c>
      <c r="O21" s="60" t="str">
        <f t="shared" si="7"/>
        <v/>
      </c>
      <c r="P21" s="61" t="str">
        <f>IFERROR(__xludf.DUMMYFUNCTION("IF($N21=1,IFERROR(IMPORTXML($I21, ""//p[@class='status-date']""), ""Not Loading""),"""")"),"")</f>
        <v/>
      </c>
      <c r="Q21" s="64"/>
      <c r="R21" s="64"/>
      <c r="S21" s="64"/>
      <c r="T21" s="64"/>
      <c r="U21" s="62" t="str">
        <f t="shared" si="8"/>
        <v>lison55</v>
      </c>
      <c r="V21" s="63">
        <f>IFERROR(__xludf.DUMMYFUNCTION("iferror(VALUE(left(index(IMPORTXML(I23, ""//div[@class='col-lg-2 user-stat stat-green']""),2,1),len(index(IMPORTXML(I23, ""//div[@class='col-lg-2 user-stat stat-green']""),2,1))-8)),0)"),0.0)</f>
        <v>0</v>
      </c>
    </row>
    <row r="22" ht="15.0" customHeight="1">
      <c r="A22" s="50">
        <f t="shared" si="9"/>
        <v>15</v>
      </c>
      <c r="B22" s="51" t="str">
        <f t="shared" si="2"/>
        <v>Chilli 🌶️ Killer ☠️ #15 | R3 - C18</v>
      </c>
      <c r="C22" s="52">
        <v>3.0</v>
      </c>
      <c r="D22" s="52">
        <v>18.0</v>
      </c>
      <c r="E22" s="53">
        <v>48.16309495</v>
      </c>
      <c r="F22" s="53">
        <v>17.14608407</v>
      </c>
      <c r="G22" s="54" t="s">
        <v>33</v>
      </c>
      <c r="H22" s="55" t="str">
        <f t="shared" si="3"/>
        <v>tcguru</v>
      </c>
      <c r="I22" s="56" t="s">
        <v>49</v>
      </c>
      <c r="J22" s="57"/>
      <c r="K22" s="58" t="b">
        <v>1</v>
      </c>
      <c r="L22" s="59">
        <f t="shared" si="4"/>
        <v>0</v>
      </c>
      <c r="M22" s="59">
        <f t="shared" si="5"/>
        <v>0</v>
      </c>
      <c r="N22" s="59">
        <f t="shared" si="6"/>
        <v>0</v>
      </c>
      <c r="O22" s="60" t="str">
        <f t="shared" si="7"/>
        <v/>
      </c>
      <c r="P22" s="61" t="str">
        <f>IFERROR(__xludf.DUMMYFUNCTION("IF($N22=1,IFERROR(IMPORTXML($I22, ""//p[@class='status-date']""), ""Not Loading""),"""")"),"")</f>
        <v/>
      </c>
      <c r="Q22" s="65"/>
      <c r="R22" s="65"/>
      <c r="S22" s="65"/>
      <c r="T22" s="65"/>
      <c r="U22" s="62" t="str">
        <f t="shared" si="8"/>
        <v>tcguru</v>
      </c>
      <c r="V22" s="63">
        <f>IFERROR(__xludf.DUMMYFUNCTION("iferror(VALUE(left(index(IMPORTXML(I24, ""//div[@class='col-lg-2 user-stat stat-green']""),2,1),len(index(IMPORTXML(I24, ""//div[@class='col-lg-2 user-stat stat-green']""),2,1))-8)),0)"),0.0)</f>
        <v>0</v>
      </c>
    </row>
    <row r="23" ht="15.0" customHeight="1">
      <c r="A23" s="50">
        <f t="shared" si="9"/>
        <v>16</v>
      </c>
      <c r="B23" s="51" t="str">
        <f t="shared" si="2"/>
        <v>Chilli 🌶️ Killer ☠️ #16 | R3 - C19</v>
      </c>
      <c r="C23" s="52">
        <v>3.0</v>
      </c>
      <c r="D23" s="52">
        <v>19.0</v>
      </c>
      <c r="E23" s="53">
        <v>48.16309495</v>
      </c>
      <c r="F23" s="53">
        <v>17.14629956</v>
      </c>
      <c r="G23" s="54" t="s">
        <v>33</v>
      </c>
      <c r="H23" s="55" t="str">
        <f t="shared" si="3"/>
        <v>ChickenRun</v>
      </c>
      <c r="I23" s="56" t="s">
        <v>50</v>
      </c>
      <c r="J23" s="57" t="s">
        <v>51</v>
      </c>
      <c r="K23" s="58" t="b">
        <v>1</v>
      </c>
      <c r="L23" s="59">
        <f t="shared" si="4"/>
        <v>0</v>
      </c>
      <c r="M23" s="59">
        <f t="shared" si="5"/>
        <v>0</v>
      </c>
      <c r="N23" s="59">
        <f t="shared" si="6"/>
        <v>0</v>
      </c>
      <c r="O23" s="60" t="str">
        <f t="shared" si="7"/>
        <v/>
      </c>
      <c r="P23" s="61" t="str">
        <f>IFERROR(__xludf.DUMMYFUNCTION("IF($N23=1,IFERROR(IMPORTXML($I23, ""//p[@class='status-date']""), ""Not Loading""),"""")"),"")</f>
        <v/>
      </c>
      <c r="Q23" s="64"/>
      <c r="R23" s="64"/>
      <c r="S23" s="64"/>
      <c r="T23" s="64"/>
      <c r="U23" s="62" t="str">
        <f t="shared" si="8"/>
        <v>ChickenRun</v>
      </c>
      <c r="V23" s="63">
        <f>IFERROR(__xludf.DUMMYFUNCTION("iferror(VALUE(left(index(IMPORTXML(I25, ""//div[@class='col-lg-2 user-stat stat-green']""),2,1),len(index(IMPORTXML(I25, ""//div[@class='col-lg-2 user-stat stat-green']""),2,1))-8)),0)"),0.0)</f>
        <v>0</v>
      </c>
    </row>
    <row r="24" ht="15.0" customHeight="1">
      <c r="A24" s="50">
        <f t="shared" si="9"/>
        <v>17</v>
      </c>
      <c r="B24" s="51" t="str">
        <f t="shared" si="2"/>
        <v>Chilli 🌶️ Killer ☠️ #17 | R3 - C20</v>
      </c>
      <c r="C24" s="52">
        <v>3.0</v>
      </c>
      <c r="D24" s="52">
        <v>20.0</v>
      </c>
      <c r="E24" s="53">
        <v>48.16309495</v>
      </c>
      <c r="F24" s="53">
        <v>17.14651504</v>
      </c>
      <c r="G24" s="54" t="s">
        <v>33</v>
      </c>
      <c r="H24" s="55" t="str">
        <f t="shared" si="3"/>
        <v>Kiitokurre</v>
      </c>
      <c r="I24" s="56" t="s">
        <v>52</v>
      </c>
      <c r="J24" s="57"/>
      <c r="K24" s="58" t="b">
        <v>1</v>
      </c>
      <c r="L24" s="59">
        <f t="shared" si="4"/>
        <v>0</v>
      </c>
      <c r="M24" s="59">
        <f t="shared" si="5"/>
        <v>0</v>
      </c>
      <c r="N24" s="59">
        <f t="shared" si="6"/>
        <v>0</v>
      </c>
      <c r="O24" s="60" t="str">
        <f t="shared" si="7"/>
        <v/>
      </c>
      <c r="P24" s="61" t="str">
        <f>IFERROR(__xludf.DUMMYFUNCTION("IF($N24=1,IFERROR(IMPORTXML($I24, ""//p[@class='status-date']""), ""Not Loading""),"""")"),"")</f>
        <v/>
      </c>
      <c r="Q24" s="65"/>
      <c r="R24" s="65"/>
      <c r="S24" s="65"/>
      <c r="T24" s="65"/>
      <c r="U24" s="62" t="str">
        <f t="shared" si="8"/>
        <v>Kiitokurre</v>
      </c>
      <c r="V24" s="63">
        <f>IFERROR(__xludf.DUMMYFUNCTION("iferror(VALUE(left(index(IMPORTXML(I26, ""//div[@class='col-lg-2 user-stat stat-green']""),2,1),len(index(IMPORTXML(I26, ""//div[@class='col-lg-2 user-stat stat-green']""),2,1))-8)),0)"),0.0)</f>
        <v>0</v>
      </c>
    </row>
    <row r="25" ht="15.0" customHeight="1">
      <c r="A25" s="50">
        <f t="shared" si="9"/>
        <v>18</v>
      </c>
      <c r="B25" s="51" t="str">
        <f t="shared" si="2"/>
        <v>Chilli 🌶️ Killer ☠️ #18 | R3 - C21</v>
      </c>
      <c r="C25" s="52">
        <v>3.0</v>
      </c>
      <c r="D25" s="52">
        <v>21.0</v>
      </c>
      <c r="E25" s="53">
        <v>48.16309495</v>
      </c>
      <c r="F25" s="53">
        <v>17.14673052</v>
      </c>
      <c r="G25" s="54" t="s">
        <v>42</v>
      </c>
      <c r="H25" s="55" t="str">
        <f t="shared" si="3"/>
        <v>JackSparrow</v>
      </c>
      <c r="I25" s="56" t="s">
        <v>53</v>
      </c>
      <c r="J25" s="57"/>
      <c r="K25" s="58" t="b">
        <v>1</v>
      </c>
      <c r="L25" s="59">
        <f t="shared" si="4"/>
        <v>0</v>
      </c>
      <c r="M25" s="59">
        <f t="shared" si="5"/>
        <v>0</v>
      </c>
      <c r="N25" s="59">
        <f t="shared" si="6"/>
        <v>0</v>
      </c>
      <c r="O25" s="60" t="str">
        <f t="shared" si="7"/>
        <v/>
      </c>
      <c r="P25" s="61" t="str">
        <f>IFERROR(__xludf.DUMMYFUNCTION("IF($N25=1,IFERROR(IMPORTXML($I25, ""//p[@class='status-date']""), ""Not Loading""),"""")"),"")</f>
        <v/>
      </c>
      <c r="Q25" s="64"/>
      <c r="R25" s="64"/>
      <c r="S25" s="64"/>
      <c r="T25" s="64"/>
      <c r="U25" s="62" t="str">
        <f t="shared" si="8"/>
        <v>JackSparrow</v>
      </c>
      <c r="V25" s="63">
        <f>IFERROR(__xludf.DUMMYFUNCTION("iferror(VALUE(left(index(IMPORTXML(I27, ""//div[@class='col-lg-2 user-stat stat-green']""),2,1),len(index(IMPORTXML(I27, ""//div[@class='col-lg-2 user-stat stat-green']""),2,1))-8)),0)"),0.0)</f>
        <v>0</v>
      </c>
    </row>
    <row r="26" ht="15.0" customHeight="1">
      <c r="A26" s="50">
        <f t="shared" si="9"/>
        <v>19</v>
      </c>
      <c r="B26" s="51" t="str">
        <f t="shared" si="2"/>
        <v>Chilli 🌶️ Killer ☠️ #19 | R3 - C22</v>
      </c>
      <c r="C26" s="52">
        <v>3.0</v>
      </c>
      <c r="D26" s="52">
        <v>22.0</v>
      </c>
      <c r="E26" s="53">
        <v>48.16309495</v>
      </c>
      <c r="F26" s="53">
        <v>17.14694601</v>
      </c>
      <c r="G26" s="54" t="s">
        <v>42</v>
      </c>
      <c r="H26" s="55" t="str">
        <f t="shared" si="3"/>
        <v>markcase</v>
      </c>
      <c r="I26" s="56" t="s">
        <v>54</v>
      </c>
      <c r="J26" s="57"/>
      <c r="K26" s="58" t="b">
        <v>1</v>
      </c>
      <c r="L26" s="59">
        <f t="shared" si="4"/>
        <v>0</v>
      </c>
      <c r="M26" s="59">
        <f t="shared" si="5"/>
        <v>0</v>
      </c>
      <c r="N26" s="59">
        <f t="shared" si="6"/>
        <v>0</v>
      </c>
      <c r="O26" s="60" t="str">
        <f t="shared" si="7"/>
        <v/>
      </c>
      <c r="P26" s="61" t="str">
        <f>IFERROR(__xludf.DUMMYFUNCTION("IF($N26=1,IFERROR(IMPORTXML($I26, ""//p[@class='status-date']""), ""Not Loading""),"""")"),"")</f>
        <v/>
      </c>
      <c r="Q26" s="65"/>
      <c r="R26" s="65"/>
      <c r="S26" s="65"/>
      <c r="T26" s="65"/>
      <c r="U26" s="62" t="str">
        <f t="shared" si="8"/>
        <v>markcase</v>
      </c>
      <c r="V26" s="63">
        <f>IFERROR(__xludf.DUMMYFUNCTION("iferror(VALUE(left(index(IMPORTXML(I28, ""//div[@class='col-lg-2 user-stat stat-green']""),2,1),len(index(IMPORTXML(I28, ""//div[@class='col-lg-2 user-stat stat-green']""),2,1))-8)),0)"),0.0)</f>
        <v>0</v>
      </c>
    </row>
    <row r="27" ht="15.0" customHeight="1">
      <c r="A27" s="50">
        <f t="shared" si="9"/>
        <v>20</v>
      </c>
      <c r="B27" s="51" t="str">
        <f t="shared" si="2"/>
        <v>Chilli 🌶️ Killer ☠️ #20 | R3 - C23</v>
      </c>
      <c r="C27" s="52">
        <v>3.0</v>
      </c>
      <c r="D27" s="52">
        <v>23.0</v>
      </c>
      <c r="E27" s="53">
        <v>48.16309495</v>
      </c>
      <c r="F27" s="53">
        <v>17.14716149</v>
      </c>
      <c r="G27" s="54" t="s">
        <v>42</v>
      </c>
      <c r="H27" s="55" t="str">
        <f t="shared" si="3"/>
        <v>amadoreugen</v>
      </c>
      <c r="I27" s="56" t="s">
        <v>55</v>
      </c>
      <c r="J27" s="57"/>
      <c r="K27" s="58" t="b">
        <v>1</v>
      </c>
      <c r="L27" s="59">
        <f t="shared" si="4"/>
        <v>0</v>
      </c>
      <c r="M27" s="59">
        <f t="shared" si="5"/>
        <v>0</v>
      </c>
      <c r="N27" s="59">
        <f t="shared" si="6"/>
        <v>0</v>
      </c>
      <c r="O27" s="60" t="str">
        <f t="shared" si="7"/>
        <v/>
      </c>
      <c r="P27" s="61" t="str">
        <f>IFERROR(__xludf.DUMMYFUNCTION("IF($N27=1,IFERROR(IMPORTXML($I27, ""//p[@class='status-date']""), ""Not Loading""),"""")"),"")</f>
        <v/>
      </c>
      <c r="Q27" s="64"/>
      <c r="R27" s="64"/>
      <c r="S27" s="64"/>
      <c r="T27" s="64"/>
      <c r="U27" s="62" t="str">
        <f t="shared" si="8"/>
        <v>amadoreugen</v>
      </c>
      <c r="V27" s="63">
        <f>IFERROR(__xludf.DUMMYFUNCTION("iferror(VALUE(left(index(IMPORTXML(I29, ""//div[@class='col-lg-2 user-stat stat-green']""),2,1),len(index(IMPORTXML(I29, ""//div[@class='col-lg-2 user-stat stat-green']""),2,1))-8)),0)"),0.0)</f>
        <v>0</v>
      </c>
    </row>
    <row r="28" ht="15.0" customHeight="1">
      <c r="A28" s="50">
        <f t="shared" si="9"/>
        <v>21</v>
      </c>
      <c r="B28" s="51" t="str">
        <f t="shared" si="2"/>
        <v>Chilli 🌶️ Killer ☠️ #21 | R3 - C24</v>
      </c>
      <c r="C28" s="52">
        <v>3.0</v>
      </c>
      <c r="D28" s="52">
        <v>24.0</v>
      </c>
      <c r="E28" s="53">
        <v>48.16309495</v>
      </c>
      <c r="F28" s="53">
        <v>17.14737697</v>
      </c>
      <c r="G28" s="54" t="s">
        <v>42</v>
      </c>
      <c r="H28" s="55" t="str">
        <f t="shared" si="3"/>
        <v>ajaxiss</v>
      </c>
      <c r="I28" s="56" t="s">
        <v>56</v>
      </c>
      <c r="J28" s="57"/>
      <c r="K28" s="58" t="b">
        <v>1</v>
      </c>
      <c r="L28" s="59">
        <f t="shared" si="4"/>
        <v>0</v>
      </c>
      <c r="M28" s="59">
        <f t="shared" si="5"/>
        <v>0</v>
      </c>
      <c r="N28" s="59">
        <f t="shared" si="6"/>
        <v>0</v>
      </c>
      <c r="O28" s="60" t="str">
        <f t="shared" si="7"/>
        <v/>
      </c>
      <c r="P28" s="61" t="str">
        <f>IFERROR(__xludf.DUMMYFUNCTION("IF($N28=1,IFERROR(IMPORTXML($I28, ""//p[@class='status-date']""), ""Not Loading""),"""")"),"")</f>
        <v/>
      </c>
      <c r="Q28" s="65"/>
      <c r="R28" s="65"/>
      <c r="S28" s="65"/>
      <c r="T28" s="65"/>
      <c r="U28" s="62" t="str">
        <f t="shared" si="8"/>
        <v>ajaxiss</v>
      </c>
      <c r="V28" s="63">
        <f>IFERROR(__xludf.DUMMYFUNCTION("iferror(VALUE(left(index(IMPORTXML(I30, ""//div[@class='col-lg-2 user-stat stat-green']""),2,1),len(index(IMPORTXML(I30, ""//div[@class='col-lg-2 user-stat stat-green']""),2,1))-8)),0)"),0.0)</f>
        <v>0</v>
      </c>
    </row>
    <row r="29" ht="15.0" customHeight="1">
      <c r="A29" s="50">
        <f t="shared" si="9"/>
        <v>22</v>
      </c>
      <c r="B29" s="51" t="str">
        <f t="shared" si="2"/>
        <v>Chilli 🌶️ Killer ☠️ #22 | R3 - C25</v>
      </c>
      <c r="C29" s="52">
        <v>3.0</v>
      </c>
      <c r="D29" s="52">
        <v>25.0</v>
      </c>
      <c r="E29" s="53">
        <v>48.16309495</v>
      </c>
      <c r="F29" s="53">
        <v>17.14759246</v>
      </c>
      <c r="G29" s="54" t="s">
        <v>42</v>
      </c>
      <c r="H29" s="55" t="str">
        <f t="shared" si="3"/>
        <v>aufbau</v>
      </c>
      <c r="I29" s="56" t="s">
        <v>57</v>
      </c>
      <c r="J29" s="57"/>
      <c r="K29" s="58" t="b">
        <v>1</v>
      </c>
      <c r="L29" s="59">
        <f t="shared" si="4"/>
        <v>0</v>
      </c>
      <c r="M29" s="59">
        <f t="shared" si="5"/>
        <v>0</v>
      </c>
      <c r="N29" s="59">
        <f t="shared" si="6"/>
        <v>0</v>
      </c>
      <c r="O29" s="60" t="str">
        <f t="shared" si="7"/>
        <v/>
      </c>
      <c r="P29" s="61" t="str">
        <f>IFERROR(__xludf.DUMMYFUNCTION("IF($N29=1,IFERROR(IMPORTXML($I29, ""//p[@class='status-date']""), ""Not Loading""),"""")"),"")</f>
        <v/>
      </c>
      <c r="Q29" s="64"/>
      <c r="R29" s="64"/>
      <c r="S29" s="64"/>
      <c r="T29" s="64"/>
      <c r="U29" s="62" t="str">
        <f t="shared" si="8"/>
        <v>aufbau</v>
      </c>
      <c r="V29" s="63">
        <f>IFERROR(__xludf.DUMMYFUNCTION("iferror(VALUE(left(index(IMPORTXML(I31, ""//div[@class='col-lg-2 user-stat stat-green']""),2,1),len(index(IMPORTXML(I31, ""//div[@class='col-lg-2 user-stat stat-green']""),2,1))-8)),0)"),0.0)</f>
        <v>0</v>
      </c>
    </row>
    <row r="30" ht="15.0" customHeight="1">
      <c r="A30" s="50">
        <f t="shared" si="9"/>
        <v>23</v>
      </c>
      <c r="B30" s="51" t="str">
        <f t="shared" si="2"/>
        <v>Chilli 🌶️ Killer ☠️ #23 | R3 - C26</v>
      </c>
      <c r="C30" s="52">
        <v>3.0</v>
      </c>
      <c r="D30" s="52">
        <v>26.0</v>
      </c>
      <c r="E30" s="53">
        <v>48.16309495</v>
      </c>
      <c r="F30" s="53">
        <v>17.14780794</v>
      </c>
      <c r="G30" s="54" t="s">
        <v>42</v>
      </c>
      <c r="H30" s="55" t="str">
        <f t="shared" si="3"/>
        <v>joroma80</v>
      </c>
      <c r="I30" s="56" t="s">
        <v>58</v>
      </c>
      <c r="J30" s="57"/>
      <c r="K30" s="58" t="b">
        <v>1</v>
      </c>
      <c r="L30" s="59">
        <f t="shared" si="4"/>
        <v>0</v>
      </c>
      <c r="M30" s="59">
        <f t="shared" si="5"/>
        <v>0</v>
      </c>
      <c r="N30" s="59">
        <f t="shared" si="6"/>
        <v>0</v>
      </c>
      <c r="O30" s="60" t="str">
        <f t="shared" si="7"/>
        <v/>
      </c>
      <c r="P30" s="61" t="str">
        <f>IFERROR(__xludf.DUMMYFUNCTION("IF($N30=1,IFERROR(IMPORTXML($I30, ""//p[@class='status-date']""), ""Not Loading""),"""")"),"")</f>
        <v/>
      </c>
      <c r="Q30" s="65"/>
      <c r="R30" s="65"/>
      <c r="S30" s="65"/>
      <c r="T30" s="65"/>
      <c r="U30" s="62" t="str">
        <f t="shared" si="8"/>
        <v>joroma80</v>
      </c>
      <c r="V30" s="63">
        <f>IFERROR(__xludf.DUMMYFUNCTION("iferror(VALUE(left(index(IMPORTXML(I32, ""//div[@class='col-lg-2 user-stat stat-green']""),2,1),len(index(IMPORTXML(I32, ""//div[@class='col-lg-2 user-stat stat-green']""),2,1))-8)),0)"),0.0)</f>
        <v>0</v>
      </c>
    </row>
    <row r="31" ht="15.0" customHeight="1">
      <c r="A31" s="50">
        <f t="shared" si="9"/>
        <v>24</v>
      </c>
      <c r="B31" s="51" t="str">
        <f t="shared" si="2"/>
        <v>Chilli 🌶️ Killer ☠️ #24 | R3 - C27</v>
      </c>
      <c r="C31" s="52">
        <v>3.0</v>
      </c>
      <c r="D31" s="52">
        <v>27.0</v>
      </c>
      <c r="E31" s="53">
        <v>48.16309495</v>
      </c>
      <c r="F31" s="53">
        <v>17.14802343</v>
      </c>
      <c r="G31" s="54" t="s">
        <v>42</v>
      </c>
      <c r="H31" s="55" t="str">
        <f t="shared" si="3"/>
        <v>Derlame</v>
      </c>
      <c r="I31" s="56" t="s">
        <v>59</v>
      </c>
      <c r="J31" s="57"/>
      <c r="K31" s="58" t="b">
        <v>1</v>
      </c>
      <c r="L31" s="59">
        <f t="shared" si="4"/>
        <v>0</v>
      </c>
      <c r="M31" s="59">
        <f t="shared" si="5"/>
        <v>0</v>
      </c>
      <c r="N31" s="59">
        <f t="shared" si="6"/>
        <v>0</v>
      </c>
      <c r="O31" s="60" t="str">
        <f t="shared" si="7"/>
        <v/>
      </c>
      <c r="P31" s="61" t="str">
        <f>IFERROR(__xludf.DUMMYFUNCTION("IF($N31=1,IFERROR(IMPORTXML($I31, ""//p[@class='status-date']""), ""Not Loading""),"""")"),"")</f>
        <v/>
      </c>
      <c r="Q31" s="64"/>
      <c r="R31" s="64"/>
      <c r="S31" s="64"/>
      <c r="T31" s="64"/>
      <c r="U31" s="62" t="str">
        <f t="shared" si="8"/>
        <v>Derlame</v>
      </c>
      <c r="V31" s="63">
        <f>IFERROR(__xludf.DUMMYFUNCTION("iferror(VALUE(left(index(IMPORTXML(I33, ""//div[@class='col-lg-2 user-stat stat-green']""),2,1),len(index(IMPORTXML(I33, ""//div[@class='col-lg-2 user-stat stat-green']""),2,1))-8)),0)"),0.0)</f>
        <v>0</v>
      </c>
    </row>
    <row r="32" ht="15.0" customHeight="1">
      <c r="A32" s="50">
        <f t="shared" si="9"/>
        <v>25</v>
      </c>
      <c r="B32" s="51" t="str">
        <f t="shared" si="2"/>
        <v>Chilli 🌶️ Killer ☠️ #25 | R3 - C28</v>
      </c>
      <c r="C32" s="52">
        <v>3.0</v>
      </c>
      <c r="D32" s="52">
        <v>28.0</v>
      </c>
      <c r="E32" s="53">
        <v>48.16309495</v>
      </c>
      <c r="F32" s="53">
        <v>17.14823891</v>
      </c>
      <c r="G32" s="54" t="s">
        <v>42</v>
      </c>
      <c r="H32" s="55" t="str">
        <f t="shared" si="3"/>
        <v>babyw</v>
      </c>
      <c r="I32" s="56" t="s">
        <v>60</v>
      </c>
      <c r="J32" s="57"/>
      <c r="K32" s="58" t="b">
        <v>1</v>
      </c>
      <c r="L32" s="59">
        <f t="shared" si="4"/>
        <v>0</v>
      </c>
      <c r="M32" s="59">
        <f t="shared" si="5"/>
        <v>0</v>
      </c>
      <c r="N32" s="59">
        <f t="shared" si="6"/>
        <v>0</v>
      </c>
      <c r="O32" s="60" t="str">
        <f t="shared" si="7"/>
        <v/>
      </c>
      <c r="P32" s="61" t="str">
        <f>IFERROR(__xludf.DUMMYFUNCTION("IF($N32=1,IFERROR(IMPORTXML($I32, ""//p[@class='status-date']""), ""Not Loading""),"""")"),"")</f>
        <v/>
      </c>
      <c r="Q32" s="65"/>
      <c r="R32" s="65"/>
      <c r="S32" s="65"/>
      <c r="T32" s="65"/>
      <c r="U32" s="62" t="str">
        <f t="shared" si="8"/>
        <v>babyw</v>
      </c>
      <c r="V32" s="63">
        <f>IFERROR(__xludf.DUMMYFUNCTION("iferror(VALUE(left(index(IMPORTXML(I34, ""//div[@class='col-lg-2 user-stat stat-green']""),2,1),len(index(IMPORTXML(I34, ""//div[@class='col-lg-2 user-stat stat-green']""),2,1))-8)),0)"),0.0)</f>
        <v>0</v>
      </c>
    </row>
    <row r="33" ht="15.0" customHeight="1">
      <c r="A33" s="50">
        <f t="shared" si="9"/>
        <v>26</v>
      </c>
      <c r="B33" s="51" t="str">
        <f t="shared" si="2"/>
        <v>Chilli 🌶️ Killer ☠️ #26 | R3 - C29</v>
      </c>
      <c r="C33" s="52">
        <v>3.0</v>
      </c>
      <c r="D33" s="52">
        <v>29.0</v>
      </c>
      <c r="E33" s="53">
        <v>48.16309495</v>
      </c>
      <c r="F33" s="53">
        <v>17.14845439</v>
      </c>
      <c r="G33" s="54" t="s">
        <v>33</v>
      </c>
      <c r="H33" s="55" t="str">
        <f t="shared" si="3"/>
        <v>Leesap</v>
      </c>
      <c r="I33" s="56" t="s">
        <v>61</v>
      </c>
      <c r="J33" s="57"/>
      <c r="K33" s="58" t="b">
        <v>1</v>
      </c>
      <c r="L33" s="59">
        <f t="shared" si="4"/>
        <v>0</v>
      </c>
      <c r="M33" s="59">
        <f t="shared" si="5"/>
        <v>0</v>
      </c>
      <c r="N33" s="59">
        <f t="shared" si="6"/>
        <v>0</v>
      </c>
      <c r="O33" s="60" t="str">
        <f t="shared" si="7"/>
        <v/>
      </c>
      <c r="P33" s="61" t="str">
        <f>IFERROR(__xludf.DUMMYFUNCTION("IF($N33=1,IFERROR(IMPORTXML($I33, ""//p[@class='status-date']""), ""Not Loading""),"""")"),"")</f>
        <v/>
      </c>
      <c r="Q33" s="64"/>
      <c r="R33" s="64"/>
      <c r="S33" s="64"/>
      <c r="T33" s="64"/>
      <c r="U33" s="62" t="str">
        <f t="shared" si="8"/>
        <v>Leesap</v>
      </c>
      <c r="V33" s="63">
        <f>IFERROR(__xludf.DUMMYFUNCTION("iferror(VALUE(left(index(IMPORTXML(I35, ""//div[@class='col-lg-2 user-stat stat-green']""),2,1),len(index(IMPORTXML(I35, ""//div[@class='col-lg-2 user-stat stat-green']""),2,1))-8)),0)"),0.0)</f>
        <v>0</v>
      </c>
    </row>
    <row r="34" ht="15.0" customHeight="1">
      <c r="A34" s="50">
        <f t="shared" si="9"/>
        <v>27</v>
      </c>
      <c r="B34" s="51" t="str">
        <f t="shared" si="2"/>
        <v>Chilli 🌶️ Killer ☠️ #27 | R4 - C17</v>
      </c>
      <c r="C34" s="52">
        <v>4.0</v>
      </c>
      <c r="D34" s="52">
        <v>17.0</v>
      </c>
      <c r="E34" s="53">
        <v>48.16297047</v>
      </c>
      <c r="F34" s="53">
        <v>17.14597632</v>
      </c>
      <c r="G34" s="54" t="s">
        <v>33</v>
      </c>
      <c r="H34" s="55" t="str">
        <f t="shared" si="3"/>
        <v>PelicanRouge</v>
      </c>
      <c r="I34" s="56" t="s">
        <v>62</v>
      </c>
      <c r="J34" s="57"/>
      <c r="K34" s="58" t="b">
        <v>1</v>
      </c>
      <c r="L34" s="59">
        <f t="shared" si="4"/>
        <v>0</v>
      </c>
      <c r="M34" s="59">
        <f t="shared" si="5"/>
        <v>0</v>
      </c>
      <c r="N34" s="59">
        <f t="shared" si="6"/>
        <v>0</v>
      </c>
      <c r="O34" s="60" t="str">
        <f t="shared" si="7"/>
        <v/>
      </c>
      <c r="P34" s="61" t="str">
        <f>IFERROR(__xludf.DUMMYFUNCTION("IF($N34=1,IFERROR(IMPORTXML($I34, ""//p[@class='status-date']""), ""Not Loading""),"""")"),"")</f>
        <v/>
      </c>
      <c r="Q34" s="65"/>
      <c r="R34" s="65"/>
      <c r="S34" s="65"/>
      <c r="T34" s="65"/>
      <c r="U34" s="62" t="str">
        <f t="shared" si="8"/>
        <v>PelicanRouge</v>
      </c>
      <c r="V34" s="63">
        <f>IFERROR(__xludf.DUMMYFUNCTION("iferror(VALUE(left(index(IMPORTXML(I36, ""//div[@class='col-lg-2 user-stat stat-green']""),2,1),len(index(IMPORTXML(I36, ""//div[@class='col-lg-2 user-stat stat-green']""),2,1))-8)),0)"),25.0)</f>
        <v>25</v>
      </c>
    </row>
    <row r="35" ht="15.0" customHeight="1">
      <c r="A35" s="50">
        <f t="shared" si="9"/>
        <v>28</v>
      </c>
      <c r="B35" s="51" t="str">
        <f t="shared" si="2"/>
        <v>Chilli 🌶️ Killer ☠️ #28 | R4 - C18</v>
      </c>
      <c r="C35" s="52">
        <v>4.0</v>
      </c>
      <c r="D35" s="52">
        <v>18.0</v>
      </c>
      <c r="E35" s="53">
        <v>48.16297047</v>
      </c>
      <c r="F35" s="53">
        <v>17.1461918</v>
      </c>
      <c r="G35" s="54" t="s">
        <v>42</v>
      </c>
      <c r="H35" s="55" t="str">
        <f t="shared" si="3"/>
        <v>Bisquick2</v>
      </c>
      <c r="I35" s="56" t="s">
        <v>63</v>
      </c>
      <c r="J35" s="57"/>
      <c r="K35" s="58" t="b">
        <v>1</v>
      </c>
      <c r="L35" s="59">
        <f t="shared" si="4"/>
        <v>0</v>
      </c>
      <c r="M35" s="59">
        <f t="shared" si="5"/>
        <v>0</v>
      </c>
      <c r="N35" s="59">
        <f t="shared" si="6"/>
        <v>0</v>
      </c>
      <c r="O35" s="60" t="str">
        <f t="shared" si="7"/>
        <v/>
      </c>
      <c r="P35" s="61" t="str">
        <f>IFERROR(__xludf.DUMMYFUNCTION("IF($N35=1,IFERROR(IMPORTXML($I35, ""//p[@class='status-date']""), ""Not Loading""),"""")"),"")</f>
        <v/>
      </c>
      <c r="Q35" s="64"/>
      <c r="R35" s="64"/>
      <c r="S35" s="64"/>
      <c r="T35" s="64"/>
      <c r="U35" s="62" t="str">
        <f t="shared" si="8"/>
        <v>Bisquick2</v>
      </c>
      <c r="V35" s="63">
        <f>IFERROR(__xludf.DUMMYFUNCTION("iferror(VALUE(left(index(IMPORTXML(I37, ""//div[@class='col-lg-2 user-stat stat-green']""),2,1),len(index(IMPORTXML(I37, ""//div[@class='col-lg-2 user-stat stat-green']""),2,1))-8)),0)"),0.0)</f>
        <v>0</v>
      </c>
    </row>
    <row r="36" ht="15.0" customHeight="1">
      <c r="A36" s="50">
        <f t="shared" si="9"/>
        <v>29</v>
      </c>
      <c r="B36" s="51" t="str">
        <f t="shared" si="2"/>
        <v>Chilli 🌶️ Killer ☠️ #29 | R4 - C19</v>
      </c>
      <c r="C36" s="52">
        <v>4.0</v>
      </c>
      <c r="D36" s="52">
        <v>19.0</v>
      </c>
      <c r="E36" s="53">
        <v>48.16297047</v>
      </c>
      <c r="F36" s="53">
        <v>17.14640728</v>
      </c>
      <c r="G36" s="54" t="s">
        <v>42</v>
      </c>
      <c r="H36" s="55" t="str">
        <f t="shared" si="3"/>
        <v>RF</v>
      </c>
      <c r="I36" s="56" t="s">
        <v>64</v>
      </c>
      <c r="J36" s="57"/>
      <c r="K36" s="58" t="b">
        <v>1</v>
      </c>
      <c r="L36" s="59">
        <f t="shared" si="4"/>
        <v>0</v>
      </c>
      <c r="M36" s="59">
        <f t="shared" si="5"/>
        <v>0</v>
      </c>
      <c r="N36" s="59">
        <f t="shared" si="6"/>
        <v>0</v>
      </c>
      <c r="O36" s="60" t="str">
        <f t="shared" si="7"/>
        <v/>
      </c>
      <c r="P36" s="61" t="str">
        <f>IFERROR(__xludf.DUMMYFUNCTION("IF($N36=1,IFERROR(IMPORTXML($I36, ""//p[@class='status-date']""), ""Not Loading""),"""")"),"")</f>
        <v/>
      </c>
      <c r="Q36" s="65"/>
      <c r="R36" s="65"/>
      <c r="S36" s="65"/>
      <c r="T36" s="65"/>
      <c r="U36" s="62" t="str">
        <f t="shared" si="8"/>
        <v>RF</v>
      </c>
      <c r="V36" s="63">
        <f>IFERROR(__xludf.DUMMYFUNCTION("iferror(VALUE(left(index(IMPORTXML(I38, ""//div[@class='col-lg-2 user-stat stat-green']""),2,1),len(index(IMPORTXML(I38, ""//div[@class='col-lg-2 user-stat stat-green']""),2,1))-8)),0)"),0.0)</f>
        <v>0</v>
      </c>
    </row>
    <row r="37" ht="15.0" customHeight="1">
      <c r="A37" s="50">
        <f t="shared" si="9"/>
        <v>30</v>
      </c>
      <c r="B37" s="51" t="str">
        <f t="shared" si="2"/>
        <v>Chilli 🌶️ Killer ☠️ #30 | R4 - C20</v>
      </c>
      <c r="C37" s="52">
        <v>4.0</v>
      </c>
      <c r="D37" s="52">
        <v>20.0</v>
      </c>
      <c r="E37" s="53">
        <v>48.16297047</v>
      </c>
      <c r="F37" s="53">
        <v>17.14662277</v>
      </c>
      <c r="G37" s="54" t="s">
        <v>42</v>
      </c>
      <c r="H37" s="55" t="str">
        <f t="shared" si="3"/>
        <v>Lanyasummer</v>
      </c>
      <c r="I37" s="56" t="s">
        <v>65</v>
      </c>
      <c r="J37" s="57"/>
      <c r="K37" s="58" t="b">
        <v>1</v>
      </c>
      <c r="L37" s="59">
        <f t="shared" si="4"/>
        <v>0</v>
      </c>
      <c r="M37" s="59">
        <f t="shared" si="5"/>
        <v>0</v>
      </c>
      <c r="N37" s="59">
        <f t="shared" si="6"/>
        <v>0</v>
      </c>
      <c r="O37" s="60" t="str">
        <f t="shared" si="7"/>
        <v/>
      </c>
      <c r="P37" s="61" t="str">
        <f>IFERROR(__xludf.DUMMYFUNCTION("IF($N37=1,IFERROR(IMPORTXML($I37, ""//p[@class='status-date']""), ""Not Loading""),"""")"),"")</f>
        <v/>
      </c>
      <c r="Q37" s="64"/>
      <c r="R37" s="64"/>
      <c r="S37" s="64"/>
      <c r="T37" s="64"/>
      <c r="U37" s="62" t="str">
        <f t="shared" si="8"/>
        <v>Lanyasummer</v>
      </c>
      <c r="V37" s="63">
        <f>IFERROR(__xludf.DUMMYFUNCTION("iferror(VALUE(left(index(IMPORTXML(I39, ""//div[@class='col-lg-2 user-stat stat-green']""),2,1),len(index(IMPORTXML(I39, ""//div[@class='col-lg-2 user-stat stat-green']""),2,1))-8)),0)"),0.0)</f>
        <v>0</v>
      </c>
    </row>
    <row r="38" ht="15.0" customHeight="1">
      <c r="A38" s="50">
        <f t="shared" si="9"/>
        <v>31</v>
      </c>
      <c r="B38" s="51" t="str">
        <f t="shared" si="2"/>
        <v>Chilli 🌶️ Killer ☠️ #31 | R4 - C21</v>
      </c>
      <c r="C38" s="52">
        <v>4.0</v>
      </c>
      <c r="D38" s="52">
        <v>21.0</v>
      </c>
      <c r="E38" s="53">
        <v>48.16297047</v>
      </c>
      <c r="F38" s="53">
        <v>17.14683825</v>
      </c>
      <c r="G38" s="54" t="s">
        <v>42</v>
      </c>
      <c r="H38" s="55" t="str">
        <f t="shared" si="3"/>
        <v>bazfum</v>
      </c>
      <c r="I38" s="56" t="s">
        <v>66</v>
      </c>
      <c r="J38" s="57"/>
      <c r="K38" s="58" t="b">
        <v>1</v>
      </c>
      <c r="L38" s="59">
        <f t="shared" si="4"/>
        <v>0</v>
      </c>
      <c r="M38" s="59">
        <f t="shared" si="5"/>
        <v>0</v>
      </c>
      <c r="N38" s="59">
        <f t="shared" si="6"/>
        <v>0</v>
      </c>
      <c r="O38" s="60" t="str">
        <f t="shared" si="7"/>
        <v/>
      </c>
      <c r="P38" s="61" t="str">
        <f>IFERROR(__xludf.DUMMYFUNCTION("IF($N38=1,IFERROR(IMPORTXML($I38, ""//p[@class='status-date']""), ""Not Loading""),"""")"),"")</f>
        <v/>
      </c>
      <c r="Q38" s="65"/>
      <c r="R38" s="65"/>
      <c r="S38" s="65"/>
      <c r="T38" s="65"/>
      <c r="U38" s="62" t="str">
        <f t="shared" si="8"/>
        <v>bazfum</v>
      </c>
      <c r="V38" s="63">
        <f>IFERROR(__xludf.DUMMYFUNCTION("iferror(VALUE(left(index(IMPORTXML(I40, ""//div[@class='col-lg-2 user-stat stat-green']""),2,1),len(index(IMPORTXML(I40, ""//div[@class='col-lg-2 user-stat stat-green']""),2,1))-8)),0)"),0.0)</f>
        <v>0</v>
      </c>
    </row>
    <row r="39" ht="15.0" customHeight="1">
      <c r="A39" s="50">
        <f t="shared" si="9"/>
        <v>32</v>
      </c>
      <c r="B39" s="51" t="str">
        <f t="shared" si="2"/>
        <v>Chilli 🌶️ Killer ☠️ #32 | R4 - C22</v>
      </c>
      <c r="C39" s="52">
        <v>4.0</v>
      </c>
      <c r="D39" s="52">
        <v>22.0</v>
      </c>
      <c r="E39" s="53">
        <v>48.16297047</v>
      </c>
      <c r="F39" s="53">
        <v>17.14705373</v>
      </c>
      <c r="G39" s="54" t="s">
        <v>42</v>
      </c>
      <c r="H39" s="55" t="str">
        <f t="shared" si="3"/>
        <v>Soitenlysue</v>
      </c>
      <c r="I39" s="56" t="s">
        <v>67</v>
      </c>
      <c r="J39" s="57"/>
      <c r="K39" s="58" t="b">
        <v>1</v>
      </c>
      <c r="L39" s="59">
        <f t="shared" si="4"/>
        <v>0</v>
      </c>
      <c r="M39" s="59">
        <f t="shared" si="5"/>
        <v>0</v>
      </c>
      <c r="N39" s="59">
        <f t="shared" si="6"/>
        <v>0</v>
      </c>
      <c r="O39" s="60" t="str">
        <f t="shared" si="7"/>
        <v/>
      </c>
      <c r="P39" s="61" t="str">
        <f>IFERROR(__xludf.DUMMYFUNCTION("IF($N39=1,IFERROR(IMPORTXML($I39, ""//p[@class='status-date']""), ""Not Loading""),"""")"),"")</f>
        <v/>
      </c>
      <c r="Q39" s="64"/>
      <c r="R39" s="64"/>
      <c r="S39" s="64"/>
      <c r="T39" s="64"/>
      <c r="U39" s="62" t="str">
        <f t="shared" si="8"/>
        <v>Soitenlysue</v>
      </c>
      <c r="V39" s="63">
        <f>IFERROR(__xludf.DUMMYFUNCTION("iferror(VALUE(left(index(IMPORTXML(I41, ""//div[@class='col-lg-2 user-stat stat-green']""),2,1),len(index(IMPORTXML(I41, ""//div[@class='col-lg-2 user-stat stat-green']""),2,1))-8)),0)"),0.0)</f>
        <v>0</v>
      </c>
    </row>
    <row r="40" ht="15.0" customHeight="1">
      <c r="A40" s="50">
        <f t="shared" si="9"/>
        <v>33</v>
      </c>
      <c r="B40" s="51" t="str">
        <f t="shared" si="2"/>
        <v>Chilli 🌶️ Killer ☠️ #33 | R4 - C23</v>
      </c>
      <c r="C40" s="52">
        <v>4.0</v>
      </c>
      <c r="D40" s="52">
        <v>23.0</v>
      </c>
      <c r="E40" s="53">
        <v>48.16297047</v>
      </c>
      <c r="F40" s="53">
        <v>17.14726922</v>
      </c>
      <c r="G40" s="54" t="s">
        <v>42</v>
      </c>
      <c r="H40" s="55" t="str">
        <f t="shared" si="3"/>
        <v>Shun79</v>
      </c>
      <c r="I40" s="56" t="s">
        <v>68</v>
      </c>
      <c r="J40" s="57"/>
      <c r="K40" s="58" t="b">
        <v>1</v>
      </c>
      <c r="L40" s="59">
        <f t="shared" si="4"/>
        <v>0</v>
      </c>
      <c r="M40" s="59">
        <f t="shared" si="5"/>
        <v>0</v>
      </c>
      <c r="N40" s="59">
        <f t="shared" si="6"/>
        <v>0</v>
      </c>
      <c r="O40" s="60" t="str">
        <f t="shared" si="7"/>
        <v/>
      </c>
      <c r="P40" s="61" t="str">
        <f>IFERROR(__xludf.DUMMYFUNCTION("IF($N40=1,IFERROR(IMPORTXML($I40, ""//p[@class='status-date']""), ""Not Loading""),"""")"),"")</f>
        <v/>
      </c>
      <c r="Q40" s="65"/>
      <c r="R40" s="65"/>
      <c r="S40" s="65"/>
      <c r="T40" s="65"/>
      <c r="U40" s="62" t="str">
        <f t="shared" si="8"/>
        <v>Shun79</v>
      </c>
      <c r="V40" s="63">
        <f>IFERROR(__xludf.DUMMYFUNCTION("iferror(VALUE(left(index(IMPORTXML(I42, ""//div[@class='col-lg-2 user-stat stat-green']""),2,1),len(index(IMPORTXML(I42, ""//div[@class='col-lg-2 user-stat stat-green']""),2,1))-8)),0)"),0.0)</f>
        <v>0</v>
      </c>
    </row>
    <row r="41" ht="15.0" customHeight="1">
      <c r="A41" s="50">
        <f t="shared" si="9"/>
        <v>34</v>
      </c>
      <c r="B41" s="51" t="str">
        <f t="shared" si="2"/>
        <v>Chilli 🌶️ Killer ☠️ #34 | R4 - C24</v>
      </c>
      <c r="C41" s="52">
        <v>4.0</v>
      </c>
      <c r="D41" s="52">
        <v>24.0</v>
      </c>
      <c r="E41" s="53">
        <v>48.16297047</v>
      </c>
      <c r="F41" s="53">
        <v>17.1474847</v>
      </c>
      <c r="G41" s="54" t="s">
        <v>42</v>
      </c>
      <c r="H41" s="55" t="str">
        <f t="shared" si="3"/>
        <v>TheFrog</v>
      </c>
      <c r="I41" s="56" t="s">
        <v>69</v>
      </c>
      <c r="J41" s="57"/>
      <c r="K41" s="58" t="b">
        <v>1</v>
      </c>
      <c r="L41" s="59">
        <f t="shared" si="4"/>
        <v>0</v>
      </c>
      <c r="M41" s="59">
        <f t="shared" si="5"/>
        <v>0</v>
      </c>
      <c r="N41" s="59">
        <f t="shared" si="6"/>
        <v>0</v>
      </c>
      <c r="O41" s="60" t="str">
        <f t="shared" ref="O41:O42" si="10">IF($N41=1,HYPERLINK($I49&amp;"map/?lat="&amp;$E41&amp;"lon="&amp;$F41&amp;"type="&amp;$G41,"Munzee"),"")</f>
        <v/>
      </c>
      <c r="P41" s="61" t="str">
        <f>IFERROR(__xludf.DUMMYFUNCTION("IF($N41=1,IFERROR(IMPORTXML($I49, ""//p[@class='status-date']""), ""Not Loading""),"""")"),"")</f>
        <v/>
      </c>
      <c r="Q41" s="64"/>
      <c r="R41" s="64"/>
      <c r="S41" s="64"/>
      <c r="T41" s="64"/>
      <c r="U41" s="62" t="str">
        <f t="shared" si="8"/>
        <v>TheFrog</v>
      </c>
      <c r="V41" s="63">
        <f>IFERROR(__xludf.DUMMYFUNCTION("iferror(VALUE(left(index(IMPORTXML(I43, ""//div[@class='col-lg-2 user-stat stat-green']""),2,1),len(index(IMPORTXML(I43, ""//div[@class='col-lg-2 user-stat stat-green']""),2,1))-8)),0)"),0.0)</f>
        <v>0</v>
      </c>
    </row>
    <row r="42" ht="15.0" customHeight="1">
      <c r="A42" s="50">
        <f t="shared" si="9"/>
        <v>35</v>
      </c>
      <c r="B42" s="51" t="str">
        <f t="shared" si="2"/>
        <v>Chilli 🌶️ Killer ☠️ #35 | R4 - C25</v>
      </c>
      <c r="C42" s="52">
        <v>4.0</v>
      </c>
      <c r="D42" s="52">
        <v>25.0</v>
      </c>
      <c r="E42" s="53">
        <v>48.16297047</v>
      </c>
      <c r="F42" s="53">
        <v>17.14770018</v>
      </c>
      <c r="G42" s="54" t="s">
        <v>42</v>
      </c>
      <c r="H42" s="55" t="str">
        <f t="shared" si="3"/>
        <v>Soitenlysue</v>
      </c>
      <c r="I42" s="56" t="s">
        <v>70</v>
      </c>
      <c r="J42" s="57"/>
      <c r="K42" s="58" t="b">
        <v>1</v>
      </c>
      <c r="L42" s="59">
        <f t="shared" si="4"/>
        <v>0</v>
      </c>
      <c r="M42" s="59">
        <f t="shared" si="5"/>
        <v>0</v>
      </c>
      <c r="N42" s="59">
        <f t="shared" si="6"/>
        <v>0</v>
      </c>
      <c r="O42" s="60" t="str">
        <f t="shared" si="10"/>
        <v/>
      </c>
      <c r="P42" s="61" t="str">
        <f>IFERROR(__xludf.DUMMYFUNCTION("IF($N42=1,IFERROR(IMPORTXML($I50, ""//p[@class='status-date']""), ""Not Loading""),"""")"),"")</f>
        <v/>
      </c>
      <c r="Q42" s="65"/>
      <c r="R42" s="65"/>
      <c r="S42" s="65"/>
      <c r="T42" s="65"/>
      <c r="U42" s="62" t="str">
        <f t="shared" si="8"/>
        <v>Soitenlysue</v>
      </c>
      <c r="V42" s="63">
        <f>IFERROR(__xludf.DUMMYFUNCTION("iferror(VALUE(left(index(IMPORTXML(I44, ""//div[@class='col-lg-2 user-stat stat-green']""),2,1),len(index(IMPORTXML(I44, ""//div[@class='col-lg-2 user-stat stat-green']""),2,1))-8)),0)"),0.0)</f>
        <v>0</v>
      </c>
    </row>
    <row r="43" ht="15.0" customHeight="1">
      <c r="A43" s="50">
        <f t="shared" si="9"/>
        <v>36</v>
      </c>
      <c r="B43" s="51" t="str">
        <f t="shared" si="2"/>
        <v>Chilli 🌶️ Killer ☠️ #36 | R4 - C26</v>
      </c>
      <c r="C43" s="52">
        <v>4.0</v>
      </c>
      <c r="D43" s="52">
        <v>26.0</v>
      </c>
      <c r="E43" s="53">
        <v>48.16297047</v>
      </c>
      <c r="F43" s="53">
        <v>17.14791567</v>
      </c>
      <c r="G43" s="54" t="s">
        <v>42</v>
      </c>
      <c r="H43" s="55" t="str">
        <f t="shared" si="3"/>
        <v>Kyrandia</v>
      </c>
      <c r="I43" s="56" t="s">
        <v>71</v>
      </c>
      <c r="J43" s="57"/>
      <c r="K43" s="58" t="b">
        <v>1</v>
      </c>
      <c r="L43" s="59">
        <f t="shared" si="4"/>
        <v>0</v>
      </c>
      <c r="M43" s="59">
        <f t="shared" si="5"/>
        <v>0</v>
      </c>
      <c r="N43" s="59">
        <f t="shared" si="6"/>
        <v>0</v>
      </c>
      <c r="O43" s="60" t="str">
        <f t="shared" ref="O43:O46" si="11">IF($N43=1,HYPERLINK($I43&amp;"map/?lat="&amp;$E43&amp;"lon="&amp;$F43&amp;"type="&amp;$G43,"Munzee"),"")</f>
        <v/>
      </c>
      <c r="P43" s="61" t="str">
        <f>IFERROR(__xludf.DUMMYFUNCTION("IF($N43=1,IFERROR(IMPORTXML($I43, ""//p[@class='status-date']""), ""Not Loading""),"""")"),"")</f>
        <v/>
      </c>
      <c r="Q43" s="64"/>
      <c r="R43" s="64"/>
      <c r="S43" s="64"/>
      <c r="T43" s="64"/>
      <c r="U43" s="62" t="str">
        <f t="shared" si="8"/>
        <v>Kyrandia</v>
      </c>
      <c r="V43" s="63">
        <f>IFERROR(__xludf.DUMMYFUNCTION("iferror(VALUE(left(index(IMPORTXML(I45, ""//div[@class='col-lg-2 user-stat stat-green']""),2,1),len(index(IMPORTXML(I45, ""//div[@class='col-lg-2 user-stat stat-green']""),2,1))-8)),0)"),0.0)</f>
        <v>0</v>
      </c>
    </row>
    <row r="44" ht="15.0" customHeight="1">
      <c r="A44" s="50">
        <f t="shared" si="9"/>
        <v>37</v>
      </c>
      <c r="B44" s="51" t="str">
        <f t="shared" si="2"/>
        <v>Chilli 🌶️ Killer ☠️ #37 | R4 - C27</v>
      </c>
      <c r="C44" s="52">
        <v>4.0</v>
      </c>
      <c r="D44" s="52">
        <v>27.0</v>
      </c>
      <c r="E44" s="53">
        <v>48.16297047</v>
      </c>
      <c r="F44" s="53">
        <v>17.14813115</v>
      </c>
      <c r="G44" s="54" t="s">
        <v>42</v>
      </c>
      <c r="H44" s="55" t="str">
        <f t="shared" si="3"/>
        <v>Kumahelion</v>
      </c>
      <c r="I44" s="56" t="s">
        <v>72</v>
      </c>
      <c r="J44" s="57"/>
      <c r="K44" s="58" t="b">
        <v>1</v>
      </c>
      <c r="L44" s="59">
        <f t="shared" si="4"/>
        <v>0</v>
      </c>
      <c r="M44" s="59">
        <f t="shared" si="5"/>
        <v>0</v>
      </c>
      <c r="N44" s="59">
        <f t="shared" si="6"/>
        <v>0</v>
      </c>
      <c r="O44" s="60" t="str">
        <f t="shared" si="11"/>
        <v/>
      </c>
      <c r="P44" s="61" t="str">
        <f>IFERROR(__xludf.DUMMYFUNCTION("IF($N44=1,IFERROR(IMPORTXML($I44, ""//p[@class='status-date']""), ""Not Loading""),"""")"),"")</f>
        <v/>
      </c>
      <c r="Q44" s="65"/>
      <c r="R44" s="65"/>
      <c r="S44" s="65"/>
      <c r="T44" s="65"/>
      <c r="U44" s="62" t="str">
        <f t="shared" si="8"/>
        <v>Kumahelion</v>
      </c>
      <c r="V44" s="63">
        <f>IFERROR(__xludf.DUMMYFUNCTION("iferror(VALUE(left(index(IMPORTXML(I46, ""//div[@class='col-lg-2 user-stat stat-green']""),2,1),len(index(IMPORTXML(I46, ""//div[@class='col-lg-2 user-stat stat-green']""),2,1))-8)),0)"),0.0)</f>
        <v>0</v>
      </c>
    </row>
    <row r="45" ht="15.0" customHeight="1">
      <c r="A45" s="50">
        <f t="shared" si="9"/>
        <v>38</v>
      </c>
      <c r="B45" s="51" t="str">
        <f t="shared" si="2"/>
        <v>Chilli 🌶️ Killer ☠️ #38 | R4 - C28</v>
      </c>
      <c r="C45" s="52">
        <v>4.0</v>
      </c>
      <c r="D45" s="52">
        <v>28.0</v>
      </c>
      <c r="E45" s="53">
        <v>48.16297047</v>
      </c>
      <c r="F45" s="53">
        <v>17.14834663</v>
      </c>
      <c r="G45" s="54" t="s">
        <v>73</v>
      </c>
      <c r="H45" s="55" t="str">
        <f t="shared" si="3"/>
        <v>Attis</v>
      </c>
      <c r="I45" s="56" t="s">
        <v>74</v>
      </c>
      <c r="J45" s="57"/>
      <c r="K45" s="58" t="b">
        <v>1</v>
      </c>
      <c r="L45" s="59">
        <f t="shared" si="4"/>
        <v>0</v>
      </c>
      <c r="M45" s="59">
        <f t="shared" si="5"/>
        <v>0</v>
      </c>
      <c r="N45" s="59">
        <f t="shared" si="6"/>
        <v>0</v>
      </c>
      <c r="O45" s="60" t="str">
        <f t="shared" si="11"/>
        <v/>
      </c>
      <c r="P45" s="61" t="str">
        <f>IFERROR(__xludf.DUMMYFUNCTION("IF($N45=1,IFERROR(IMPORTXML($I45, ""//p[@class='status-date']""), ""Not Loading""),"""")"),"")</f>
        <v/>
      </c>
      <c r="Q45" s="64"/>
      <c r="R45" s="64"/>
      <c r="S45" s="64"/>
      <c r="T45" s="64"/>
      <c r="U45" s="62" t="str">
        <f t="shared" si="8"/>
        <v>Attis</v>
      </c>
      <c r="V45" s="63">
        <f>IFERROR(__xludf.DUMMYFUNCTION("iferror(VALUE(left(index(IMPORTXML(I47, ""//div[@class='col-lg-2 user-stat stat-green']""),2,1),len(index(IMPORTXML(I47, ""//div[@class='col-lg-2 user-stat stat-green']""),2,1))-8)),0)"),0.0)</f>
        <v>0</v>
      </c>
    </row>
    <row r="46" ht="15.0" customHeight="1">
      <c r="A46" s="50">
        <f t="shared" si="9"/>
        <v>39</v>
      </c>
      <c r="B46" s="51" t="str">
        <f t="shared" si="2"/>
        <v>Chilli 🌶️ Killer ☠️ #39 | R4 - C29</v>
      </c>
      <c r="C46" s="52">
        <v>4.0</v>
      </c>
      <c r="D46" s="52">
        <v>29.0</v>
      </c>
      <c r="E46" s="53">
        <v>48.16297047</v>
      </c>
      <c r="F46" s="53">
        <v>17.14856212</v>
      </c>
      <c r="G46" s="54" t="s">
        <v>33</v>
      </c>
      <c r="H46" s="55" t="str">
        <f t="shared" si="3"/>
        <v>TheEvilPoles</v>
      </c>
      <c r="I46" s="56" t="s">
        <v>75</v>
      </c>
      <c r="J46" s="57"/>
      <c r="K46" s="58" t="b">
        <v>1</v>
      </c>
      <c r="L46" s="59">
        <f t="shared" si="4"/>
        <v>0</v>
      </c>
      <c r="M46" s="59">
        <f t="shared" si="5"/>
        <v>0</v>
      </c>
      <c r="N46" s="59">
        <f t="shared" si="6"/>
        <v>0</v>
      </c>
      <c r="O46" s="60" t="str">
        <f t="shared" si="11"/>
        <v/>
      </c>
      <c r="P46" s="61" t="str">
        <f>IFERROR(__xludf.DUMMYFUNCTION("IF($N46=1,IFERROR(IMPORTXML($I46, ""//p[@class='status-date']""), ""Not Loading""),"""")"),"")</f>
        <v/>
      </c>
      <c r="Q46" s="65"/>
      <c r="R46" s="65"/>
      <c r="S46" s="65"/>
      <c r="T46" s="65"/>
      <c r="U46" s="62" t="str">
        <f t="shared" si="8"/>
        <v>TheEvilPoles</v>
      </c>
      <c r="V46" s="63">
        <f>IFERROR(__xludf.DUMMYFUNCTION("iferror(VALUE(left(index(IMPORTXML(I48, ""//div[@class='col-lg-2 user-stat stat-green']""),2,1),len(index(IMPORTXML(I48, ""//div[@class='col-lg-2 user-stat stat-green']""),2,1))-8)),0)"),0.0)</f>
        <v>0</v>
      </c>
    </row>
    <row r="47" ht="15.0" customHeight="1">
      <c r="A47" s="50">
        <f t="shared" si="9"/>
        <v>40</v>
      </c>
      <c r="B47" s="51" t="str">
        <f t="shared" si="2"/>
        <v>Chilli 🌶️ Killer ☠️ #40 | R5 - C16</v>
      </c>
      <c r="C47" s="52">
        <v>5.0</v>
      </c>
      <c r="D47" s="52">
        <v>16.0</v>
      </c>
      <c r="E47" s="53">
        <v>48.162846</v>
      </c>
      <c r="F47" s="53">
        <v>17.14565308</v>
      </c>
      <c r="G47" s="54" t="s">
        <v>33</v>
      </c>
      <c r="H47" s="55" t="str">
        <f>IF(AND(ISURL(I42),ISTEXT(G47)),U47,IF(ISURL(I42),"&lt; Choose type","Insert URL ▶"))</f>
        <v>CoalCracker7</v>
      </c>
      <c r="I47" s="56" t="s">
        <v>76</v>
      </c>
      <c r="J47" s="57"/>
      <c r="K47" s="58" t="b">
        <v>1</v>
      </c>
      <c r="L47" s="59">
        <f>IF($I42="",1,0)</f>
        <v>0</v>
      </c>
      <c r="M47" s="59">
        <f>IF(AND($I42&lt;&gt;"",$H47="Insert URL ▶"),1,0)</f>
        <v>0</v>
      </c>
      <c r="N47" s="59">
        <f>IF(K47=TRUE,0,IF(AND($I42&lt;&gt;"",$H47&lt;&gt;"Insert URL ▶"),1,0))</f>
        <v>0</v>
      </c>
      <c r="O47" s="60" t="str">
        <f>IF($N47=1,HYPERLINK($I42&amp;"map/?lat="&amp;$E47&amp;"lon="&amp;$F47&amp;"type="&amp;$G47,"Munzee"),"")</f>
        <v/>
      </c>
      <c r="P47" s="61" t="str">
        <f>IFERROR(__xludf.DUMMYFUNCTION("IF($N47=1,IFERROR(IMPORTXML($I42, ""//p[@class='status-date']""), ""Not Loading""),"""")"),"")</f>
        <v/>
      </c>
      <c r="Q47" s="64"/>
      <c r="R47" s="64"/>
      <c r="S47" s="64"/>
      <c r="T47" s="64"/>
      <c r="U47" s="62" t="str">
        <f t="shared" si="8"/>
        <v>CoalCracker7</v>
      </c>
      <c r="V47" s="63">
        <f>IFERROR(__xludf.DUMMYFUNCTION("iferror(VALUE(left(index(IMPORTXML(I49, ""//div[@class='col-lg-2 user-stat stat-green']""),2,1),len(index(IMPORTXML(I49, ""//div[@class='col-lg-2 user-stat stat-green']""),2,1))-8)),0)"),0.0)</f>
        <v>0</v>
      </c>
    </row>
    <row r="48" ht="15.0" customHeight="1">
      <c r="A48" s="50">
        <f t="shared" si="9"/>
        <v>41</v>
      </c>
      <c r="B48" s="51" t="str">
        <f t="shared" si="2"/>
        <v>Chilli 🌶️ Killer ☠️ #41 | R5 - C17</v>
      </c>
      <c r="C48" s="52">
        <v>5.0</v>
      </c>
      <c r="D48" s="52">
        <v>17.0</v>
      </c>
      <c r="E48" s="53">
        <v>48.162846</v>
      </c>
      <c r="F48" s="53">
        <v>17.14586856</v>
      </c>
      <c r="G48" s="54" t="s">
        <v>33</v>
      </c>
      <c r="H48" s="55" t="str">
        <f t="shared" ref="H48:H364" si="12">IF(AND(ISURL(I48),ISTEXT(G48)),U48,IF(ISURL(I48),"&lt; Choose type","Insert URL ▶"))</f>
        <v>jukkas</v>
      </c>
      <c r="I48" s="56" t="s">
        <v>77</v>
      </c>
      <c r="J48" s="57"/>
      <c r="K48" s="58" t="b">
        <v>1</v>
      </c>
      <c r="L48" s="59">
        <f t="shared" ref="L48:L364" si="13">IF($I48="",1,0)</f>
        <v>0</v>
      </c>
      <c r="M48" s="59">
        <f t="shared" ref="M48:M364" si="14">IF(AND($I48&lt;&gt;"",$H48="Insert URL ▶"),1,0)</f>
        <v>0</v>
      </c>
      <c r="N48" s="59">
        <f t="shared" ref="N48:N364" si="15">IF(K48=TRUE,0,IF(AND($I48&lt;&gt;"",$H48&lt;&gt;"Insert URL ▶"),1,0))</f>
        <v>0</v>
      </c>
      <c r="O48" s="60" t="str">
        <f>IF($N48=1,HYPERLINK($I48&amp;"map/?lat="&amp;$E48&amp;"lon="&amp;$F48&amp;"type="&amp;$G48,"Munzee"),"")</f>
        <v/>
      </c>
      <c r="P48" s="61" t="str">
        <f>IFERROR(__xludf.DUMMYFUNCTION("IF($N48=1,IFERROR(IMPORTXML($I48, ""//p[@class='status-date']""), ""Not Loading""),"""")"),"")</f>
        <v/>
      </c>
      <c r="Q48" s="65"/>
      <c r="R48" s="65"/>
      <c r="S48" s="65"/>
      <c r="T48" s="65"/>
      <c r="U48" s="62" t="str">
        <f t="shared" si="8"/>
        <v>jukkas</v>
      </c>
      <c r="V48" s="63">
        <f>IFERROR(__xludf.DUMMYFUNCTION("iferror(VALUE(left(index(IMPORTXML(I50, ""//div[@class='col-lg-2 user-stat stat-green']""),2,1),len(index(IMPORTXML(I50, ""//div[@class='col-lg-2 user-stat stat-green']""),2,1))-8)),0)"),0.0)</f>
        <v>0</v>
      </c>
    </row>
    <row r="49" ht="15.0" customHeight="1">
      <c r="A49" s="50">
        <f t="shared" si="9"/>
        <v>42</v>
      </c>
      <c r="B49" s="51" t="str">
        <f t="shared" si="2"/>
        <v>Chilli 🌶️ Killer ☠️ #42 | R5 - C18</v>
      </c>
      <c r="C49" s="52">
        <v>5.0</v>
      </c>
      <c r="D49" s="52">
        <v>18.0</v>
      </c>
      <c r="E49" s="53">
        <v>48.162846</v>
      </c>
      <c r="F49" s="53">
        <v>17.14608404</v>
      </c>
      <c r="G49" s="54" t="s">
        <v>42</v>
      </c>
      <c r="H49" s="55" t="str">
        <f t="shared" si="12"/>
        <v>thorkel</v>
      </c>
      <c r="I49" s="56" t="s">
        <v>78</v>
      </c>
      <c r="J49" s="57"/>
      <c r="K49" s="58" t="b">
        <v>1</v>
      </c>
      <c r="L49" s="59">
        <f t="shared" si="13"/>
        <v>0</v>
      </c>
      <c r="M49" s="59">
        <f t="shared" si="14"/>
        <v>0</v>
      </c>
      <c r="N49" s="59">
        <f t="shared" si="15"/>
        <v>0</v>
      </c>
      <c r="O49" s="60" t="str">
        <f>IF($N49=1,HYPERLINK(#REF!&amp;"map/?lat="&amp;$E49&amp;"lon="&amp;$F49&amp;"type="&amp;$G49,"Munzee"),"")</f>
        <v/>
      </c>
      <c r="P49" s="61" t="str">
        <f>IFERROR(__xludf.DUMMYFUNCTION("IF($N49=1,IFERROR(IMPORTXML(#REF!, ""//p[@class='status-date']""), ""Not Loading""),"""")"),"")</f>
        <v/>
      </c>
      <c r="Q49" s="64"/>
      <c r="R49" s="64"/>
      <c r="S49" s="64"/>
      <c r="T49" s="64"/>
      <c r="U49" s="62" t="str">
        <f t="shared" si="8"/>
        <v>thorkel</v>
      </c>
      <c r="V49" s="63">
        <f>IFERROR(__xludf.DUMMYFUNCTION("iferror(VALUE(left(index(IMPORTXML(I51, ""//div[@class='col-lg-2 user-stat stat-green']""),2,1),len(index(IMPORTXML(I51, ""//div[@class='col-lg-2 user-stat stat-green']""),2,1))-8)),0)"),0.0)</f>
        <v>0</v>
      </c>
    </row>
    <row r="50" ht="15.0" customHeight="1">
      <c r="A50" s="50">
        <f t="shared" si="9"/>
        <v>43</v>
      </c>
      <c r="B50" s="51" t="str">
        <f t="shared" si="2"/>
        <v>Chilli 🌶️ Killer ☠️ #43 | R5 - C19</v>
      </c>
      <c r="C50" s="52">
        <v>5.0</v>
      </c>
      <c r="D50" s="52">
        <v>19.0</v>
      </c>
      <c r="E50" s="53">
        <v>48.162846</v>
      </c>
      <c r="F50" s="53">
        <v>17.14629953</v>
      </c>
      <c r="G50" s="54" t="s">
        <v>42</v>
      </c>
      <c r="H50" s="55" t="str">
        <f t="shared" si="12"/>
        <v>rodrico101</v>
      </c>
      <c r="I50" s="56" t="s">
        <v>79</v>
      </c>
      <c r="J50" s="57"/>
      <c r="K50" s="58" t="b">
        <v>1</v>
      </c>
      <c r="L50" s="59">
        <f t="shared" si="13"/>
        <v>0</v>
      </c>
      <c r="M50" s="59">
        <f t="shared" si="14"/>
        <v>0</v>
      </c>
      <c r="N50" s="59">
        <f t="shared" si="15"/>
        <v>0</v>
      </c>
      <c r="O50" s="60" t="str">
        <f t="shared" ref="O50:O364" si="16">IF($N50=1,HYPERLINK($I50&amp;"map/?lat="&amp;$E50&amp;"lon="&amp;$F50&amp;"type="&amp;$G50,"Munzee"),"")</f>
        <v/>
      </c>
      <c r="P50" s="61" t="str">
        <f>IFERROR(__xludf.DUMMYFUNCTION("IF($N50=1,IFERROR(IMPORTXML($I50, ""//p[@class='status-date']""), ""Not Loading""),"""")"),"")</f>
        <v/>
      </c>
      <c r="Q50" s="65"/>
      <c r="R50" s="65"/>
      <c r="S50" s="65"/>
      <c r="T50" s="65"/>
      <c r="U50" s="62" t="str">
        <f t="shared" si="8"/>
        <v>rodrico101</v>
      </c>
      <c r="V50" s="63">
        <f>IFERROR(__xludf.DUMMYFUNCTION("iferror(VALUE(left(index(IMPORTXML(I52, ""//div[@class='col-lg-2 user-stat stat-green']""),2,1),len(index(IMPORTXML(I52, ""//div[@class='col-lg-2 user-stat stat-green']""),2,1))-8)),0)"),0.0)</f>
        <v>0</v>
      </c>
    </row>
    <row r="51" ht="15.0" customHeight="1">
      <c r="A51" s="50">
        <f t="shared" si="9"/>
        <v>44</v>
      </c>
      <c r="B51" s="51" t="str">
        <f t="shared" si="2"/>
        <v>Chilli 🌶️ Killer ☠️ #44 | R5 - C20</v>
      </c>
      <c r="C51" s="52">
        <v>5.0</v>
      </c>
      <c r="D51" s="52">
        <v>20.0</v>
      </c>
      <c r="E51" s="53">
        <v>48.162846</v>
      </c>
      <c r="F51" s="53">
        <v>17.14651501</v>
      </c>
      <c r="G51" s="54" t="s">
        <v>42</v>
      </c>
      <c r="H51" s="55" t="str">
        <f t="shared" si="12"/>
        <v>123xilef</v>
      </c>
      <c r="I51" s="56" t="s">
        <v>80</v>
      </c>
      <c r="J51" s="57"/>
      <c r="K51" s="58" t="b">
        <v>1</v>
      </c>
      <c r="L51" s="59">
        <f t="shared" si="13"/>
        <v>0</v>
      </c>
      <c r="M51" s="59">
        <f t="shared" si="14"/>
        <v>0</v>
      </c>
      <c r="N51" s="59">
        <f t="shared" si="15"/>
        <v>0</v>
      </c>
      <c r="O51" s="60" t="str">
        <f t="shared" si="16"/>
        <v/>
      </c>
      <c r="P51" s="61" t="str">
        <f>IFERROR(__xludf.DUMMYFUNCTION("IF($N51=1,IFERROR(IMPORTXML($I51, ""//p[@class='status-date']""), ""Not Loading""),"""")"),"")</f>
        <v/>
      </c>
      <c r="Q51" s="64"/>
      <c r="R51" s="64"/>
      <c r="S51" s="64"/>
      <c r="T51" s="64"/>
      <c r="U51" s="62" t="str">
        <f t="shared" si="8"/>
        <v>123xilef</v>
      </c>
      <c r="V51" s="63">
        <f>IFERROR(__xludf.DUMMYFUNCTION("iferror(VALUE(left(index(IMPORTXML(I53, ""//div[@class='col-lg-2 user-stat stat-green']""),2,1),len(index(IMPORTXML(I53, ""//div[@class='col-lg-2 user-stat stat-green']""),2,1))-8)),0)"),0.0)</f>
        <v>0</v>
      </c>
    </row>
    <row r="52" ht="15.0" customHeight="1">
      <c r="A52" s="50">
        <f t="shared" si="9"/>
        <v>45</v>
      </c>
      <c r="B52" s="51" t="str">
        <f t="shared" si="2"/>
        <v>Chilli 🌶️ Killer ☠️ #45 | R5 - C21</v>
      </c>
      <c r="C52" s="52">
        <v>5.0</v>
      </c>
      <c r="D52" s="52">
        <v>21.0</v>
      </c>
      <c r="E52" s="53">
        <v>48.162846</v>
      </c>
      <c r="F52" s="53">
        <v>17.14673049</v>
      </c>
      <c r="G52" s="54" t="s">
        <v>42</v>
      </c>
      <c r="H52" s="55" t="str">
        <f t="shared" si="12"/>
        <v>harrie56</v>
      </c>
      <c r="I52" s="56" t="s">
        <v>81</v>
      </c>
      <c r="J52" s="57"/>
      <c r="K52" s="58" t="b">
        <v>1</v>
      </c>
      <c r="L52" s="59">
        <f t="shared" si="13"/>
        <v>0</v>
      </c>
      <c r="M52" s="59">
        <f t="shared" si="14"/>
        <v>0</v>
      </c>
      <c r="N52" s="59">
        <f t="shared" si="15"/>
        <v>0</v>
      </c>
      <c r="O52" s="60" t="str">
        <f t="shared" si="16"/>
        <v/>
      </c>
      <c r="P52" s="61" t="str">
        <f>IFERROR(__xludf.DUMMYFUNCTION("IF($N52=1,IFERROR(IMPORTXML($I52, ""//p[@class='status-date']""), ""Not Loading""),"""")"),"")</f>
        <v/>
      </c>
      <c r="Q52" s="65"/>
      <c r="R52" s="65"/>
      <c r="S52" s="65"/>
      <c r="T52" s="65"/>
      <c r="U52" s="62" t="str">
        <f t="shared" si="8"/>
        <v>harrie56</v>
      </c>
      <c r="V52" s="63">
        <f>IFERROR(__xludf.DUMMYFUNCTION("iferror(VALUE(left(index(IMPORTXML(I54, ""//div[@class='col-lg-2 user-stat stat-green']""),2,1),len(index(IMPORTXML(I54, ""//div[@class='col-lg-2 user-stat stat-green']""),2,1))-8)),0)"),0.0)</f>
        <v>0</v>
      </c>
    </row>
    <row r="53" ht="15.0" customHeight="1">
      <c r="A53" s="50">
        <f t="shared" si="9"/>
        <v>46</v>
      </c>
      <c r="B53" s="51" t="str">
        <f t="shared" si="2"/>
        <v>Chilli 🌶️ Killer ☠️ #46 | R5 - C22</v>
      </c>
      <c r="C53" s="52">
        <v>5.0</v>
      </c>
      <c r="D53" s="52">
        <v>22.0</v>
      </c>
      <c r="E53" s="53">
        <v>48.162846</v>
      </c>
      <c r="F53" s="53">
        <v>17.14694597</v>
      </c>
      <c r="G53" s="54" t="s">
        <v>42</v>
      </c>
      <c r="H53" s="55" t="str">
        <f t="shared" si="12"/>
        <v>23speds</v>
      </c>
      <c r="I53" s="56" t="s">
        <v>82</v>
      </c>
      <c r="J53" s="57"/>
      <c r="K53" s="58" t="b">
        <v>1</v>
      </c>
      <c r="L53" s="59">
        <f t="shared" si="13"/>
        <v>0</v>
      </c>
      <c r="M53" s="59">
        <f t="shared" si="14"/>
        <v>0</v>
      </c>
      <c r="N53" s="59">
        <f t="shared" si="15"/>
        <v>0</v>
      </c>
      <c r="O53" s="60" t="str">
        <f t="shared" si="16"/>
        <v/>
      </c>
      <c r="P53" s="61" t="str">
        <f>IFERROR(__xludf.DUMMYFUNCTION("IF($N53=1,IFERROR(IMPORTXML($I53, ""//p[@class='status-date']""), ""Not Loading""),"""")"),"")</f>
        <v/>
      </c>
      <c r="Q53" s="64"/>
      <c r="R53" s="64"/>
      <c r="S53" s="64"/>
      <c r="T53" s="64"/>
      <c r="U53" s="62" t="str">
        <f t="shared" si="8"/>
        <v>23speds</v>
      </c>
      <c r="V53" s="63">
        <f>IFERROR(__xludf.DUMMYFUNCTION("iferror(VALUE(left(index(IMPORTXML(I55, ""//div[@class='col-lg-2 user-stat stat-green']""),2,1),len(index(IMPORTXML(I55, ""//div[@class='col-lg-2 user-stat stat-green']""),2,1))-8)),0)"),0.0)</f>
        <v>0</v>
      </c>
    </row>
    <row r="54" ht="15.0" customHeight="1">
      <c r="A54" s="50">
        <f t="shared" si="9"/>
        <v>47</v>
      </c>
      <c r="B54" s="51" t="str">
        <f t="shared" si="2"/>
        <v>Chilli 🌶️ Killer ☠️ #47 | R5 - C23</v>
      </c>
      <c r="C54" s="52">
        <v>5.0</v>
      </c>
      <c r="D54" s="52">
        <v>23.0</v>
      </c>
      <c r="E54" s="53">
        <v>48.162846</v>
      </c>
      <c r="F54" s="53">
        <v>17.14716146</v>
      </c>
      <c r="G54" s="54" t="s">
        <v>42</v>
      </c>
      <c r="H54" s="55" t="str">
        <f t="shared" si="12"/>
        <v>mierischclan</v>
      </c>
      <c r="I54" s="56" t="s">
        <v>83</v>
      </c>
      <c r="J54" s="57"/>
      <c r="K54" s="58" t="b">
        <v>1</v>
      </c>
      <c r="L54" s="59">
        <f t="shared" si="13"/>
        <v>0</v>
      </c>
      <c r="M54" s="59">
        <f t="shared" si="14"/>
        <v>0</v>
      </c>
      <c r="N54" s="59">
        <f t="shared" si="15"/>
        <v>0</v>
      </c>
      <c r="O54" s="60" t="str">
        <f t="shared" si="16"/>
        <v/>
      </c>
      <c r="P54" s="61" t="str">
        <f>IFERROR(__xludf.DUMMYFUNCTION("IF($N54=1,IFERROR(IMPORTXML($I54, ""//p[@class='status-date']""), ""Not Loading""),"""")"),"")</f>
        <v/>
      </c>
      <c r="Q54" s="65"/>
      <c r="R54" s="65"/>
      <c r="S54" s="65"/>
      <c r="T54" s="65"/>
      <c r="U54" s="62" t="str">
        <f t="shared" si="8"/>
        <v>mierischclan</v>
      </c>
      <c r="V54" s="63">
        <f>IFERROR(__xludf.DUMMYFUNCTION("iferror(VALUE(left(index(IMPORTXML(I56, ""//div[@class='col-lg-2 user-stat stat-green']""),2,1),len(index(IMPORTXML(I56, ""//div[@class='col-lg-2 user-stat stat-green']""),2,1))-8)),0)"),0.0)</f>
        <v>0</v>
      </c>
    </row>
    <row r="55" ht="15.0" customHeight="1">
      <c r="A55" s="50">
        <f t="shared" si="9"/>
        <v>48</v>
      </c>
      <c r="B55" s="51" t="str">
        <f t="shared" si="2"/>
        <v>Chilli 🌶️ Killer ☠️ #48 | R5 - C24</v>
      </c>
      <c r="C55" s="52">
        <v>5.0</v>
      </c>
      <c r="D55" s="52">
        <v>24.0</v>
      </c>
      <c r="E55" s="53">
        <v>48.162846</v>
      </c>
      <c r="F55" s="53">
        <v>17.14737694</v>
      </c>
      <c r="G55" s="54" t="s">
        <v>42</v>
      </c>
      <c r="H55" s="55" t="str">
        <f t="shared" si="12"/>
        <v>Lorax1</v>
      </c>
      <c r="I55" s="56" t="s">
        <v>84</v>
      </c>
      <c r="J55" s="57"/>
      <c r="K55" s="58" t="b">
        <v>1</v>
      </c>
      <c r="L55" s="59">
        <f t="shared" si="13"/>
        <v>0</v>
      </c>
      <c r="M55" s="59">
        <f t="shared" si="14"/>
        <v>0</v>
      </c>
      <c r="N55" s="59">
        <f t="shared" si="15"/>
        <v>0</v>
      </c>
      <c r="O55" s="60" t="str">
        <f t="shared" si="16"/>
        <v/>
      </c>
      <c r="P55" s="61" t="str">
        <f>IFERROR(__xludf.DUMMYFUNCTION("IF($N55=1,IFERROR(IMPORTXML($I55, ""//p[@class='status-date']""), ""Not Loading""),"""")"),"")</f>
        <v/>
      </c>
      <c r="Q55" s="64"/>
      <c r="R55" s="64"/>
      <c r="S55" s="64"/>
      <c r="T55" s="64"/>
      <c r="U55" s="62" t="str">
        <f t="shared" si="8"/>
        <v>Lorax1</v>
      </c>
      <c r="V55" s="63">
        <f>IFERROR(__xludf.DUMMYFUNCTION("iferror(VALUE(left(index(IMPORTXML(I57, ""//div[@class='col-lg-2 user-stat stat-green']""),2,1),len(index(IMPORTXML(I57, ""//div[@class='col-lg-2 user-stat stat-green']""),2,1))-8)),0)"),0.0)</f>
        <v>0</v>
      </c>
    </row>
    <row r="56" ht="15.0" customHeight="1">
      <c r="A56" s="50">
        <f t="shared" si="9"/>
        <v>49</v>
      </c>
      <c r="B56" s="51" t="str">
        <f t="shared" si="2"/>
        <v>Chilli 🌶️ Killer ☠️ #49 | R5 - C25</v>
      </c>
      <c r="C56" s="52">
        <v>5.0</v>
      </c>
      <c r="D56" s="52">
        <v>25.0</v>
      </c>
      <c r="E56" s="53">
        <v>48.162846</v>
      </c>
      <c r="F56" s="53">
        <v>17.14759242</v>
      </c>
      <c r="G56" s="54" t="s">
        <v>42</v>
      </c>
      <c r="H56" s="55" t="str">
        <f t="shared" si="12"/>
        <v>jurikvandspol</v>
      </c>
      <c r="I56" s="56" t="s">
        <v>85</v>
      </c>
      <c r="J56" s="57"/>
      <c r="K56" s="58" t="b">
        <v>1</v>
      </c>
      <c r="L56" s="59">
        <f t="shared" si="13"/>
        <v>0</v>
      </c>
      <c r="M56" s="59">
        <f t="shared" si="14"/>
        <v>0</v>
      </c>
      <c r="N56" s="59">
        <f t="shared" si="15"/>
        <v>0</v>
      </c>
      <c r="O56" s="60" t="str">
        <f t="shared" si="16"/>
        <v/>
      </c>
      <c r="P56" s="61" t="str">
        <f>IFERROR(__xludf.DUMMYFUNCTION("IF($N56=1,IFERROR(IMPORTXML($I56, ""//p[@class='status-date']""), ""Not Loading""),"""")"),"")</f>
        <v/>
      </c>
      <c r="Q56" s="65"/>
      <c r="R56" s="65"/>
      <c r="S56" s="65"/>
      <c r="T56" s="65"/>
      <c r="U56" s="62" t="str">
        <f t="shared" si="8"/>
        <v>jurikvandspol</v>
      </c>
      <c r="V56" s="63">
        <f>IFERROR(__xludf.DUMMYFUNCTION("iferror(VALUE(left(index(IMPORTXML(I58, ""//div[@class='col-lg-2 user-stat stat-green']""),2,1),len(index(IMPORTXML(I58, ""//div[@class='col-lg-2 user-stat stat-green']""),2,1))-8)),0)"),0.0)</f>
        <v>0</v>
      </c>
    </row>
    <row r="57" ht="15.0" customHeight="1">
      <c r="A57" s="50">
        <f t="shared" si="9"/>
        <v>50</v>
      </c>
      <c r="B57" s="51" t="str">
        <f t="shared" si="2"/>
        <v>Chilli 🌶️ Killer ☠️ #50 | R5 - C26</v>
      </c>
      <c r="C57" s="52">
        <v>5.0</v>
      </c>
      <c r="D57" s="52">
        <v>26.0</v>
      </c>
      <c r="E57" s="53">
        <v>48.162846</v>
      </c>
      <c r="F57" s="53">
        <v>17.14780791</v>
      </c>
      <c r="G57" s="54" t="s">
        <v>42</v>
      </c>
      <c r="H57" s="55" t="str">
        <f t="shared" si="12"/>
        <v>c-bn</v>
      </c>
      <c r="I57" s="56" t="s">
        <v>86</v>
      </c>
      <c r="J57" s="57"/>
      <c r="K57" s="58" t="b">
        <v>1</v>
      </c>
      <c r="L57" s="59">
        <f t="shared" si="13"/>
        <v>0</v>
      </c>
      <c r="M57" s="59">
        <f t="shared" si="14"/>
        <v>0</v>
      </c>
      <c r="N57" s="59">
        <f t="shared" si="15"/>
        <v>0</v>
      </c>
      <c r="O57" s="60" t="str">
        <f t="shared" si="16"/>
        <v/>
      </c>
      <c r="P57" s="61" t="str">
        <f>IFERROR(__xludf.DUMMYFUNCTION("IF($N57=1,IFERROR(IMPORTXML($I57, ""//p[@class='status-date']""), ""Not Loading""),"""")"),"")</f>
        <v/>
      </c>
      <c r="Q57" s="64"/>
      <c r="R57" s="64"/>
      <c r="S57" s="64"/>
      <c r="T57" s="64"/>
      <c r="U57" s="62" t="str">
        <f t="shared" si="8"/>
        <v>c-bn</v>
      </c>
      <c r="V57" s="63">
        <f>IFERROR(__xludf.DUMMYFUNCTION("iferror(VALUE(left(index(IMPORTXML(I59, ""//div[@class='col-lg-2 user-stat stat-green']""),2,1),len(index(IMPORTXML(I59, ""//div[@class='col-lg-2 user-stat stat-green']""),2,1))-8)),0)"),0.0)</f>
        <v>0</v>
      </c>
    </row>
    <row r="58" ht="15.0" customHeight="1">
      <c r="A58" s="50">
        <f t="shared" si="9"/>
        <v>51</v>
      </c>
      <c r="B58" s="51" t="str">
        <f t="shared" si="2"/>
        <v>Chilli 🌶️ Killer ☠️ #51 | R5 - C27</v>
      </c>
      <c r="C58" s="52">
        <v>5.0</v>
      </c>
      <c r="D58" s="52">
        <v>27.0</v>
      </c>
      <c r="E58" s="53">
        <v>48.162846</v>
      </c>
      <c r="F58" s="53">
        <v>17.14802339</v>
      </c>
      <c r="G58" s="54" t="s">
        <v>42</v>
      </c>
      <c r="H58" s="55" t="str">
        <f t="shared" si="12"/>
        <v>florish</v>
      </c>
      <c r="I58" s="56" t="s">
        <v>87</v>
      </c>
      <c r="J58" s="57"/>
      <c r="K58" s="58" t="b">
        <v>1</v>
      </c>
      <c r="L58" s="59">
        <f t="shared" si="13"/>
        <v>0</v>
      </c>
      <c r="M58" s="59">
        <f t="shared" si="14"/>
        <v>0</v>
      </c>
      <c r="N58" s="59">
        <f t="shared" si="15"/>
        <v>0</v>
      </c>
      <c r="O58" s="60" t="str">
        <f t="shared" si="16"/>
        <v/>
      </c>
      <c r="P58" s="61" t="str">
        <f>IFERROR(__xludf.DUMMYFUNCTION("IF($N58=1,IFERROR(IMPORTXML($I58, ""//p[@class='status-date']""), ""Not Loading""),"""")"),"")</f>
        <v/>
      </c>
      <c r="Q58" s="65"/>
      <c r="R58" s="65"/>
      <c r="S58" s="65"/>
      <c r="T58" s="65"/>
      <c r="U58" s="62" t="str">
        <f t="shared" si="8"/>
        <v>florish</v>
      </c>
      <c r="V58" s="63">
        <f>IFERROR(__xludf.DUMMYFUNCTION("iferror(VALUE(left(index(IMPORTXML(I60, ""//div[@class='col-lg-2 user-stat stat-green']""),2,1),len(index(IMPORTXML(I60, ""//div[@class='col-lg-2 user-stat stat-green']""),2,1))-8)),0)"),0.0)</f>
        <v>0</v>
      </c>
    </row>
    <row r="59" ht="15.0" customHeight="1">
      <c r="A59" s="50">
        <f t="shared" si="9"/>
        <v>52</v>
      </c>
      <c r="B59" s="51" t="str">
        <f t="shared" si="2"/>
        <v>Chilli 🌶️ Killer ☠️ #52 | R5 - C28</v>
      </c>
      <c r="C59" s="52">
        <v>5.0</v>
      </c>
      <c r="D59" s="52">
        <v>28.0</v>
      </c>
      <c r="E59" s="53">
        <v>48.162846</v>
      </c>
      <c r="F59" s="53">
        <v>17.14823887</v>
      </c>
      <c r="G59" s="54" t="s">
        <v>42</v>
      </c>
      <c r="H59" s="55" t="str">
        <f t="shared" si="12"/>
        <v>KarelVeliky</v>
      </c>
      <c r="I59" s="56" t="s">
        <v>88</v>
      </c>
      <c r="J59" s="57"/>
      <c r="K59" s="58" t="b">
        <v>1</v>
      </c>
      <c r="L59" s="59">
        <f t="shared" si="13"/>
        <v>0</v>
      </c>
      <c r="M59" s="59">
        <f t="shared" si="14"/>
        <v>0</v>
      </c>
      <c r="N59" s="59">
        <f t="shared" si="15"/>
        <v>0</v>
      </c>
      <c r="O59" s="60" t="str">
        <f t="shared" si="16"/>
        <v/>
      </c>
      <c r="P59" s="61" t="str">
        <f>IFERROR(__xludf.DUMMYFUNCTION("IF($N59=1,IFERROR(IMPORTXML($I59, ""//p[@class='status-date']""), ""Not Loading""),"""")"),"")</f>
        <v/>
      </c>
      <c r="Q59" s="64"/>
      <c r="R59" s="64"/>
      <c r="S59" s="64"/>
      <c r="T59" s="64"/>
      <c r="U59" s="62" t="str">
        <f t="shared" si="8"/>
        <v>KarelVeliky</v>
      </c>
      <c r="V59" s="63">
        <f>IFERROR(__xludf.DUMMYFUNCTION("iferror(VALUE(left(index(IMPORTXML(I61, ""//div[@class='col-lg-2 user-stat stat-green']""),2,1),len(index(IMPORTXML(I61, ""//div[@class='col-lg-2 user-stat stat-green']""),2,1))-8)),0)"),0.0)</f>
        <v>0</v>
      </c>
    </row>
    <row r="60" ht="15.0" customHeight="1">
      <c r="A60" s="50">
        <f t="shared" si="9"/>
        <v>53</v>
      </c>
      <c r="B60" s="51" t="str">
        <f t="shared" si="2"/>
        <v>Chilli 🌶️ Killer ☠️ #53 | R5 - C29</v>
      </c>
      <c r="C60" s="52">
        <v>5.0</v>
      </c>
      <c r="D60" s="52">
        <v>29.0</v>
      </c>
      <c r="E60" s="53">
        <v>48.162846</v>
      </c>
      <c r="F60" s="53">
        <v>17.14845435</v>
      </c>
      <c r="G60" s="54" t="s">
        <v>73</v>
      </c>
      <c r="H60" s="55" t="str">
        <f t="shared" si="12"/>
        <v>Dazzaf</v>
      </c>
      <c r="I60" s="56" t="s">
        <v>89</v>
      </c>
      <c r="J60" s="57"/>
      <c r="K60" s="58" t="b">
        <v>1</v>
      </c>
      <c r="L60" s="59">
        <f t="shared" si="13"/>
        <v>0</v>
      </c>
      <c r="M60" s="59">
        <f t="shared" si="14"/>
        <v>0</v>
      </c>
      <c r="N60" s="59">
        <f t="shared" si="15"/>
        <v>0</v>
      </c>
      <c r="O60" s="60" t="str">
        <f t="shared" si="16"/>
        <v/>
      </c>
      <c r="P60" s="61" t="str">
        <f>IFERROR(__xludf.DUMMYFUNCTION("IF($N60=1,IFERROR(IMPORTXML($I60, ""//p[@class='status-date']""), ""Not Loading""),"""")"),"")</f>
        <v/>
      </c>
      <c r="Q60" s="65"/>
      <c r="R60" s="65"/>
      <c r="S60" s="65"/>
      <c r="T60" s="65"/>
      <c r="U60" s="62" t="str">
        <f t="shared" si="8"/>
        <v>Dazzaf</v>
      </c>
      <c r="V60" s="63">
        <f>IFERROR(__xludf.DUMMYFUNCTION("iferror(VALUE(left(index(IMPORTXML(I62, ""//div[@class='col-lg-2 user-stat stat-green']""),2,1),len(index(IMPORTXML(I62, ""//div[@class='col-lg-2 user-stat stat-green']""),2,1))-8)),0)"),0.0)</f>
        <v>0</v>
      </c>
    </row>
    <row r="61" ht="15.0" customHeight="1">
      <c r="A61" s="50">
        <f t="shared" si="9"/>
        <v>54</v>
      </c>
      <c r="B61" s="51" t="str">
        <f t="shared" si="2"/>
        <v>Chilli 🌶️ Killer ☠️ #54 | R5 - C30</v>
      </c>
      <c r="C61" s="52">
        <v>5.0</v>
      </c>
      <c r="D61" s="52">
        <v>30.0</v>
      </c>
      <c r="E61" s="53">
        <v>48.162846</v>
      </c>
      <c r="F61" s="53">
        <v>17.14866984</v>
      </c>
      <c r="G61" s="54" t="s">
        <v>33</v>
      </c>
      <c r="H61" s="55" t="str">
        <f t="shared" si="12"/>
        <v>29Februaris</v>
      </c>
      <c r="I61" s="56" t="s">
        <v>90</v>
      </c>
      <c r="J61" s="57"/>
      <c r="K61" s="58" t="b">
        <v>1</v>
      </c>
      <c r="L61" s="59">
        <f t="shared" si="13"/>
        <v>0</v>
      </c>
      <c r="M61" s="59">
        <f t="shared" si="14"/>
        <v>0</v>
      </c>
      <c r="N61" s="59">
        <f t="shared" si="15"/>
        <v>0</v>
      </c>
      <c r="O61" s="60" t="str">
        <f t="shared" si="16"/>
        <v/>
      </c>
      <c r="P61" s="61" t="str">
        <f>IFERROR(__xludf.DUMMYFUNCTION("IF($N61=1,IFERROR(IMPORTXML($I61, ""//p[@class='status-date']""), ""Not Loading""),"""")"),"")</f>
        <v/>
      </c>
      <c r="Q61" s="64"/>
      <c r="R61" s="64"/>
      <c r="S61" s="64"/>
      <c r="T61" s="64"/>
      <c r="U61" s="62" t="str">
        <f t="shared" si="8"/>
        <v>29Februaris</v>
      </c>
      <c r="V61" s="63">
        <f>IFERROR(__xludf.DUMMYFUNCTION("iferror(VALUE(left(index(IMPORTXML(I63, ""//div[@class='col-lg-2 user-stat stat-green']""),2,1),len(index(IMPORTXML(I63, ""//div[@class='col-lg-2 user-stat stat-green']""),2,1))-8)),0)"),0.0)</f>
        <v>0</v>
      </c>
    </row>
    <row r="62" ht="15.0" customHeight="1">
      <c r="A62" s="50">
        <f t="shared" si="9"/>
        <v>55</v>
      </c>
      <c r="B62" s="51" t="str">
        <f t="shared" si="2"/>
        <v>Chilli 🌶️ Killer ☠️ #55 | R5 - C31</v>
      </c>
      <c r="C62" s="52">
        <v>5.0</v>
      </c>
      <c r="D62" s="52">
        <v>31.0</v>
      </c>
      <c r="E62" s="53">
        <v>48.162846</v>
      </c>
      <c r="F62" s="53">
        <v>17.14888532</v>
      </c>
      <c r="G62" s="54" t="s">
        <v>33</v>
      </c>
      <c r="H62" s="55" t="str">
        <f t="shared" si="12"/>
        <v>mobility</v>
      </c>
      <c r="I62" s="56" t="s">
        <v>91</v>
      </c>
      <c r="J62" s="57"/>
      <c r="K62" s="58" t="b">
        <v>1</v>
      </c>
      <c r="L62" s="59">
        <f t="shared" si="13"/>
        <v>0</v>
      </c>
      <c r="M62" s="59">
        <f t="shared" si="14"/>
        <v>0</v>
      </c>
      <c r="N62" s="59">
        <f t="shared" si="15"/>
        <v>0</v>
      </c>
      <c r="O62" s="60" t="str">
        <f t="shared" si="16"/>
        <v/>
      </c>
      <c r="P62" s="61" t="str">
        <f>IFERROR(__xludf.DUMMYFUNCTION("IF($N62=1,IFERROR(IMPORTXML($I62, ""//p[@class='status-date']""), ""Not Loading""),"""")"),"")</f>
        <v/>
      </c>
      <c r="Q62" s="65"/>
      <c r="R62" s="65"/>
      <c r="S62" s="65"/>
      <c r="T62" s="65"/>
      <c r="U62" s="62" t="str">
        <f t="shared" si="8"/>
        <v>mobility</v>
      </c>
      <c r="V62" s="63">
        <f>IFERROR(__xludf.DUMMYFUNCTION("iferror(VALUE(left(index(IMPORTXML(I64, ""//div[@class='col-lg-2 user-stat stat-green']""),2,1),len(index(IMPORTXML(I64, ""//div[@class='col-lg-2 user-stat stat-green']""),2,1))-8)),0)"),0.0)</f>
        <v>0</v>
      </c>
    </row>
    <row r="63" ht="15.0" customHeight="1">
      <c r="A63" s="50">
        <f t="shared" si="9"/>
        <v>56</v>
      </c>
      <c r="B63" s="51" t="str">
        <f t="shared" si="2"/>
        <v>Chilli 🌶️ Killer ☠️ #56 | R5 - C32</v>
      </c>
      <c r="C63" s="52">
        <v>5.0</v>
      </c>
      <c r="D63" s="52">
        <v>32.0</v>
      </c>
      <c r="E63" s="53">
        <v>48.162846</v>
      </c>
      <c r="F63" s="53">
        <v>17.1491008</v>
      </c>
      <c r="G63" s="54" t="s">
        <v>33</v>
      </c>
      <c r="H63" s="55" t="str">
        <f t="shared" si="12"/>
        <v>florish</v>
      </c>
      <c r="I63" s="56" t="s">
        <v>92</v>
      </c>
      <c r="J63" s="57"/>
      <c r="K63" s="58" t="b">
        <v>1</v>
      </c>
      <c r="L63" s="59">
        <f t="shared" si="13"/>
        <v>0</v>
      </c>
      <c r="M63" s="59">
        <f t="shared" si="14"/>
        <v>0</v>
      </c>
      <c r="N63" s="59">
        <f t="shared" si="15"/>
        <v>0</v>
      </c>
      <c r="O63" s="60" t="str">
        <f t="shared" si="16"/>
        <v/>
      </c>
      <c r="P63" s="61" t="str">
        <f>IFERROR(__xludf.DUMMYFUNCTION("IF($N63=1,IFERROR(IMPORTXML($I63, ""//p[@class='status-date']""), ""Not Loading""),"""")"),"")</f>
        <v/>
      </c>
      <c r="Q63" s="64"/>
      <c r="R63" s="64"/>
      <c r="S63" s="64"/>
      <c r="T63" s="64"/>
      <c r="U63" s="62" t="str">
        <f t="shared" si="8"/>
        <v>florish</v>
      </c>
      <c r="V63" s="63">
        <f>IFERROR(__xludf.DUMMYFUNCTION("iferror(VALUE(left(index(IMPORTXML(I65, ""//div[@class='col-lg-2 user-stat stat-green']""),2,1),len(index(IMPORTXML(I65, ""//div[@class='col-lg-2 user-stat stat-green']""),2,1))-8)),0)"),0.0)</f>
        <v>0</v>
      </c>
    </row>
    <row r="64" ht="15.0" customHeight="1">
      <c r="A64" s="50">
        <f t="shared" si="9"/>
        <v>57</v>
      </c>
      <c r="B64" s="51" t="str">
        <f t="shared" si="2"/>
        <v>Chilli 🌶️ Killer ☠️ #57 | R5 - C33</v>
      </c>
      <c r="C64" s="52">
        <v>5.0</v>
      </c>
      <c r="D64" s="52">
        <v>33.0</v>
      </c>
      <c r="E64" s="53">
        <v>48.162846</v>
      </c>
      <c r="F64" s="53">
        <v>17.14931628</v>
      </c>
      <c r="G64" s="54" t="s">
        <v>33</v>
      </c>
      <c r="H64" s="55" t="str">
        <f t="shared" si="12"/>
        <v>29Februaris</v>
      </c>
      <c r="I64" s="56" t="s">
        <v>93</v>
      </c>
      <c r="J64" s="57"/>
      <c r="K64" s="58" t="b">
        <v>1</v>
      </c>
      <c r="L64" s="59">
        <f t="shared" si="13"/>
        <v>0</v>
      </c>
      <c r="M64" s="59">
        <f t="shared" si="14"/>
        <v>0</v>
      </c>
      <c r="N64" s="59">
        <f t="shared" si="15"/>
        <v>0</v>
      </c>
      <c r="O64" s="60" t="str">
        <f t="shared" si="16"/>
        <v/>
      </c>
      <c r="P64" s="61" t="str">
        <f>IFERROR(__xludf.DUMMYFUNCTION("IF($N64=1,IFERROR(IMPORTXML($I64, ""//p[@class='status-date']""), ""Not Loading""),"""")"),"")</f>
        <v/>
      </c>
      <c r="Q64" s="65"/>
      <c r="R64" s="65"/>
      <c r="S64" s="65"/>
      <c r="T64" s="65"/>
      <c r="U64" s="62" t="str">
        <f t="shared" si="8"/>
        <v>29Februaris</v>
      </c>
      <c r="V64" s="63">
        <f>IFERROR(__xludf.DUMMYFUNCTION("iferror(VALUE(left(index(IMPORTXML(I66, ""//div[@class='col-lg-2 user-stat stat-green']""),2,1),len(index(IMPORTXML(I66, ""//div[@class='col-lg-2 user-stat stat-green']""),2,1))-8)),0)"),0.0)</f>
        <v>0</v>
      </c>
    </row>
    <row r="65" ht="15.0" customHeight="1">
      <c r="A65" s="50">
        <f t="shared" si="9"/>
        <v>58</v>
      </c>
      <c r="B65" s="51" t="str">
        <f t="shared" si="2"/>
        <v>Chilli 🌶️ Killer ☠️ #58 | R5 - C34</v>
      </c>
      <c r="C65" s="52">
        <v>5.0</v>
      </c>
      <c r="D65" s="52">
        <v>34.0</v>
      </c>
      <c r="E65" s="53">
        <v>48.162846</v>
      </c>
      <c r="F65" s="53">
        <v>17.14953177</v>
      </c>
      <c r="G65" s="54" t="s">
        <v>33</v>
      </c>
      <c r="H65" s="55" t="str">
        <f t="shared" si="12"/>
        <v>Chivasloyal</v>
      </c>
      <c r="I65" s="56" t="s">
        <v>94</v>
      </c>
      <c r="J65" s="57"/>
      <c r="K65" s="58" t="b">
        <v>1</v>
      </c>
      <c r="L65" s="59">
        <f t="shared" si="13"/>
        <v>0</v>
      </c>
      <c r="M65" s="59">
        <f t="shared" si="14"/>
        <v>0</v>
      </c>
      <c r="N65" s="59">
        <f t="shared" si="15"/>
        <v>0</v>
      </c>
      <c r="O65" s="60" t="str">
        <f t="shared" si="16"/>
        <v/>
      </c>
      <c r="P65" s="61" t="str">
        <f>IFERROR(__xludf.DUMMYFUNCTION("IF($N65=1,IFERROR(IMPORTXML($I65, ""//p[@class='status-date']""), ""Not Loading""),"""")"),"")</f>
        <v/>
      </c>
      <c r="Q65" s="64"/>
      <c r="R65" s="64"/>
      <c r="S65" s="64"/>
      <c r="T65" s="64"/>
      <c r="U65" s="62" t="str">
        <f t="shared" si="8"/>
        <v>Chivasloyal</v>
      </c>
      <c r="V65" s="63">
        <f>IFERROR(__xludf.DUMMYFUNCTION("iferror(VALUE(left(index(IMPORTXML(I67, ""//div[@class='col-lg-2 user-stat stat-green']""),2,1),len(index(IMPORTXML(I67, ""//div[@class='col-lg-2 user-stat stat-green']""),2,1))-8)),0)"),0.0)</f>
        <v>0</v>
      </c>
    </row>
    <row r="66" ht="15.0" customHeight="1">
      <c r="A66" s="50">
        <f t="shared" si="9"/>
        <v>59</v>
      </c>
      <c r="B66" s="51" t="str">
        <f t="shared" si="2"/>
        <v>Chilli 🌶️ Killer ☠️ #59 | R5 - C35</v>
      </c>
      <c r="C66" s="52">
        <v>5.0</v>
      </c>
      <c r="D66" s="52">
        <v>35.0</v>
      </c>
      <c r="E66" s="53">
        <v>48.162846</v>
      </c>
      <c r="F66" s="53">
        <v>17.14974725</v>
      </c>
      <c r="G66" s="54" t="s">
        <v>33</v>
      </c>
      <c r="H66" s="55" t="str">
        <f t="shared" si="12"/>
        <v>woenny</v>
      </c>
      <c r="I66" s="56" t="s">
        <v>95</v>
      </c>
      <c r="J66" s="57"/>
      <c r="K66" s="58" t="b">
        <v>1</v>
      </c>
      <c r="L66" s="59">
        <f t="shared" si="13"/>
        <v>0</v>
      </c>
      <c r="M66" s="59">
        <f t="shared" si="14"/>
        <v>0</v>
      </c>
      <c r="N66" s="59">
        <f t="shared" si="15"/>
        <v>0</v>
      </c>
      <c r="O66" s="60" t="str">
        <f t="shared" si="16"/>
        <v/>
      </c>
      <c r="P66" s="61" t="str">
        <f>IFERROR(__xludf.DUMMYFUNCTION("IF($N66=1,IFERROR(IMPORTXML($I66, ""//p[@class='status-date']""), ""Not Loading""),"""")"),"")</f>
        <v/>
      </c>
      <c r="Q66" s="65"/>
      <c r="R66" s="65"/>
      <c r="S66" s="65"/>
      <c r="T66" s="65"/>
      <c r="U66" s="62" t="str">
        <f t="shared" si="8"/>
        <v>woenny</v>
      </c>
      <c r="V66" s="63">
        <f>IFERROR(__xludf.DUMMYFUNCTION("iferror(VALUE(left(index(IMPORTXML(I68, ""//div[@class='col-lg-2 user-stat stat-green']""),2,1),len(index(IMPORTXML(I68, ""//div[@class='col-lg-2 user-stat stat-green']""),2,1))-8)),0)"),0.0)</f>
        <v>0</v>
      </c>
    </row>
    <row r="67" ht="15.0" customHeight="1">
      <c r="A67" s="50">
        <f t="shared" si="9"/>
        <v>60</v>
      </c>
      <c r="B67" s="51" t="str">
        <f t="shared" si="2"/>
        <v>Chilli 🌶️ Killer ☠️ #60 | R6 - C15</v>
      </c>
      <c r="C67" s="52">
        <v>6.0</v>
      </c>
      <c r="D67" s="52">
        <v>15.0</v>
      </c>
      <c r="E67" s="53">
        <v>48.16272153</v>
      </c>
      <c r="F67" s="53">
        <v>17.14554532</v>
      </c>
      <c r="G67" s="54" t="s">
        <v>33</v>
      </c>
      <c r="H67" s="55" t="str">
        <f t="shared" si="12"/>
        <v>irmeli</v>
      </c>
      <c r="I67" s="56" t="s">
        <v>96</v>
      </c>
      <c r="J67" s="57"/>
      <c r="K67" s="58" t="b">
        <v>1</v>
      </c>
      <c r="L67" s="59">
        <f t="shared" si="13"/>
        <v>0</v>
      </c>
      <c r="M67" s="59">
        <f t="shared" si="14"/>
        <v>0</v>
      </c>
      <c r="N67" s="59">
        <f t="shared" si="15"/>
        <v>0</v>
      </c>
      <c r="O67" s="60" t="str">
        <f t="shared" si="16"/>
        <v/>
      </c>
      <c r="P67" s="61" t="str">
        <f>IFERROR(__xludf.DUMMYFUNCTION("IF($N67=1,IFERROR(IMPORTXML($I67, ""//p[@class='status-date']""), ""Not Loading""),"""")"),"")</f>
        <v/>
      </c>
      <c r="Q67" s="64"/>
      <c r="R67" s="64"/>
      <c r="S67" s="64"/>
      <c r="T67" s="64"/>
      <c r="U67" s="62" t="str">
        <f t="shared" si="8"/>
        <v>irmeli</v>
      </c>
      <c r="V67" s="63">
        <f>IFERROR(__xludf.DUMMYFUNCTION("iferror(VALUE(left(index(IMPORTXML(I69, ""//div[@class='col-lg-2 user-stat stat-green']""),2,1),len(index(IMPORTXML(I69, ""//div[@class='col-lg-2 user-stat stat-green']""),2,1))-8)),0)"),0.0)</f>
        <v>0</v>
      </c>
    </row>
    <row r="68" ht="15.0" customHeight="1">
      <c r="A68" s="50">
        <f t="shared" si="9"/>
        <v>61</v>
      </c>
      <c r="B68" s="51" t="str">
        <f t="shared" si="2"/>
        <v>Chilli 🌶️ Killer ☠️ #61 | R6 - C16</v>
      </c>
      <c r="C68" s="52">
        <v>6.0</v>
      </c>
      <c r="D68" s="52">
        <v>16.0</v>
      </c>
      <c r="E68" s="53">
        <v>48.16272153</v>
      </c>
      <c r="F68" s="53">
        <v>17.1457608</v>
      </c>
      <c r="G68" s="54" t="s">
        <v>42</v>
      </c>
      <c r="H68" s="55" t="str">
        <f t="shared" si="12"/>
        <v>Soitenlysue</v>
      </c>
      <c r="I68" s="56" t="s">
        <v>97</v>
      </c>
      <c r="J68" s="57"/>
      <c r="K68" s="58" t="b">
        <v>1</v>
      </c>
      <c r="L68" s="59">
        <f t="shared" si="13"/>
        <v>0</v>
      </c>
      <c r="M68" s="59">
        <f t="shared" si="14"/>
        <v>0</v>
      </c>
      <c r="N68" s="59">
        <f t="shared" si="15"/>
        <v>0</v>
      </c>
      <c r="O68" s="60" t="str">
        <f t="shared" si="16"/>
        <v/>
      </c>
      <c r="P68" s="61" t="str">
        <f>IFERROR(__xludf.DUMMYFUNCTION("IF($N68=1,IFERROR(IMPORTXML($I68, ""//p[@class='status-date']""), ""Not Loading""),"""")"),"")</f>
        <v/>
      </c>
      <c r="Q68" s="65"/>
      <c r="R68" s="65"/>
      <c r="S68" s="65"/>
      <c r="T68" s="65"/>
      <c r="U68" s="62" t="str">
        <f t="shared" si="8"/>
        <v>Soitenlysue</v>
      </c>
      <c r="V68" s="63">
        <f>IFERROR(__xludf.DUMMYFUNCTION("iferror(VALUE(left(index(IMPORTXML(I70, ""//div[@class='col-lg-2 user-stat stat-green']""),2,1),len(index(IMPORTXML(I70, ""//div[@class='col-lg-2 user-stat stat-green']""),2,1))-8)),0)"),0.0)</f>
        <v>0</v>
      </c>
    </row>
    <row r="69" ht="15.0" customHeight="1">
      <c r="A69" s="50">
        <f t="shared" si="9"/>
        <v>62</v>
      </c>
      <c r="B69" s="51" t="str">
        <f t="shared" si="2"/>
        <v>Chilli 🌶️ Killer ☠️ #62 | R6 - C17</v>
      </c>
      <c r="C69" s="52">
        <v>6.0</v>
      </c>
      <c r="D69" s="52">
        <v>17.0</v>
      </c>
      <c r="E69" s="53">
        <v>48.16272153</v>
      </c>
      <c r="F69" s="53">
        <v>17.14597629</v>
      </c>
      <c r="G69" s="54" t="s">
        <v>42</v>
      </c>
      <c r="H69" s="55" t="str">
        <f t="shared" si="12"/>
        <v>harrie56</v>
      </c>
      <c r="I69" s="56" t="s">
        <v>98</v>
      </c>
      <c r="J69" s="57"/>
      <c r="K69" s="58" t="b">
        <v>1</v>
      </c>
      <c r="L69" s="59">
        <f t="shared" si="13"/>
        <v>0</v>
      </c>
      <c r="M69" s="59">
        <f t="shared" si="14"/>
        <v>0</v>
      </c>
      <c r="N69" s="59">
        <f t="shared" si="15"/>
        <v>0</v>
      </c>
      <c r="O69" s="60" t="str">
        <f t="shared" si="16"/>
        <v/>
      </c>
      <c r="P69" s="61" t="str">
        <f>IFERROR(__xludf.DUMMYFUNCTION("IF($N69=1,IFERROR(IMPORTXML($I69, ""//p[@class='status-date']""), ""Not Loading""),"""")"),"")</f>
        <v/>
      </c>
      <c r="Q69" s="64"/>
      <c r="R69" s="64"/>
      <c r="S69" s="64"/>
      <c r="T69" s="64"/>
      <c r="U69" s="62" t="str">
        <f t="shared" si="8"/>
        <v>harrie56</v>
      </c>
      <c r="V69" s="63">
        <f>IFERROR(__xludf.DUMMYFUNCTION("iferror(VALUE(left(index(IMPORTXML(I71, ""//div[@class='col-lg-2 user-stat stat-green']""),2,1),len(index(IMPORTXML(I71, ""//div[@class='col-lg-2 user-stat stat-green']""),2,1))-8)),0)"),0.0)</f>
        <v>0</v>
      </c>
    </row>
    <row r="70" ht="15.0" customHeight="1">
      <c r="A70" s="50">
        <f t="shared" si="9"/>
        <v>63</v>
      </c>
      <c r="B70" s="51" t="str">
        <f t="shared" si="2"/>
        <v>Chilli 🌶️ Killer ☠️ #63 | R6 - C18</v>
      </c>
      <c r="C70" s="52">
        <v>6.0</v>
      </c>
      <c r="D70" s="52">
        <v>18.0</v>
      </c>
      <c r="E70" s="53">
        <v>48.16272153</v>
      </c>
      <c r="F70" s="53">
        <v>17.14619177</v>
      </c>
      <c r="G70" s="54" t="s">
        <v>42</v>
      </c>
      <c r="H70" s="55" t="str">
        <f t="shared" si="12"/>
        <v>Kumahelion</v>
      </c>
      <c r="I70" s="56" t="s">
        <v>99</v>
      </c>
      <c r="J70" s="57"/>
      <c r="K70" s="58" t="b">
        <v>1</v>
      </c>
      <c r="L70" s="59">
        <f t="shared" si="13"/>
        <v>0</v>
      </c>
      <c r="M70" s="59">
        <f t="shared" si="14"/>
        <v>0</v>
      </c>
      <c r="N70" s="59">
        <f t="shared" si="15"/>
        <v>0</v>
      </c>
      <c r="O70" s="60" t="str">
        <f t="shared" si="16"/>
        <v/>
      </c>
      <c r="P70" s="61" t="str">
        <f>IFERROR(__xludf.DUMMYFUNCTION("IF($N70=1,IFERROR(IMPORTXML($I70, ""//p[@class='status-date']""), ""Not Loading""),"""")"),"")</f>
        <v/>
      </c>
      <c r="Q70" s="65"/>
      <c r="R70" s="65"/>
      <c r="S70" s="65"/>
      <c r="T70" s="65"/>
      <c r="U70" s="62" t="str">
        <f t="shared" si="8"/>
        <v>Kumahelion</v>
      </c>
      <c r="V70" s="63">
        <f>IFERROR(__xludf.DUMMYFUNCTION("iferror(VALUE(left(index(IMPORTXML(I72, ""//div[@class='col-lg-2 user-stat stat-green']""),2,1),len(index(IMPORTXML(I72, ""//div[@class='col-lg-2 user-stat stat-green']""),2,1))-8)),0)"),0.0)</f>
        <v>0</v>
      </c>
    </row>
    <row r="71" ht="15.0" customHeight="1">
      <c r="A71" s="50">
        <f t="shared" si="9"/>
        <v>64</v>
      </c>
      <c r="B71" s="51" t="str">
        <f t="shared" si="2"/>
        <v>Chilli 🌶️ Killer ☠️ #64 | R6 - C19</v>
      </c>
      <c r="C71" s="52">
        <v>6.0</v>
      </c>
      <c r="D71" s="52">
        <v>19.0</v>
      </c>
      <c r="E71" s="53">
        <v>48.16272153</v>
      </c>
      <c r="F71" s="53">
        <v>17.14640725</v>
      </c>
      <c r="G71" s="54" t="s">
        <v>42</v>
      </c>
      <c r="H71" s="55" t="str">
        <f t="shared" si="12"/>
        <v>mierischclan</v>
      </c>
      <c r="I71" s="56" t="s">
        <v>100</v>
      </c>
      <c r="J71" s="57"/>
      <c r="K71" s="58" t="b">
        <v>1</v>
      </c>
      <c r="L71" s="59">
        <f t="shared" si="13"/>
        <v>0</v>
      </c>
      <c r="M71" s="59">
        <f t="shared" si="14"/>
        <v>0</v>
      </c>
      <c r="N71" s="59">
        <f t="shared" si="15"/>
        <v>0</v>
      </c>
      <c r="O71" s="60" t="str">
        <f t="shared" si="16"/>
        <v/>
      </c>
      <c r="P71" s="61" t="str">
        <f>IFERROR(__xludf.DUMMYFUNCTION("IF($N71=1,IFERROR(IMPORTXML($I71, ""//p[@class='status-date']""), ""Not Loading""),"""")"),"")</f>
        <v/>
      </c>
      <c r="Q71" s="64"/>
      <c r="R71" s="64"/>
      <c r="S71" s="64"/>
      <c r="T71" s="64"/>
      <c r="U71" s="62" t="str">
        <f t="shared" si="8"/>
        <v>mierischclan</v>
      </c>
      <c r="V71" s="63">
        <f>IFERROR(__xludf.DUMMYFUNCTION("iferror(VALUE(left(index(IMPORTXML(I73, ""//div[@class='col-lg-2 user-stat stat-green']""),2,1),len(index(IMPORTXML(I73, ""//div[@class='col-lg-2 user-stat stat-green']""),2,1))-8)),0)"),0.0)</f>
        <v>0</v>
      </c>
    </row>
    <row r="72" ht="15.0" customHeight="1">
      <c r="A72" s="50">
        <f t="shared" si="9"/>
        <v>65</v>
      </c>
      <c r="B72" s="51" t="str">
        <f t="shared" si="2"/>
        <v>Chilli 🌶️ Killer ☠️ #65 | R6 - C20</v>
      </c>
      <c r="C72" s="52">
        <v>6.0</v>
      </c>
      <c r="D72" s="52">
        <v>20.0</v>
      </c>
      <c r="E72" s="53">
        <v>48.16272152</v>
      </c>
      <c r="F72" s="53">
        <v>17.14662273</v>
      </c>
      <c r="G72" s="54" t="s">
        <v>42</v>
      </c>
      <c r="H72" s="55" t="str">
        <f t="shared" si="12"/>
        <v>florish</v>
      </c>
      <c r="I72" s="56" t="s">
        <v>101</v>
      </c>
      <c r="J72" s="57"/>
      <c r="K72" s="58" t="b">
        <v>1</v>
      </c>
      <c r="L72" s="59">
        <f t="shared" si="13"/>
        <v>0</v>
      </c>
      <c r="M72" s="59">
        <f t="shared" si="14"/>
        <v>0</v>
      </c>
      <c r="N72" s="59">
        <f t="shared" si="15"/>
        <v>0</v>
      </c>
      <c r="O72" s="60" t="str">
        <f t="shared" si="16"/>
        <v/>
      </c>
      <c r="P72" s="61" t="str">
        <f>IFERROR(__xludf.DUMMYFUNCTION("IF($N72=1,IFERROR(IMPORTXML($I72, ""//p[@class='status-date']""), ""Not Loading""),"""")"),"")</f>
        <v/>
      </c>
      <c r="Q72" s="65"/>
      <c r="R72" s="65"/>
      <c r="S72" s="65"/>
      <c r="T72" s="65"/>
      <c r="U72" s="62" t="str">
        <f t="shared" si="8"/>
        <v>florish</v>
      </c>
      <c r="V72" s="63">
        <f>IFERROR(__xludf.DUMMYFUNCTION("iferror(VALUE(left(index(IMPORTXML(I74, ""//div[@class='col-lg-2 user-stat stat-green']""),2,1),len(index(IMPORTXML(I74, ""//div[@class='col-lg-2 user-stat stat-green']""),2,1))-8)),0)"),0.0)</f>
        <v>0</v>
      </c>
    </row>
    <row r="73" ht="15.0" customHeight="1">
      <c r="A73" s="50">
        <f t="shared" si="9"/>
        <v>66</v>
      </c>
      <c r="B73" s="51" t="str">
        <f t="shared" si="2"/>
        <v>Chilli 🌶️ Killer ☠️ #66 | R6 - C21</v>
      </c>
      <c r="C73" s="52">
        <v>6.0</v>
      </c>
      <c r="D73" s="52">
        <v>21.0</v>
      </c>
      <c r="E73" s="53">
        <v>48.16272152</v>
      </c>
      <c r="F73" s="53">
        <v>17.14683822</v>
      </c>
      <c r="G73" s="54" t="s">
        <v>42</v>
      </c>
      <c r="H73" s="55" t="str">
        <f t="shared" si="12"/>
        <v>KarelVeliky</v>
      </c>
      <c r="I73" s="56" t="s">
        <v>102</v>
      </c>
      <c r="J73" s="57"/>
      <c r="K73" s="58" t="b">
        <v>1</v>
      </c>
      <c r="L73" s="59">
        <f t="shared" si="13"/>
        <v>0</v>
      </c>
      <c r="M73" s="59">
        <f t="shared" si="14"/>
        <v>0</v>
      </c>
      <c r="N73" s="59">
        <f t="shared" si="15"/>
        <v>0</v>
      </c>
      <c r="O73" s="60" t="str">
        <f t="shared" si="16"/>
        <v/>
      </c>
      <c r="P73" s="61" t="str">
        <f>IFERROR(__xludf.DUMMYFUNCTION("IF($N73=1,IFERROR(IMPORTXML($I73, ""//p[@class='status-date']""), ""Not Loading""),"""")"),"")</f>
        <v/>
      </c>
      <c r="Q73" s="64"/>
      <c r="R73" s="64"/>
      <c r="S73" s="64"/>
      <c r="T73" s="64"/>
      <c r="U73" s="62" t="str">
        <f t="shared" si="8"/>
        <v>KarelVeliky</v>
      </c>
      <c r="V73" s="63">
        <f>IFERROR(__xludf.DUMMYFUNCTION("iferror(VALUE(left(index(IMPORTXML(I75, ""//div[@class='col-lg-2 user-stat stat-green']""),2,1),len(index(IMPORTXML(I75, ""//div[@class='col-lg-2 user-stat stat-green']""),2,1))-8)),0)"),0.0)</f>
        <v>0</v>
      </c>
    </row>
    <row r="74" ht="15.0" customHeight="1">
      <c r="A74" s="50">
        <f t="shared" si="9"/>
        <v>67</v>
      </c>
      <c r="B74" s="51" t="str">
        <f t="shared" si="2"/>
        <v>Chilli 🌶️ Killer ☠️ #67 | R6 - C22</v>
      </c>
      <c r="C74" s="52">
        <v>6.0</v>
      </c>
      <c r="D74" s="52">
        <v>22.0</v>
      </c>
      <c r="E74" s="53">
        <v>48.16272152</v>
      </c>
      <c r="F74" s="53">
        <v>17.1470537</v>
      </c>
      <c r="G74" s="54" t="s">
        <v>42</v>
      </c>
      <c r="H74" s="55" t="str">
        <f t="shared" si="12"/>
        <v>Charonovci</v>
      </c>
      <c r="I74" s="56" t="s">
        <v>103</v>
      </c>
      <c r="J74" s="57"/>
      <c r="K74" s="58" t="b">
        <v>1</v>
      </c>
      <c r="L74" s="59">
        <f t="shared" si="13"/>
        <v>0</v>
      </c>
      <c r="M74" s="59">
        <f t="shared" si="14"/>
        <v>0</v>
      </c>
      <c r="N74" s="59">
        <f t="shared" si="15"/>
        <v>0</v>
      </c>
      <c r="O74" s="60" t="str">
        <f t="shared" si="16"/>
        <v/>
      </c>
      <c r="P74" s="61" t="str">
        <f>IFERROR(__xludf.DUMMYFUNCTION("IF($N74=1,IFERROR(IMPORTXML($I74, ""//p[@class='status-date']""), ""Not Loading""),"""")"),"")</f>
        <v/>
      </c>
      <c r="Q74" s="65"/>
      <c r="R74" s="65"/>
      <c r="S74" s="65"/>
      <c r="T74" s="65"/>
      <c r="U74" s="62" t="str">
        <f t="shared" si="8"/>
        <v>Charonovci</v>
      </c>
      <c r="V74" s="63">
        <f>IFERROR(__xludf.DUMMYFUNCTION("iferror(VALUE(left(index(IMPORTXML(I76, ""//div[@class='col-lg-2 user-stat stat-green']""),2,1),len(index(IMPORTXML(I76, ""//div[@class='col-lg-2 user-stat stat-green']""),2,1))-8)),0)"),0.0)</f>
        <v>0</v>
      </c>
    </row>
    <row r="75" ht="15.0" customHeight="1">
      <c r="A75" s="50">
        <f t="shared" si="9"/>
        <v>68</v>
      </c>
      <c r="B75" s="51" t="str">
        <f t="shared" si="2"/>
        <v>Chilli 🌶️ Killer ☠️ #68 | R6 - C23</v>
      </c>
      <c r="C75" s="52">
        <v>6.0</v>
      </c>
      <c r="D75" s="52">
        <v>23.0</v>
      </c>
      <c r="E75" s="53">
        <v>48.16272152</v>
      </c>
      <c r="F75" s="53">
        <v>17.14726918</v>
      </c>
      <c r="G75" s="54" t="s">
        <v>42</v>
      </c>
      <c r="H75" s="55" t="str">
        <f t="shared" si="12"/>
        <v>Rikitan</v>
      </c>
      <c r="I75" s="56" t="s">
        <v>104</v>
      </c>
      <c r="J75" s="57"/>
      <c r="K75" s="58" t="b">
        <v>1</v>
      </c>
      <c r="L75" s="59">
        <f t="shared" si="13"/>
        <v>0</v>
      </c>
      <c r="M75" s="59">
        <f t="shared" si="14"/>
        <v>0</v>
      </c>
      <c r="N75" s="59">
        <f t="shared" si="15"/>
        <v>0</v>
      </c>
      <c r="O75" s="60" t="str">
        <f t="shared" si="16"/>
        <v/>
      </c>
      <c r="P75" s="61" t="str">
        <f>IFERROR(__xludf.DUMMYFUNCTION("IF($N75=1,IFERROR(IMPORTXML($I75, ""//p[@class='status-date']""), ""Not Loading""),"""")"),"")</f>
        <v/>
      </c>
      <c r="Q75" s="64"/>
      <c r="R75" s="64"/>
      <c r="S75" s="64"/>
      <c r="T75" s="64"/>
      <c r="U75" s="62" t="str">
        <f t="shared" si="8"/>
        <v>Rikitan</v>
      </c>
      <c r="V75" s="63">
        <f>IFERROR(__xludf.DUMMYFUNCTION("iferror(VALUE(left(index(IMPORTXML(I77, ""//div[@class='col-lg-2 user-stat stat-green']""),2,1),len(index(IMPORTXML(I77, ""//div[@class='col-lg-2 user-stat stat-green']""),2,1))-8)),0)"),0.0)</f>
        <v>0</v>
      </c>
    </row>
    <row r="76" ht="15.0" customHeight="1">
      <c r="A76" s="50">
        <f t="shared" si="9"/>
        <v>69</v>
      </c>
      <c r="B76" s="51" t="str">
        <f t="shared" si="2"/>
        <v>Chilli 🌶️ Killer ☠️ #69 | R6 - C24</v>
      </c>
      <c r="C76" s="52">
        <v>6.0</v>
      </c>
      <c r="D76" s="52">
        <v>24.0</v>
      </c>
      <c r="E76" s="53">
        <v>48.16272152</v>
      </c>
      <c r="F76" s="53">
        <v>17.14748466</v>
      </c>
      <c r="G76" s="54" t="s">
        <v>42</v>
      </c>
      <c r="H76" s="55" t="str">
        <f t="shared" si="12"/>
        <v>hippiemop</v>
      </c>
      <c r="I76" s="56" t="s">
        <v>105</v>
      </c>
      <c r="J76" s="57"/>
      <c r="K76" s="58" t="b">
        <v>1</v>
      </c>
      <c r="L76" s="59">
        <f t="shared" si="13"/>
        <v>0</v>
      </c>
      <c r="M76" s="59">
        <f t="shared" si="14"/>
        <v>0</v>
      </c>
      <c r="N76" s="59">
        <f t="shared" si="15"/>
        <v>0</v>
      </c>
      <c r="O76" s="60" t="str">
        <f t="shared" si="16"/>
        <v/>
      </c>
      <c r="P76" s="61" t="str">
        <f>IFERROR(__xludf.DUMMYFUNCTION("IF($N76=1,IFERROR(IMPORTXML($I76, ""//p[@class='status-date']""), ""Not Loading""),"""")"),"")</f>
        <v/>
      </c>
      <c r="Q76" s="65"/>
      <c r="R76" s="65"/>
      <c r="S76" s="65"/>
      <c r="T76" s="65"/>
      <c r="U76" s="62" t="str">
        <f t="shared" si="8"/>
        <v>hippiemop</v>
      </c>
      <c r="V76" s="63">
        <f>IFERROR(__xludf.DUMMYFUNCTION("iferror(VALUE(left(index(IMPORTXML(I78, ""//div[@class='col-lg-2 user-stat stat-green']""),2,1),len(index(IMPORTXML(I78, ""//div[@class='col-lg-2 user-stat stat-green']""),2,1))-8)),0)"),0.0)</f>
        <v>0</v>
      </c>
    </row>
    <row r="77" ht="15.0" customHeight="1">
      <c r="A77" s="50">
        <f t="shared" si="9"/>
        <v>70</v>
      </c>
      <c r="B77" s="51" t="str">
        <f t="shared" si="2"/>
        <v>Chilli 🌶️ Killer ☠️ #70 | R6 - C25</v>
      </c>
      <c r="C77" s="52">
        <v>6.0</v>
      </c>
      <c r="D77" s="52">
        <v>25.0</v>
      </c>
      <c r="E77" s="53">
        <v>48.16272152</v>
      </c>
      <c r="F77" s="53">
        <v>17.14770015</v>
      </c>
      <c r="G77" s="54" t="s">
        <v>42</v>
      </c>
      <c r="H77" s="55" t="str">
        <f t="shared" si="12"/>
        <v>disneyfan4life85</v>
      </c>
      <c r="I77" s="56" t="s">
        <v>106</v>
      </c>
      <c r="J77" s="57"/>
      <c r="K77" s="58" t="b">
        <v>1</v>
      </c>
      <c r="L77" s="59">
        <f t="shared" si="13"/>
        <v>0</v>
      </c>
      <c r="M77" s="59">
        <f t="shared" si="14"/>
        <v>0</v>
      </c>
      <c r="N77" s="59">
        <f t="shared" si="15"/>
        <v>0</v>
      </c>
      <c r="O77" s="60" t="str">
        <f t="shared" si="16"/>
        <v/>
      </c>
      <c r="P77" s="61" t="str">
        <f>IFERROR(__xludf.DUMMYFUNCTION("IF($N77=1,IFERROR(IMPORTXML($I77, ""//p[@class='status-date']""), ""Not Loading""),"""")"),"")</f>
        <v/>
      </c>
      <c r="Q77" s="64"/>
      <c r="R77" s="64"/>
      <c r="S77" s="64"/>
      <c r="T77" s="64"/>
      <c r="U77" s="62" t="str">
        <f t="shared" si="8"/>
        <v>disneyfan4life85</v>
      </c>
      <c r="V77" s="63">
        <f>IFERROR(__xludf.DUMMYFUNCTION("iferror(VALUE(left(index(IMPORTXML(I79, ""//div[@class='col-lg-2 user-stat stat-green']""),2,1),len(index(IMPORTXML(I79, ""//div[@class='col-lg-2 user-stat stat-green']""),2,1))-8)),0)"),0.0)</f>
        <v>0</v>
      </c>
    </row>
    <row r="78" ht="15.0" customHeight="1">
      <c r="A78" s="50">
        <f t="shared" si="9"/>
        <v>71</v>
      </c>
      <c r="B78" s="51" t="str">
        <f t="shared" si="2"/>
        <v>Chilli 🌶️ Killer ☠️ #71 | R6 - C26</v>
      </c>
      <c r="C78" s="52">
        <v>6.0</v>
      </c>
      <c r="D78" s="52">
        <v>26.0</v>
      </c>
      <c r="E78" s="53">
        <v>48.16272152</v>
      </c>
      <c r="F78" s="53">
        <v>17.14791563</v>
      </c>
      <c r="G78" s="54" t="s">
        <v>42</v>
      </c>
      <c r="H78" s="55" t="str">
        <f t="shared" si="12"/>
        <v>Minnie213</v>
      </c>
      <c r="I78" s="56" t="s">
        <v>107</v>
      </c>
      <c r="J78" s="57"/>
      <c r="K78" s="58" t="b">
        <v>1</v>
      </c>
      <c r="L78" s="59">
        <f t="shared" si="13"/>
        <v>0</v>
      </c>
      <c r="M78" s="59">
        <f t="shared" si="14"/>
        <v>0</v>
      </c>
      <c r="N78" s="59">
        <f t="shared" si="15"/>
        <v>0</v>
      </c>
      <c r="O78" s="60" t="str">
        <f t="shared" si="16"/>
        <v/>
      </c>
      <c r="P78" s="61" t="str">
        <f>IFERROR(__xludf.DUMMYFUNCTION("IF($N78=1,IFERROR(IMPORTXML($I78, ""//p[@class='status-date']""), ""Not Loading""),"""")"),"")</f>
        <v/>
      </c>
      <c r="Q78" s="65"/>
      <c r="R78" s="65"/>
      <c r="S78" s="65"/>
      <c r="T78" s="65"/>
      <c r="U78" s="62" t="str">
        <f t="shared" si="8"/>
        <v>Minnie213</v>
      </c>
      <c r="V78" s="63">
        <f>IFERROR(__xludf.DUMMYFUNCTION("iferror(VALUE(left(index(IMPORTXML(I80, ""//div[@class='col-lg-2 user-stat stat-green']""),2,1),len(index(IMPORTXML(I80, ""//div[@class='col-lg-2 user-stat stat-green']""),2,1))-8)),0)"),0.0)</f>
        <v>0</v>
      </c>
    </row>
    <row r="79" ht="15.0" customHeight="1">
      <c r="A79" s="50">
        <f t="shared" si="9"/>
        <v>72</v>
      </c>
      <c r="B79" s="51" t="str">
        <f t="shared" si="2"/>
        <v>Chilli 🌶️ Killer ☠️ #72 | R6 - C27</v>
      </c>
      <c r="C79" s="52">
        <v>6.0</v>
      </c>
      <c r="D79" s="52">
        <v>27.0</v>
      </c>
      <c r="E79" s="53">
        <v>48.16272152</v>
      </c>
      <c r="F79" s="53">
        <v>17.14813111</v>
      </c>
      <c r="G79" s="54" t="s">
        <v>42</v>
      </c>
      <c r="H79" s="55" t="str">
        <f t="shared" si="12"/>
        <v>Lorax1</v>
      </c>
      <c r="I79" s="56" t="s">
        <v>108</v>
      </c>
      <c r="J79" s="57"/>
      <c r="K79" s="58" t="b">
        <v>1</v>
      </c>
      <c r="L79" s="59">
        <f t="shared" si="13"/>
        <v>0</v>
      </c>
      <c r="M79" s="59">
        <f t="shared" si="14"/>
        <v>0</v>
      </c>
      <c r="N79" s="59">
        <f t="shared" si="15"/>
        <v>0</v>
      </c>
      <c r="O79" s="60" t="str">
        <f t="shared" si="16"/>
        <v/>
      </c>
      <c r="P79" s="61" t="str">
        <f>IFERROR(__xludf.DUMMYFUNCTION("IF($N79=1,IFERROR(IMPORTXML($I79, ""//p[@class='status-date']""), ""Not Loading""),"""")"),"")</f>
        <v/>
      </c>
      <c r="Q79" s="64"/>
      <c r="R79" s="64"/>
      <c r="S79" s="64"/>
      <c r="T79" s="64"/>
      <c r="U79" s="62" t="str">
        <f t="shared" si="8"/>
        <v>Lorax1</v>
      </c>
      <c r="V79" s="63">
        <f>IFERROR(__xludf.DUMMYFUNCTION("iferror(VALUE(left(index(IMPORTXML(I81, ""//div[@class='col-lg-2 user-stat stat-green']""),2,1),len(index(IMPORTXML(I81, ""//div[@class='col-lg-2 user-stat stat-green']""),2,1))-8)),0)"),0.0)</f>
        <v>0</v>
      </c>
    </row>
    <row r="80" ht="15.0" customHeight="1">
      <c r="A80" s="50">
        <f t="shared" si="9"/>
        <v>73</v>
      </c>
      <c r="B80" s="51" t="str">
        <f t="shared" si="2"/>
        <v>Chilli 🌶️ Killer ☠️ #73 | R6 - C28</v>
      </c>
      <c r="C80" s="52">
        <v>6.0</v>
      </c>
      <c r="D80" s="52">
        <v>28.0</v>
      </c>
      <c r="E80" s="53">
        <v>48.16272152</v>
      </c>
      <c r="F80" s="53">
        <v>17.14834659</v>
      </c>
      <c r="G80" s="54" t="s">
        <v>73</v>
      </c>
      <c r="H80" s="55" t="str">
        <f t="shared" si="12"/>
        <v>Adushka</v>
      </c>
      <c r="I80" s="56" t="s">
        <v>109</v>
      </c>
      <c r="J80" s="57"/>
      <c r="K80" s="58" t="b">
        <v>1</v>
      </c>
      <c r="L80" s="59">
        <f t="shared" si="13"/>
        <v>0</v>
      </c>
      <c r="M80" s="59">
        <f t="shared" si="14"/>
        <v>0</v>
      </c>
      <c r="N80" s="59">
        <f t="shared" si="15"/>
        <v>0</v>
      </c>
      <c r="O80" s="60" t="str">
        <f t="shared" si="16"/>
        <v/>
      </c>
      <c r="P80" s="61" t="str">
        <f>IFERROR(__xludf.DUMMYFUNCTION("IF($N80=1,IFERROR(IMPORTXML($I80, ""//p[@class='status-date']""), ""Not Loading""),"""")"),"")</f>
        <v/>
      </c>
      <c r="Q80" s="65"/>
      <c r="R80" s="65"/>
      <c r="S80" s="65"/>
      <c r="T80" s="65"/>
      <c r="U80" s="62" t="str">
        <f t="shared" si="8"/>
        <v>Adushka</v>
      </c>
      <c r="V80" s="63">
        <f>IFERROR(__xludf.DUMMYFUNCTION("iferror(VALUE(left(index(IMPORTXML(I82, ""//div[@class='col-lg-2 user-stat stat-green']""),2,1),len(index(IMPORTXML(I82, ""//div[@class='col-lg-2 user-stat stat-green']""),2,1))-8)),0)"),0.0)</f>
        <v>0</v>
      </c>
    </row>
    <row r="81" ht="15.0" customHeight="1">
      <c r="A81" s="50">
        <f t="shared" si="9"/>
        <v>74</v>
      </c>
      <c r="B81" s="51" t="str">
        <f t="shared" si="2"/>
        <v>Chilli 🌶️ Killer ☠️ #74 | R6 - C29</v>
      </c>
      <c r="C81" s="52">
        <v>6.0</v>
      </c>
      <c r="D81" s="52">
        <v>29.0</v>
      </c>
      <c r="E81" s="53">
        <v>48.16272152</v>
      </c>
      <c r="F81" s="53">
        <v>17.14856207</v>
      </c>
      <c r="G81" s="54" t="s">
        <v>73</v>
      </c>
      <c r="H81" s="55" t="str">
        <f t="shared" si="12"/>
        <v>Soitenlysue</v>
      </c>
      <c r="I81" s="56" t="s">
        <v>110</v>
      </c>
      <c r="J81" s="57"/>
      <c r="K81" s="58" t="b">
        <v>1</v>
      </c>
      <c r="L81" s="59">
        <f t="shared" si="13"/>
        <v>0</v>
      </c>
      <c r="M81" s="59">
        <f t="shared" si="14"/>
        <v>0</v>
      </c>
      <c r="N81" s="59">
        <f t="shared" si="15"/>
        <v>0</v>
      </c>
      <c r="O81" s="60" t="str">
        <f t="shared" si="16"/>
        <v/>
      </c>
      <c r="P81" s="61" t="str">
        <f>IFERROR(__xludf.DUMMYFUNCTION("IF($N81=1,IFERROR(IMPORTXML($I81, ""//p[@class='status-date']""), ""Not Loading""),"""")"),"")</f>
        <v/>
      </c>
      <c r="Q81" s="64"/>
      <c r="R81" s="64"/>
      <c r="S81" s="64"/>
      <c r="T81" s="64"/>
      <c r="U81" s="62" t="str">
        <f t="shared" si="8"/>
        <v>Soitenlysue</v>
      </c>
      <c r="V81" s="63">
        <f>IFERROR(__xludf.DUMMYFUNCTION("iferror(VALUE(left(index(IMPORTXML(I83, ""//div[@class='col-lg-2 user-stat stat-green']""),2,1),len(index(IMPORTXML(I83, ""//div[@class='col-lg-2 user-stat stat-green']""),2,1))-8)),0)"),0.0)</f>
        <v>0</v>
      </c>
    </row>
    <row r="82" ht="15.0" customHeight="1">
      <c r="A82" s="50">
        <f t="shared" si="9"/>
        <v>75</v>
      </c>
      <c r="B82" s="51" t="str">
        <f t="shared" si="2"/>
        <v>Chilli 🌶️ Killer ☠️ #75 | R6 - C30</v>
      </c>
      <c r="C82" s="52">
        <v>6.0</v>
      </c>
      <c r="D82" s="52">
        <v>30.0</v>
      </c>
      <c r="E82" s="53">
        <v>48.16272152</v>
      </c>
      <c r="F82" s="53">
        <v>17.14877756</v>
      </c>
      <c r="G82" s="54" t="s">
        <v>111</v>
      </c>
      <c r="H82" s="55" t="str">
        <f t="shared" si="12"/>
        <v>thelanes</v>
      </c>
      <c r="I82" s="56" t="s">
        <v>112</v>
      </c>
      <c r="J82" s="57"/>
      <c r="K82" s="58" t="b">
        <v>1</v>
      </c>
      <c r="L82" s="59">
        <f t="shared" si="13"/>
        <v>0</v>
      </c>
      <c r="M82" s="59">
        <f t="shared" si="14"/>
        <v>0</v>
      </c>
      <c r="N82" s="59">
        <f t="shared" si="15"/>
        <v>0</v>
      </c>
      <c r="O82" s="60" t="str">
        <f t="shared" si="16"/>
        <v/>
      </c>
      <c r="P82" s="61" t="str">
        <f>IFERROR(__xludf.DUMMYFUNCTION("IF($N82=1,IFERROR(IMPORTXML($I82, ""//p[@class='status-date']""), ""Not Loading""),"""")"),"")</f>
        <v/>
      </c>
      <c r="Q82" s="65"/>
      <c r="R82" s="65"/>
      <c r="S82" s="65"/>
      <c r="T82" s="65"/>
      <c r="U82" s="62" t="str">
        <f t="shared" si="8"/>
        <v>thelanes</v>
      </c>
      <c r="V82" s="63">
        <f>IFERROR(__xludf.DUMMYFUNCTION("iferror(VALUE(left(index(IMPORTXML(I84, ""//div[@class='col-lg-2 user-stat stat-green']""),2,1),len(index(IMPORTXML(I84, ""//div[@class='col-lg-2 user-stat stat-green']""),2,1))-8)),0)"),0.0)</f>
        <v>0</v>
      </c>
    </row>
    <row r="83" ht="15.0" customHeight="1">
      <c r="A83" s="50">
        <f t="shared" si="9"/>
        <v>76</v>
      </c>
      <c r="B83" s="51" t="str">
        <f t="shared" si="2"/>
        <v>Chilli 🌶️ Killer ☠️ #76 | R6 - C31</v>
      </c>
      <c r="C83" s="52">
        <v>6.0</v>
      </c>
      <c r="D83" s="52">
        <v>31.0</v>
      </c>
      <c r="E83" s="53">
        <v>48.16272152</v>
      </c>
      <c r="F83" s="53">
        <v>17.14899304</v>
      </c>
      <c r="G83" s="54" t="s">
        <v>111</v>
      </c>
      <c r="H83" s="55" t="str">
        <f t="shared" si="12"/>
        <v>Neloras</v>
      </c>
      <c r="I83" s="56" t="s">
        <v>113</v>
      </c>
      <c r="J83" s="57"/>
      <c r="K83" s="58" t="b">
        <v>1</v>
      </c>
      <c r="L83" s="59">
        <f t="shared" si="13"/>
        <v>0</v>
      </c>
      <c r="M83" s="59">
        <f t="shared" si="14"/>
        <v>0</v>
      </c>
      <c r="N83" s="59">
        <f t="shared" si="15"/>
        <v>0</v>
      </c>
      <c r="O83" s="60" t="str">
        <f t="shared" si="16"/>
        <v/>
      </c>
      <c r="P83" s="61" t="str">
        <f>IFERROR(__xludf.DUMMYFUNCTION("IF($N83=1,IFERROR(IMPORTXML($I83, ""//p[@class='status-date']""), ""Not Loading""),"""")"),"")</f>
        <v/>
      </c>
      <c r="Q83" s="64"/>
      <c r="R83" s="64"/>
      <c r="S83" s="64"/>
      <c r="T83" s="64"/>
      <c r="U83" s="62" t="str">
        <f t="shared" si="8"/>
        <v>Neloras</v>
      </c>
      <c r="V83" s="63">
        <f>IFERROR(__xludf.DUMMYFUNCTION("iferror(VALUE(left(index(IMPORTXML(I85, ""//div[@class='col-lg-2 user-stat stat-green']""),2,1),len(index(IMPORTXML(I85, ""//div[@class='col-lg-2 user-stat stat-green']""),2,1))-8)),0)"),0.0)</f>
        <v>0</v>
      </c>
    </row>
    <row r="84" ht="15.0" customHeight="1">
      <c r="A84" s="50">
        <f t="shared" si="9"/>
        <v>77</v>
      </c>
      <c r="B84" s="51" t="str">
        <f t="shared" si="2"/>
        <v>Chilli 🌶️ Killer ☠️ #77 | R6 - C32</v>
      </c>
      <c r="C84" s="52">
        <v>6.0</v>
      </c>
      <c r="D84" s="52">
        <v>32.0</v>
      </c>
      <c r="E84" s="53">
        <v>48.16272152</v>
      </c>
      <c r="F84" s="53">
        <v>17.14920852</v>
      </c>
      <c r="G84" s="54" t="s">
        <v>111</v>
      </c>
      <c r="H84" s="55" t="str">
        <f t="shared" si="12"/>
        <v>hems79</v>
      </c>
      <c r="I84" s="56" t="s">
        <v>114</v>
      </c>
      <c r="J84" s="57"/>
      <c r="K84" s="58" t="b">
        <v>1</v>
      </c>
      <c r="L84" s="59">
        <f t="shared" si="13"/>
        <v>0</v>
      </c>
      <c r="M84" s="59">
        <f t="shared" si="14"/>
        <v>0</v>
      </c>
      <c r="N84" s="59">
        <f t="shared" si="15"/>
        <v>0</v>
      </c>
      <c r="O84" s="60" t="str">
        <f t="shared" si="16"/>
        <v/>
      </c>
      <c r="P84" s="61" t="str">
        <f>IFERROR(__xludf.DUMMYFUNCTION("IF($N84=1,IFERROR(IMPORTXML($I84, ""//p[@class='status-date']""), ""Not Loading""),"""")"),"")</f>
        <v/>
      </c>
      <c r="Q84" s="65"/>
      <c r="R84" s="65"/>
      <c r="S84" s="65"/>
      <c r="T84" s="65"/>
      <c r="U84" s="62" t="str">
        <f t="shared" si="8"/>
        <v>hems79</v>
      </c>
      <c r="V84" s="63">
        <f>IFERROR(__xludf.DUMMYFUNCTION("iferror(VALUE(left(index(IMPORTXML(I86, ""//div[@class='col-lg-2 user-stat stat-green']""),2,1),len(index(IMPORTXML(I86, ""//div[@class='col-lg-2 user-stat stat-green']""),2,1))-8)),0)"),0.0)</f>
        <v>0</v>
      </c>
    </row>
    <row r="85" ht="15.0" customHeight="1">
      <c r="A85" s="50">
        <f t="shared" si="9"/>
        <v>78</v>
      </c>
      <c r="B85" s="51" t="str">
        <f t="shared" si="2"/>
        <v>Chilli 🌶️ Killer ☠️ #78 | R6 - C33</v>
      </c>
      <c r="C85" s="52">
        <v>6.0</v>
      </c>
      <c r="D85" s="52">
        <v>33.0</v>
      </c>
      <c r="E85" s="53">
        <v>48.16272152</v>
      </c>
      <c r="F85" s="53">
        <v>17.149424</v>
      </c>
      <c r="G85" s="54" t="s">
        <v>111</v>
      </c>
      <c r="H85" s="55" t="str">
        <f t="shared" si="12"/>
        <v>KarelVeliky</v>
      </c>
      <c r="I85" s="56" t="s">
        <v>115</v>
      </c>
      <c r="J85" s="57"/>
      <c r="K85" s="58" t="b">
        <v>1</v>
      </c>
      <c r="L85" s="59">
        <f t="shared" si="13"/>
        <v>0</v>
      </c>
      <c r="M85" s="59">
        <f t="shared" si="14"/>
        <v>0</v>
      </c>
      <c r="N85" s="59">
        <f t="shared" si="15"/>
        <v>0</v>
      </c>
      <c r="O85" s="60" t="str">
        <f t="shared" si="16"/>
        <v/>
      </c>
      <c r="P85" s="61" t="str">
        <f>IFERROR(__xludf.DUMMYFUNCTION("IF($N85=1,IFERROR(IMPORTXML($I85, ""//p[@class='status-date']""), ""Not Loading""),"""")"),"")</f>
        <v/>
      </c>
      <c r="Q85" s="64"/>
      <c r="R85" s="64"/>
      <c r="S85" s="64"/>
      <c r="T85" s="64"/>
      <c r="U85" s="62" t="str">
        <f t="shared" si="8"/>
        <v>KarelVeliky</v>
      </c>
      <c r="V85" s="63">
        <f>IFERROR(__xludf.DUMMYFUNCTION("iferror(VALUE(left(index(IMPORTXML(I87, ""//div[@class='col-lg-2 user-stat stat-green']""),2,1),len(index(IMPORTXML(I87, ""//div[@class='col-lg-2 user-stat stat-green']""),2,1))-8)),0)"),0.0)</f>
        <v>0</v>
      </c>
    </row>
    <row r="86" ht="15.0" customHeight="1">
      <c r="A86" s="50">
        <f t="shared" si="9"/>
        <v>79</v>
      </c>
      <c r="B86" s="51" t="str">
        <f t="shared" si="2"/>
        <v>Chilli 🌶️ Killer ☠️ #79 | R6 - C34</v>
      </c>
      <c r="C86" s="52">
        <v>6.0</v>
      </c>
      <c r="D86" s="52">
        <v>34.0</v>
      </c>
      <c r="E86" s="53">
        <v>48.16272152</v>
      </c>
      <c r="F86" s="53">
        <v>17.14963949</v>
      </c>
      <c r="G86" s="54" t="s">
        <v>111</v>
      </c>
      <c r="H86" s="55" t="str">
        <f t="shared" si="12"/>
        <v>Neloras</v>
      </c>
      <c r="I86" s="56" t="s">
        <v>116</v>
      </c>
      <c r="J86" s="57"/>
      <c r="K86" s="58" t="b">
        <v>1</v>
      </c>
      <c r="L86" s="59">
        <f t="shared" si="13"/>
        <v>0</v>
      </c>
      <c r="M86" s="59">
        <f t="shared" si="14"/>
        <v>0</v>
      </c>
      <c r="N86" s="59">
        <f t="shared" si="15"/>
        <v>0</v>
      </c>
      <c r="O86" s="60" t="str">
        <f t="shared" si="16"/>
        <v/>
      </c>
      <c r="P86" s="61" t="str">
        <f>IFERROR(__xludf.DUMMYFUNCTION("IF($N86=1,IFERROR(IMPORTXML($I86, ""//p[@class='status-date']""), ""Not Loading""),"""")"),"")</f>
        <v/>
      </c>
      <c r="Q86" s="65"/>
      <c r="R86" s="65"/>
      <c r="S86" s="65"/>
      <c r="T86" s="65"/>
      <c r="U86" s="62" t="str">
        <f t="shared" si="8"/>
        <v>Neloras</v>
      </c>
      <c r="V86" s="63">
        <f>IFERROR(__xludf.DUMMYFUNCTION("iferror(VALUE(left(index(IMPORTXML(I88, ""//div[@class='col-lg-2 user-stat stat-green']""),2,1),len(index(IMPORTXML(I88, ""//div[@class='col-lg-2 user-stat stat-green']""),2,1))-8)),0)"),0.0)</f>
        <v>0</v>
      </c>
    </row>
    <row r="87" ht="15.0" customHeight="1">
      <c r="A87" s="50">
        <f t="shared" si="9"/>
        <v>80</v>
      </c>
      <c r="B87" s="51" t="str">
        <f t="shared" si="2"/>
        <v>Chilli 🌶️ Killer ☠️ #80 | R6 - C35</v>
      </c>
      <c r="C87" s="52">
        <v>6.0</v>
      </c>
      <c r="D87" s="52">
        <v>35.0</v>
      </c>
      <c r="E87" s="53">
        <v>48.16272152</v>
      </c>
      <c r="F87" s="53">
        <v>17.14985497</v>
      </c>
      <c r="G87" s="54" t="s">
        <v>33</v>
      </c>
      <c r="H87" s="55" t="str">
        <f t="shared" si="12"/>
        <v>Nicolet</v>
      </c>
      <c r="I87" s="56" t="s">
        <v>117</v>
      </c>
      <c r="J87" s="57"/>
      <c r="K87" s="58" t="b">
        <v>1</v>
      </c>
      <c r="L87" s="59">
        <f t="shared" si="13"/>
        <v>0</v>
      </c>
      <c r="M87" s="59">
        <f t="shared" si="14"/>
        <v>0</v>
      </c>
      <c r="N87" s="59">
        <f t="shared" si="15"/>
        <v>0</v>
      </c>
      <c r="O87" s="60" t="str">
        <f t="shared" si="16"/>
        <v/>
      </c>
      <c r="P87" s="61" t="str">
        <f>IFERROR(__xludf.DUMMYFUNCTION("IF($N87=1,IFERROR(IMPORTXML($I87, ""//p[@class='status-date']""), ""Not Loading""),"""")"),"")</f>
        <v/>
      </c>
      <c r="Q87" s="64"/>
      <c r="R87" s="64"/>
      <c r="S87" s="64"/>
      <c r="T87" s="64"/>
      <c r="U87" s="62" t="str">
        <f t="shared" si="8"/>
        <v>Nicolet</v>
      </c>
      <c r="V87" s="63">
        <f>IFERROR(__xludf.DUMMYFUNCTION("iferror(VALUE(left(index(IMPORTXML(I89, ""//div[@class='col-lg-2 user-stat stat-green']""),2,1),len(index(IMPORTXML(I89, ""//div[@class='col-lg-2 user-stat stat-green']""),2,1))-8)),0)"),0.0)</f>
        <v>0</v>
      </c>
    </row>
    <row r="88" ht="15.0" customHeight="1">
      <c r="A88" s="50">
        <f t="shared" si="9"/>
        <v>81</v>
      </c>
      <c r="B88" s="51" t="str">
        <f t="shared" si="2"/>
        <v>Chilli 🌶️ Killer ☠️ #81 | R7 - C14</v>
      </c>
      <c r="C88" s="52">
        <v>7.0</v>
      </c>
      <c r="D88" s="52">
        <v>14.0</v>
      </c>
      <c r="E88" s="53">
        <v>48.16259705</v>
      </c>
      <c r="F88" s="53">
        <v>17.14522209</v>
      </c>
      <c r="G88" s="54" t="s">
        <v>33</v>
      </c>
      <c r="H88" s="55" t="str">
        <f t="shared" si="12"/>
        <v>VikingPrincess</v>
      </c>
      <c r="I88" s="56" t="s">
        <v>118</v>
      </c>
      <c r="J88" s="57"/>
      <c r="K88" s="58" t="b">
        <v>1</v>
      </c>
      <c r="L88" s="59">
        <f t="shared" si="13"/>
        <v>0</v>
      </c>
      <c r="M88" s="59">
        <f t="shared" si="14"/>
        <v>0</v>
      </c>
      <c r="N88" s="59">
        <f t="shared" si="15"/>
        <v>0</v>
      </c>
      <c r="O88" s="60" t="str">
        <f t="shared" si="16"/>
        <v/>
      </c>
      <c r="P88" s="61" t="str">
        <f>IFERROR(__xludf.DUMMYFUNCTION("IF($N88=1,IFERROR(IMPORTXML($I88, ""//p[@class='status-date']""), ""Not Loading""),"""")"),"")</f>
        <v/>
      </c>
      <c r="Q88" s="65"/>
      <c r="R88" s="65"/>
      <c r="S88" s="65"/>
      <c r="T88" s="65"/>
      <c r="U88" s="62" t="str">
        <f t="shared" si="8"/>
        <v>VikingPrincess</v>
      </c>
      <c r="V88" s="63">
        <f>IFERROR(__xludf.DUMMYFUNCTION("iferror(VALUE(left(index(IMPORTXML(I90, ""//div[@class='col-lg-2 user-stat stat-green']""),2,1),len(index(IMPORTXML(I90, ""//div[@class='col-lg-2 user-stat stat-green']""),2,1))-8)),0)"),0.0)</f>
        <v>0</v>
      </c>
    </row>
    <row r="89" ht="15.0" customHeight="1">
      <c r="A89" s="50">
        <f t="shared" si="9"/>
        <v>82</v>
      </c>
      <c r="B89" s="51" t="str">
        <f t="shared" si="2"/>
        <v>Chilli 🌶️ Killer ☠️ #82 | R7 - C15</v>
      </c>
      <c r="C89" s="52">
        <v>7.0</v>
      </c>
      <c r="D89" s="52">
        <v>15.0</v>
      </c>
      <c r="E89" s="53">
        <v>48.16259705</v>
      </c>
      <c r="F89" s="53">
        <v>17.14543757</v>
      </c>
      <c r="G89" s="54" t="s">
        <v>33</v>
      </c>
      <c r="H89" s="55" t="str">
        <f t="shared" si="12"/>
        <v>KarelVeliky</v>
      </c>
      <c r="I89" s="56" t="s">
        <v>119</v>
      </c>
      <c r="J89" s="57"/>
      <c r="K89" s="58" t="b">
        <v>1</v>
      </c>
      <c r="L89" s="59">
        <f t="shared" si="13"/>
        <v>0</v>
      </c>
      <c r="M89" s="59">
        <f t="shared" si="14"/>
        <v>0</v>
      </c>
      <c r="N89" s="59">
        <f t="shared" si="15"/>
        <v>0</v>
      </c>
      <c r="O89" s="60" t="str">
        <f t="shared" si="16"/>
        <v/>
      </c>
      <c r="P89" s="61" t="str">
        <f>IFERROR(__xludf.DUMMYFUNCTION("IF($N89=1,IFERROR(IMPORTXML($I89, ""//p[@class='status-date']""), ""Not Loading""),"""")"),"")</f>
        <v/>
      </c>
      <c r="Q89" s="64"/>
      <c r="R89" s="64"/>
      <c r="S89" s="64"/>
      <c r="T89" s="64"/>
      <c r="U89" s="62" t="str">
        <f t="shared" si="8"/>
        <v>KarelVeliky</v>
      </c>
      <c r="V89" s="63">
        <f>IFERROR(__xludf.DUMMYFUNCTION("iferror(VALUE(left(index(IMPORTXML(I91, ""//div[@class='col-lg-2 user-stat stat-green']""),2,1),len(index(IMPORTXML(I91, ""//div[@class='col-lg-2 user-stat stat-green']""),2,1))-8)),0)"),0.0)</f>
        <v>0</v>
      </c>
    </row>
    <row r="90" ht="15.0" customHeight="1">
      <c r="A90" s="50">
        <f t="shared" si="9"/>
        <v>83</v>
      </c>
      <c r="B90" s="51" t="str">
        <f t="shared" si="2"/>
        <v>Chilli 🌶️ Killer ☠️ #83 | R7 - C16</v>
      </c>
      <c r="C90" s="52">
        <v>7.0</v>
      </c>
      <c r="D90" s="52">
        <v>16.0</v>
      </c>
      <c r="E90" s="53">
        <v>48.16259705</v>
      </c>
      <c r="F90" s="53">
        <v>17.14565305</v>
      </c>
      <c r="G90" s="54" t="s">
        <v>42</v>
      </c>
      <c r="H90" s="55" t="str">
        <f t="shared" si="12"/>
        <v>denali0407</v>
      </c>
      <c r="I90" s="56" t="s">
        <v>120</v>
      </c>
      <c r="J90" s="57"/>
      <c r="K90" s="58" t="b">
        <v>1</v>
      </c>
      <c r="L90" s="59">
        <f t="shared" si="13"/>
        <v>0</v>
      </c>
      <c r="M90" s="59">
        <f t="shared" si="14"/>
        <v>0</v>
      </c>
      <c r="N90" s="59">
        <f t="shared" si="15"/>
        <v>0</v>
      </c>
      <c r="O90" s="60" t="str">
        <f t="shared" si="16"/>
        <v/>
      </c>
      <c r="P90" s="61" t="str">
        <f>IFERROR(__xludf.DUMMYFUNCTION("IF($N90=1,IFERROR(IMPORTXML($I90, ""//p[@class='status-date']""), ""Not Loading""),"""")"),"")</f>
        <v/>
      </c>
      <c r="Q90" s="65"/>
      <c r="R90" s="65"/>
      <c r="S90" s="65"/>
      <c r="T90" s="65"/>
      <c r="U90" s="62" t="str">
        <f t="shared" si="8"/>
        <v>denali0407</v>
      </c>
      <c r="V90" s="63">
        <f>IFERROR(__xludf.DUMMYFUNCTION("iferror(VALUE(left(index(IMPORTXML(I92, ""//div[@class='col-lg-2 user-stat stat-green']""),2,1),len(index(IMPORTXML(I92, ""//div[@class='col-lg-2 user-stat stat-green']""),2,1))-8)),0)"),0.0)</f>
        <v>0</v>
      </c>
    </row>
    <row r="91" ht="15.0" customHeight="1">
      <c r="A91" s="50">
        <f t="shared" si="9"/>
        <v>84</v>
      </c>
      <c r="B91" s="51" t="str">
        <f t="shared" si="2"/>
        <v>Chilli 🌶️ Killer ☠️ #84 | R7 - C17</v>
      </c>
      <c r="C91" s="52">
        <v>7.0</v>
      </c>
      <c r="D91" s="52">
        <v>17.0</v>
      </c>
      <c r="E91" s="53">
        <v>48.16259705</v>
      </c>
      <c r="F91" s="53">
        <v>17.14586853</v>
      </c>
      <c r="G91" s="54" t="s">
        <v>42</v>
      </c>
      <c r="H91" s="55" t="str">
        <f t="shared" si="12"/>
        <v>Nicolet</v>
      </c>
      <c r="I91" s="56" t="s">
        <v>121</v>
      </c>
      <c r="J91" s="57"/>
      <c r="K91" s="58" t="b">
        <v>1</v>
      </c>
      <c r="L91" s="59">
        <f t="shared" si="13"/>
        <v>0</v>
      </c>
      <c r="M91" s="59">
        <f t="shared" si="14"/>
        <v>0</v>
      </c>
      <c r="N91" s="59">
        <f t="shared" si="15"/>
        <v>0</v>
      </c>
      <c r="O91" s="60" t="str">
        <f t="shared" si="16"/>
        <v/>
      </c>
      <c r="P91" s="61" t="str">
        <f>IFERROR(__xludf.DUMMYFUNCTION("IF($N91=1,IFERROR(IMPORTXML($I91, ""//p[@class='status-date']""), ""Not Loading""),"""")"),"")</f>
        <v/>
      </c>
      <c r="Q91" s="64"/>
      <c r="R91" s="64"/>
      <c r="S91" s="64"/>
      <c r="T91" s="64"/>
      <c r="U91" s="62" t="str">
        <f t="shared" si="8"/>
        <v>Nicolet</v>
      </c>
      <c r="V91" s="63">
        <f>IFERROR(__xludf.DUMMYFUNCTION("iferror(VALUE(left(index(IMPORTXML(I93, ""//div[@class='col-lg-2 user-stat stat-green']""),2,1),len(index(IMPORTXML(I93, ""//div[@class='col-lg-2 user-stat stat-green']""),2,1))-8)),0)"),0.0)</f>
        <v>0</v>
      </c>
    </row>
    <row r="92" ht="15.0" customHeight="1">
      <c r="A92" s="50">
        <f t="shared" si="9"/>
        <v>85</v>
      </c>
      <c r="B92" s="51" t="str">
        <f t="shared" si="2"/>
        <v>Chilli 🌶️ Killer ☠️ #85 | R7 - C18</v>
      </c>
      <c r="C92" s="52">
        <v>7.0</v>
      </c>
      <c r="D92" s="52">
        <v>18.0</v>
      </c>
      <c r="E92" s="53">
        <v>48.16259705</v>
      </c>
      <c r="F92" s="53">
        <v>17.14608401</v>
      </c>
      <c r="G92" s="54" t="s">
        <v>42</v>
      </c>
      <c r="H92" s="55" t="str">
        <f t="shared" si="12"/>
        <v>KarelVeliky</v>
      </c>
      <c r="I92" s="56" t="s">
        <v>122</v>
      </c>
      <c r="J92" s="57"/>
      <c r="K92" s="58" t="b">
        <v>1</v>
      </c>
      <c r="L92" s="59">
        <f t="shared" si="13"/>
        <v>0</v>
      </c>
      <c r="M92" s="59">
        <f t="shared" si="14"/>
        <v>0</v>
      </c>
      <c r="N92" s="59">
        <f t="shared" si="15"/>
        <v>0</v>
      </c>
      <c r="O92" s="60" t="str">
        <f t="shared" si="16"/>
        <v/>
      </c>
      <c r="P92" s="61" t="str">
        <f>IFERROR(__xludf.DUMMYFUNCTION("IF($N92=1,IFERROR(IMPORTXML($I92, ""//p[@class='status-date']""), ""Not Loading""),"""")"),"")</f>
        <v/>
      </c>
      <c r="Q92" s="65"/>
      <c r="R92" s="65"/>
      <c r="S92" s="65"/>
      <c r="T92" s="65"/>
      <c r="U92" s="62" t="str">
        <f t="shared" si="8"/>
        <v>KarelVeliky</v>
      </c>
      <c r="V92" s="63">
        <f>IFERROR(__xludf.DUMMYFUNCTION("iferror(VALUE(left(index(IMPORTXML(I94, ""//div[@class='col-lg-2 user-stat stat-green']""),2,1),len(index(IMPORTXML(I94, ""//div[@class='col-lg-2 user-stat stat-green']""),2,1))-8)),0)"),0.0)</f>
        <v>0</v>
      </c>
    </row>
    <row r="93" ht="15.0" customHeight="1">
      <c r="A93" s="50">
        <f t="shared" si="9"/>
        <v>86</v>
      </c>
      <c r="B93" s="51" t="str">
        <f t="shared" si="2"/>
        <v>Chilli 🌶️ Killer ☠️ #86 | R7 - C19</v>
      </c>
      <c r="C93" s="52">
        <v>7.0</v>
      </c>
      <c r="D93" s="52">
        <v>19.0</v>
      </c>
      <c r="E93" s="53">
        <v>48.16259705</v>
      </c>
      <c r="F93" s="53">
        <v>17.1462995</v>
      </c>
      <c r="G93" s="54" t="s">
        <v>42</v>
      </c>
      <c r="H93" s="55" t="str">
        <f t="shared" si="12"/>
        <v>29Februaris</v>
      </c>
      <c r="I93" s="56" t="s">
        <v>123</v>
      </c>
      <c r="J93" s="57"/>
      <c r="K93" s="58" t="b">
        <v>1</v>
      </c>
      <c r="L93" s="59">
        <f t="shared" si="13"/>
        <v>0</v>
      </c>
      <c r="M93" s="59">
        <f t="shared" si="14"/>
        <v>0</v>
      </c>
      <c r="N93" s="59">
        <f t="shared" si="15"/>
        <v>0</v>
      </c>
      <c r="O93" s="60" t="str">
        <f t="shared" si="16"/>
        <v/>
      </c>
      <c r="P93" s="61" t="str">
        <f>IFERROR(__xludf.DUMMYFUNCTION("IF($N93=1,IFERROR(IMPORTXML($I93, ""//p[@class='status-date']""), ""Not Loading""),"""")"),"")</f>
        <v/>
      </c>
      <c r="Q93" s="64"/>
      <c r="R93" s="64"/>
      <c r="S93" s="64"/>
      <c r="T93" s="64"/>
      <c r="U93" s="62" t="str">
        <f t="shared" si="8"/>
        <v>29Februaris</v>
      </c>
      <c r="V93" s="63">
        <f>IFERROR(__xludf.DUMMYFUNCTION("iferror(VALUE(left(index(IMPORTXML(I95, ""//div[@class='col-lg-2 user-stat stat-green']""),2,1),len(index(IMPORTXML(I95, ""//div[@class='col-lg-2 user-stat stat-green']""),2,1))-8)),0)"),0.0)</f>
        <v>0</v>
      </c>
    </row>
    <row r="94" ht="15.0" customHeight="1">
      <c r="A94" s="50">
        <f t="shared" si="9"/>
        <v>87</v>
      </c>
      <c r="B94" s="51" t="str">
        <f t="shared" si="2"/>
        <v>Chilli 🌶️ Killer ☠️ #87 | R7 - C20</v>
      </c>
      <c r="C94" s="52">
        <v>7.0</v>
      </c>
      <c r="D94" s="52">
        <v>20.0</v>
      </c>
      <c r="E94" s="53">
        <v>48.16259705</v>
      </c>
      <c r="F94" s="53">
        <v>17.14651498</v>
      </c>
      <c r="G94" s="54" t="s">
        <v>42</v>
      </c>
      <c r="H94" s="55" t="str">
        <f t="shared" si="12"/>
        <v>Neloras</v>
      </c>
      <c r="I94" s="56" t="s">
        <v>124</v>
      </c>
      <c r="J94" s="57"/>
      <c r="K94" s="58" t="b">
        <v>1</v>
      </c>
      <c r="L94" s="59">
        <f t="shared" si="13"/>
        <v>0</v>
      </c>
      <c r="M94" s="59">
        <f t="shared" si="14"/>
        <v>0</v>
      </c>
      <c r="N94" s="59">
        <f t="shared" si="15"/>
        <v>0</v>
      </c>
      <c r="O94" s="60" t="str">
        <f t="shared" si="16"/>
        <v/>
      </c>
      <c r="P94" s="61" t="str">
        <f>IFERROR(__xludf.DUMMYFUNCTION("IF($N94=1,IFERROR(IMPORTXML($I94, ""//p[@class='status-date']""), ""Not Loading""),"""")"),"")</f>
        <v/>
      </c>
      <c r="Q94" s="65"/>
      <c r="R94" s="65"/>
      <c r="S94" s="65"/>
      <c r="T94" s="65"/>
      <c r="U94" s="62" t="str">
        <f t="shared" si="8"/>
        <v>Neloras</v>
      </c>
      <c r="V94" s="63">
        <f>IFERROR(__xludf.DUMMYFUNCTION("iferror(VALUE(left(index(IMPORTXML(I96, ""//div[@class='col-lg-2 user-stat stat-green']""),2,1),len(index(IMPORTXML(I96, ""//div[@class='col-lg-2 user-stat stat-green']""),2,1))-8)),0)"),0.0)</f>
        <v>0</v>
      </c>
    </row>
    <row r="95" ht="15.0" customHeight="1">
      <c r="A95" s="50">
        <f t="shared" si="9"/>
        <v>88</v>
      </c>
      <c r="B95" s="51" t="str">
        <f t="shared" si="2"/>
        <v>Chilli 🌶️ Killer ☠️ #88 | R7 - C21</v>
      </c>
      <c r="C95" s="52">
        <v>7.0</v>
      </c>
      <c r="D95" s="52">
        <v>21.0</v>
      </c>
      <c r="E95" s="53">
        <v>48.16259705</v>
      </c>
      <c r="F95" s="53">
        <v>17.14673046</v>
      </c>
      <c r="G95" s="54" t="s">
        <v>42</v>
      </c>
      <c r="H95" s="55" t="str">
        <f t="shared" si="12"/>
        <v>Nicolet</v>
      </c>
      <c r="I95" s="56" t="s">
        <v>125</v>
      </c>
      <c r="J95" s="57"/>
      <c r="K95" s="58" t="b">
        <v>1</v>
      </c>
      <c r="L95" s="59">
        <f t="shared" si="13"/>
        <v>0</v>
      </c>
      <c r="M95" s="59">
        <f t="shared" si="14"/>
        <v>0</v>
      </c>
      <c r="N95" s="59">
        <f t="shared" si="15"/>
        <v>0</v>
      </c>
      <c r="O95" s="60" t="str">
        <f t="shared" si="16"/>
        <v/>
      </c>
      <c r="P95" s="61" t="str">
        <f>IFERROR(__xludf.DUMMYFUNCTION("IF($N95=1,IFERROR(IMPORTXML($I95, ""//p[@class='status-date']""), ""Not Loading""),"""")"),"")</f>
        <v/>
      </c>
      <c r="Q95" s="64"/>
      <c r="R95" s="64"/>
      <c r="S95" s="64"/>
      <c r="T95" s="64"/>
      <c r="U95" s="62" t="str">
        <f t="shared" si="8"/>
        <v>Nicolet</v>
      </c>
      <c r="V95" s="63">
        <f>IFERROR(__xludf.DUMMYFUNCTION("iferror(VALUE(left(index(IMPORTXML(I97, ""//div[@class='col-lg-2 user-stat stat-green']""),2,1),len(index(IMPORTXML(I97, ""//div[@class='col-lg-2 user-stat stat-green']""),2,1))-8)),0)"),0.0)</f>
        <v>0</v>
      </c>
    </row>
    <row r="96" ht="15.0" customHeight="1">
      <c r="A96" s="50">
        <f t="shared" si="9"/>
        <v>89</v>
      </c>
      <c r="B96" s="51" t="str">
        <f t="shared" si="2"/>
        <v>Chilli 🌶️ Killer ☠️ #89 | R7 - C22</v>
      </c>
      <c r="C96" s="52">
        <v>7.0</v>
      </c>
      <c r="D96" s="52">
        <v>22.0</v>
      </c>
      <c r="E96" s="53">
        <v>48.16259705</v>
      </c>
      <c r="F96" s="53">
        <v>17.14694594</v>
      </c>
      <c r="G96" s="54" t="s">
        <v>42</v>
      </c>
      <c r="H96" s="55" t="str">
        <f t="shared" si="12"/>
        <v>Adushka</v>
      </c>
      <c r="I96" s="56" t="s">
        <v>126</v>
      </c>
      <c r="J96" s="57"/>
      <c r="K96" s="58" t="b">
        <v>1</v>
      </c>
      <c r="L96" s="59">
        <f t="shared" si="13"/>
        <v>0</v>
      </c>
      <c r="M96" s="59">
        <f t="shared" si="14"/>
        <v>0</v>
      </c>
      <c r="N96" s="59">
        <f t="shared" si="15"/>
        <v>0</v>
      </c>
      <c r="O96" s="60" t="str">
        <f t="shared" si="16"/>
        <v/>
      </c>
      <c r="P96" s="61" t="str">
        <f>IFERROR(__xludf.DUMMYFUNCTION("IF($N96=1,IFERROR(IMPORTXML($I96, ""//p[@class='status-date']""), ""Not Loading""),"""")"),"")</f>
        <v/>
      </c>
      <c r="Q96" s="65"/>
      <c r="R96" s="65"/>
      <c r="S96" s="65"/>
      <c r="T96" s="65"/>
      <c r="U96" s="62" t="str">
        <f t="shared" si="8"/>
        <v>Adushka</v>
      </c>
      <c r="V96" s="63">
        <f>IFERROR(__xludf.DUMMYFUNCTION("iferror(VALUE(left(index(IMPORTXML(I98, ""//div[@class='col-lg-2 user-stat stat-green']""),2,1),len(index(IMPORTXML(I98, ""//div[@class='col-lg-2 user-stat stat-green']""),2,1))-8)),0)"),0.0)</f>
        <v>0</v>
      </c>
    </row>
    <row r="97" ht="15.0" customHeight="1">
      <c r="A97" s="50">
        <f t="shared" si="9"/>
        <v>90</v>
      </c>
      <c r="B97" s="51" t="str">
        <f t="shared" si="2"/>
        <v>Chilli 🌶️ Killer ☠️ #90 | R7 - C23</v>
      </c>
      <c r="C97" s="52">
        <v>7.0</v>
      </c>
      <c r="D97" s="52">
        <v>23.0</v>
      </c>
      <c r="E97" s="53">
        <v>48.16259705</v>
      </c>
      <c r="F97" s="53">
        <v>17.14716142</v>
      </c>
      <c r="G97" s="54" t="s">
        <v>42</v>
      </c>
      <c r="H97" s="55" t="str">
        <f t="shared" si="12"/>
        <v>kepke3</v>
      </c>
      <c r="I97" s="56" t="s">
        <v>127</v>
      </c>
      <c r="J97" s="57"/>
      <c r="K97" s="58" t="b">
        <v>1</v>
      </c>
      <c r="L97" s="59">
        <f t="shared" si="13"/>
        <v>0</v>
      </c>
      <c r="M97" s="59">
        <f t="shared" si="14"/>
        <v>0</v>
      </c>
      <c r="N97" s="59">
        <f t="shared" si="15"/>
        <v>0</v>
      </c>
      <c r="O97" s="60" t="str">
        <f t="shared" si="16"/>
        <v/>
      </c>
      <c r="P97" s="61" t="str">
        <f>IFERROR(__xludf.DUMMYFUNCTION("IF($N97=1,IFERROR(IMPORTXML($I97, ""//p[@class='status-date']""), ""Not Loading""),"""")"),"")</f>
        <v/>
      </c>
      <c r="Q97" s="64"/>
      <c r="R97" s="64"/>
      <c r="S97" s="64"/>
      <c r="T97" s="64"/>
      <c r="U97" s="62" t="str">
        <f t="shared" si="8"/>
        <v>kepke3</v>
      </c>
      <c r="V97" s="63">
        <f>IFERROR(__xludf.DUMMYFUNCTION("iferror(VALUE(left(index(IMPORTXML(I99, ""//div[@class='col-lg-2 user-stat stat-green']""),2,1),len(index(IMPORTXML(I99, ""//div[@class='col-lg-2 user-stat stat-green']""),2,1))-8)),0)"),0.0)</f>
        <v>0</v>
      </c>
    </row>
    <row r="98" ht="15.0" customHeight="1">
      <c r="A98" s="50">
        <f t="shared" si="9"/>
        <v>91</v>
      </c>
      <c r="B98" s="51" t="str">
        <f t="shared" si="2"/>
        <v>Chilli 🌶️ Killer ☠️ #91 | R7 - C24</v>
      </c>
      <c r="C98" s="52">
        <v>7.0</v>
      </c>
      <c r="D98" s="52">
        <v>24.0</v>
      </c>
      <c r="E98" s="53">
        <v>48.16259705</v>
      </c>
      <c r="F98" s="53">
        <v>17.1473769</v>
      </c>
      <c r="G98" s="54" t="s">
        <v>42</v>
      </c>
      <c r="H98" s="55" t="str">
        <f t="shared" si="12"/>
        <v>Neloras</v>
      </c>
      <c r="I98" s="56" t="s">
        <v>128</v>
      </c>
      <c r="J98" s="57"/>
      <c r="K98" s="58" t="b">
        <v>1</v>
      </c>
      <c r="L98" s="59">
        <f t="shared" si="13"/>
        <v>0</v>
      </c>
      <c r="M98" s="59">
        <f t="shared" si="14"/>
        <v>0</v>
      </c>
      <c r="N98" s="59">
        <f t="shared" si="15"/>
        <v>0</v>
      </c>
      <c r="O98" s="60" t="str">
        <f t="shared" si="16"/>
        <v/>
      </c>
      <c r="P98" s="61" t="str">
        <f>IFERROR(__xludf.DUMMYFUNCTION("IF($N98=1,IFERROR(IMPORTXML($I98, ""//p[@class='status-date']""), ""Not Loading""),"""")"),"")</f>
        <v/>
      </c>
      <c r="Q98" s="65"/>
      <c r="R98" s="65"/>
      <c r="S98" s="65"/>
      <c r="T98" s="65"/>
      <c r="U98" s="62" t="str">
        <f t="shared" si="8"/>
        <v>Neloras</v>
      </c>
      <c r="V98" s="63">
        <f>IFERROR(__xludf.DUMMYFUNCTION("iferror(VALUE(left(index(IMPORTXML(I100, ""//div[@class='col-lg-2 user-stat stat-green']""),2,1),len(index(IMPORTXML(I100, ""//div[@class='col-lg-2 user-stat stat-green']""),2,1))-8)),0)"),0.0)</f>
        <v>0</v>
      </c>
    </row>
    <row r="99" ht="15.0" customHeight="1">
      <c r="A99" s="50">
        <f t="shared" si="9"/>
        <v>92</v>
      </c>
      <c r="B99" s="51" t="str">
        <f t="shared" si="2"/>
        <v>Chilli 🌶️ Killer ☠️ #92 | R7 - C25</v>
      </c>
      <c r="C99" s="52">
        <v>7.0</v>
      </c>
      <c r="D99" s="52">
        <v>25.0</v>
      </c>
      <c r="E99" s="53">
        <v>48.16259705</v>
      </c>
      <c r="F99" s="53">
        <v>17.14759239</v>
      </c>
      <c r="G99" s="54" t="s">
        <v>42</v>
      </c>
      <c r="H99" s="55" t="str">
        <f t="shared" si="12"/>
        <v>KarelVeliky</v>
      </c>
      <c r="I99" s="56" t="s">
        <v>129</v>
      </c>
      <c r="J99" s="57"/>
      <c r="K99" s="58" t="b">
        <v>1</v>
      </c>
      <c r="L99" s="59">
        <f t="shared" si="13"/>
        <v>0</v>
      </c>
      <c r="M99" s="59">
        <f t="shared" si="14"/>
        <v>0</v>
      </c>
      <c r="N99" s="59">
        <f t="shared" si="15"/>
        <v>0</v>
      </c>
      <c r="O99" s="60" t="str">
        <f t="shared" si="16"/>
        <v/>
      </c>
      <c r="P99" s="61" t="str">
        <f>IFERROR(__xludf.DUMMYFUNCTION("IF($N99=1,IFERROR(IMPORTXML($I99, ""//p[@class='status-date']""), ""Not Loading""),"""")"),"")</f>
        <v/>
      </c>
      <c r="Q99" s="64"/>
      <c r="R99" s="64"/>
      <c r="S99" s="64"/>
      <c r="T99" s="64"/>
      <c r="U99" s="62" t="str">
        <f t="shared" si="8"/>
        <v>KarelVeliky</v>
      </c>
      <c r="V99" s="63">
        <f>IFERROR(__xludf.DUMMYFUNCTION("iferror(VALUE(left(index(IMPORTXML(I101, ""//div[@class='col-lg-2 user-stat stat-green']""),2,1),len(index(IMPORTXML(I101, ""//div[@class='col-lg-2 user-stat stat-green']""),2,1))-8)),0)"),0.0)</f>
        <v>0</v>
      </c>
    </row>
    <row r="100" ht="15.0" customHeight="1">
      <c r="A100" s="50">
        <f t="shared" si="9"/>
        <v>93</v>
      </c>
      <c r="B100" s="51" t="str">
        <f t="shared" si="2"/>
        <v>Chilli 🌶️ Killer ☠️ #93 | R7 - C26</v>
      </c>
      <c r="C100" s="52">
        <v>7.0</v>
      </c>
      <c r="D100" s="52">
        <v>26.0</v>
      </c>
      <c r="E100" s="53">
        <v>48.16259705</v>
      </c>
      <c r="F100" s="53">
        <v>17.14780787</v>
      </c>
      <c r="G100" s="54" t="s">
        <v>42</v>
      </c>
      <c r="H100" s="55" t="str">
        <f t="shared" si="12"/>
        <v>29Februaris</v>
      </c>
      <c r="I100" s="56" t="s">
        <v>130</v>
      </c>
      <c r="J100" s="57"/>
      <c r="K100" s="58" t="b">
        <v>1</v>
      </c>
      <c r="L100" s="59">
        <f t="shared" si="13"/>
        <v>0</v>
      </c>
      <c r="M100" s="59">
        <f t="shared" si="14"/>
        <v>0</v>
      </c>
      <c r="N100" s="59">
        <f t="shared" si="15"/>
        <v>0</v>
      </c>
      <c r="O100" s="60" t="str">
        <f t="shared" si="16"/>
        <v/>
      </c>
      <c r="P100" s="61" t="str">
        <f>IFERROR(__xludf.DUMMYFUNCTION("IF($N100=1,IFERROR(IMPORTXML($I100, ""//p[@class='status-date']""), ""Not Loading""),"""")"),"")</f>
        <v/>
      </c>
      <c r="Q100" s="65"/>
      <c r="R100" s="65"/>
      <c r="S100" s="65"/>
      <c r="T100" s="65"/>
      <c r="U100" s="62" t="str">
        <f t="shared" si="8"/>
        <v>29Februaris</v>
      </c>
      <c r="V100" s="63">
        <f>IFERROR(__xludf.DUMMYFUNCTION("iferror(VALUE(left(index(IMPORTXML(I102, ""//div[@class='col-lg-2 user-stat stat-green']""),2,1),len(index(IMPORTXML(I102, ""//div[@class='col-lg-2 user-stat stat-green']""),2,1))-8)),0)"),0.0)</f>
        <v>0</v>
      </c>
    </row>
    <row r="101" ht="15.0" customHeight="1">
      <c r="A101" s="50">
        <f t="shared" si="9"/>
        <v>94</v>
      </c>
      <c r="B101" s="51" t="str">
        <f t="shared" si="2"/>
        <v>Chilli 🌶️ Killer ☠️ #94 | R7 - C27</v>
      </c>
      <c r="C101" s="52">
        <v>7.0</v>
      </c>
      <c r="D101" s="52">
        <v>27.0</v>
      </c>
      <c r="E101" s="53">
        <v>48.16259705</v>
      </c>
      <c r="F101" s="53">
        <v>17.14802335</v>
      </c>
      <c r="G101" s="54" t="s">
        <v>42</v>
      </c>
      <c r="H101" s="55" t="str">
        <f t="shared" si="12"/>
        <v>Neloras</v>
      </c>
      <c r="I101" s="56" t="s">
        <v>131</v>
      </c>
      <c r="J101" s="57"/>
      <c r="K101" s="58" t="b">
        <v>1</v>
      </c>
      <c r="L101" s="59">
        <f t="shared" si="13"/>
        <v>0</v>
      </c>
      <c r="M101" s="59">
        <f t="shared" si="14"/>
        <v>0</v>
      </c>
      <c r="N101" s="59">
        <f t="shared" si="15"/>
        <v>0</v>
      </c>
      <c r="O101" s="60" t="str">
        <f t="shared" si="16"/>
        <v/>
      </c>
      <c r="P101" s="61" t="str">
        <f>IFERROR(__xludf.DUMMYFUNCTION("IF($N101=1,IFERROR(IMPORTXML($I101, ""//p[@class='status-date']""), ""Not Loading""),"""")"),"")</f>
        <v/>
      </c>
      <c r="Q101" s="64"/>
      <c r="R101" s="64"/>
      <c r="S101" s="64"/>
      <c r="T101" s="64"/>
      <c r="U101" s="62" t="str">
        <f t="shared" si="8"/>
        <v>Neloras</v>
      </c>
      <c r="V101" s="63">
        <f>IFERROR(__xludf.DUMMYFUNCTION("iferror(VALUE(left(index(IMPORTXML(I103, ""//div[@class='col-lg-2 user-stat stat-green']""),2,1),len(index(IMPORTXML(I103, ""//div[@class='col-lg-2 user-stat stat-green']""),2,1))-8)),0)"),0.0)</f>
        <v>0</v>
      </c>
    </row>
    <row r="102" ht="15.0" customHeight="1">
      <c r="A102" s="50">
        <f t="shared" si="9"/>
        <v>95</v>
      </c>
      <c r="B102" s="51" t="str">
        <f t="shared" si="2"/>
        <v>Chilli 🌶️ Killer ☠️ #95 | R7 - C28</v>
      </c>
      <c r="C102" s="52">
        <v>7.0</v>
      </c>
      <c r="D102" s="52">
        <v>28.0</v>
      </c>
      <c r="E102" s="53">
        <v>48.16259705</v>
      </c>
      <c r="F102" s="53">
        <v>17.14823883</v>
      </c>
      <c r="G102" s="54" t="s">
        <v>42</v>
      </c>
      <c r="H102" s="55" t="str">
        <f t="shared" si="12"/>
        <v>harrie56</v>
      </c>
      <c r="I102" s="56" t="s">
        <v>132</v>
      </c>
      <c r="J102" s="57"/>
      <c r="K102" s="58" t="b">
        <v>1</v>
      </c>
      <c r="L102" s="59">
        <f t="shared" si="13"/>
        <v>0</v>
      </c>
      <c r="M102" s="59">
        <f t="shared" si="14"/>
        <v>0</v>
      </c>
      <c r="N102" s="59">
        <f t="shared" si="15"/>
        <v>0</v>
      </c>
      <c r="O102" s="60" t="str">
        <f t="shared" si="16"/>
        <v/>
      </c>
      <c r="P102" s="61" t="str">
        <f>IFERROR(__xludf.DUMMYFUNCTION("IF($N102=1,IFERROR(IMPORTXML($I102, ""//p[@class='status-date']""), ""Not Loading""),"""")"),"")</f>
        <v/>
      </c>
      <c r="Q102" s="65"/>
      <c r="R102" s="65"/>
      <c r="S102" s="65"/>
      <c r="T102" s="65"/>
      <c r="U102" s="62" t="str">
        <f t="shared" si="8"/>
        <v>harrie56</v>
      </c>
      <c r="V102" s="63">
        <f>IFERROR(__xludf.DUMMYFUNCTION("iferror(VALUE(left(index(IMPORTXML(I104, ""//div[@class='col-lg-2 user-stat stat-green']""),2,1),len(index(IMPORTXML(I104, ""//div[@class='col-lg-2 user-stat stat-green']""),2,1))-8)),0)"),0.0)</f>
        <v>0</v>
      </c>
    </row>
    <row r="103" ht="15.0" customHeight="1">
      <c r="A103" s="50">
        <f t="shared" si="9"/>
        <v>96</v>
      </c>
      <c r="B103" s="51" t="str">
        <f t="shared" si="2"/>
        <v>Chilli 🌶️ Killer ☠️ #96 | R7 - C29</v>
      </c>
      <c r="C103" s="52">
        <v>7.0</v>
      </c>
      <c r="D103" s="52">
        <v>29.0</v>
      </c>
      <c r="E103" s="53">
        <v>48.16259705</v>
      </c>
      <c r="F103" s="53">
        <v>17.14845431</v>
      </c>
      <c r="G103" s="54" t="s">
        <v>73</v>
      </c>
      <c r="H103" s="55" t="str">
        <f t="shared" si="12"/>
        <v>nyisutter</v>
      </c>
      <c r="I103" s="56" t="s">
        <v>133</v>
      </c>
      <c r="J103" s="57"/>
      <c r="K103" s="58" t="b">
        <v>1</v>
      </c>
      <c r="L103" s="59">
        <f t="shared" si="13"/>
        <v>0</v>
      </c>
      <c r="M103" s="59">
        <f t="shared" si="14"/>
        <v>0</v>
      </c>
      <c r="N103" s="59">
        <f t="shared" si="15"/>
        <v>0</v>
      </c>
      <c r="O103" s="60" t="str">
        <f t="shared" si="16"/>
        <v/>
      </c>
      <c r="P103" s="61" t="str">
        <f>IFERROR(__xludf.DUMMYFUNCTION("IF($N103=1,IFERROR(IMPORTXML($I103, ""//p[@class='status-date']""), ""Not Loading""),"""")"),"")</f>
        <v/>
      </c>
      <c r="Q103" s="64"/>
      <c r="R103" s="64"/>
      <c r="S103" s="64"/>
      <c r="T103" s="64"/>
      <c r="U103" s="62" t="str">
        <f t="shared" si="8"/>
        <v>nyisutter</v>
      </c>
      <c r="V103" s="63">
        <f>IFERROR(__xludf.DUMMYFUNCTION("iferror(VALUE(left(index(IMPORTXML(I105, ""//div[@class='col-lg-2 user-stat stat-green']""),2,1),len(index(IMPORTXML(I105, ""//div[@class='col-lg-2 user-stat stat-green']""),2,1))-8)),0)"),21.0)</f>
        <v>21</v>
      </c>
    </row>
    <row r="104" ht="15.0" customHeight="1">
      <c r="A104" s="50">
        <f t="shared" si="9"/>
        <v>97</v>
      </c>
      <c r="B104" s="51" t="str">
        <f t="shared" si="2"/>
        <v>Chilli 🌶️ Killer ☠️ #97 | R7 - C30</v>
      </c>
      <c r="C104" s="52">
        <v>7.0</v>
      </c>
      <c r="D104" s="52">
        <v>30.0</v>
      </c>
      <c r="E104" s="53">
        <v>48.16259705</v>
      </c>
      <c r="F104" s="53">
        <v>17.14866979</v>
      </c>
      <c r="G104" s="54" t="s">
        <v>73</v>
      </c>
      <c r="H104" s="55" t="str">
        <f t="shared" si="12"/>
        <v>Kumahelion</v>
      </c>
      <c r="I104" s="56" t="s">
        <v>134</v>
      </c>
      <c r="J104" s="57"/>
      <c r="K104" s="58" t="b">
        <v>1</v>
      </c>
      <c r="L104" s="59">
        <f t="shared" si="13"/>
        <v>0</v>
      </c>
      <c r="M104" s="59">
        <f t="shared" si="14"/>
        <v>0</v>
      </c>
      <c r="N104" s="59">
        <f t="shared" si="15"/>
        <v>0</v>
      </c>
      <c r="O104" s="60" t="str">
        <f t="shared" si="16"/>
        <v/>
      </c>
      <c r="P104" s="61" t="str">
        <f>IFERROR(__xludf.DUMMYFUNCTION("IF($N104=1,IFERROR(IMPORTXML($I104, ""//p[@class='status-date']""), ""Not Loading""),"""")"),"")</f>
        <v/>
      </c>
      <c r="Q104" s="65"/>
      <c r="R104" s="65"/>
      <c r="S104" s="65"/>
      <c r="T104" s="65"/>
      <c r="U104" s="62" t="str">
        <f t="shared" si="8"/>
        <v>Kumahelion</v>
      </c>
      <c r="V104" s="63">
        <f>IFERROR(__xludf.DUMMYFUNCTION("iferror(VALUE(left(index(IMPORTXML(I106, ""//div[@class='col-lg-2 user-stat stat-green']""),2,1),len(index(IMPORTXML(I106, ""//div[@class='col-lg-2 user-stat stat-green']""),2,1))-8)),0)"),0.0)</f>
        <v>0</v>
      </c>
    </row>
    <row r="105" ht="15.0" customHeight="1">
      <c r="A105" s="50">
        <f t="shared" si="9"/>
        <v>98</v>
      </c>
      <c r="B105" s="51" t="str">
        <f t="shared" si="2"/>
        <v>Chilli 🌶️ Killer ☠️ #98 | R7 - C31</v>
      </c>
      <c r="C105" s="52">
        <v>7.0</v>
      </c>
      <c r="D105" s="52">
        <v>31.0</v>
      </c>
      <c r="E105" s="53">
        <v>48.16259705</v>
      </c>
      <c r="F105" s="53">
        <v>17.14888528</v>
      </c>
      <c r="G105" s="54" t="s">
        <v>73</v>
      </c>
      <c r="H105" s="55" t="str">
        <f t="shared" si="12"/>
        <v>Lorax1</v>
      </c>
      <c r="I105" s="56" t="s">
        <v>135</v>
      </c>
      <c r="J105" s="57"/>
      <c r="K105" s="58" t="b">
        <v>1</v>
      </c>
      <c r="L105" s="59">
        <f t="shared" si="13"/>
        <v>0</v>
      </c>
      <c r="M105" s="59">
        <f t="shared" si="14"/>
        <v>0</v>
      </c>
      <c r="N105" s="59">
        <f t="shared" si="15"/>
        <v>0</v>
      </c>
      <c r="O105" s="60" t="str">
        <f t="shared" si="16"/>
        <v/>
      </c>
      <c r="P105" s="61" t="str">
        <f>IFERROR(__xludf.DUMMYFUNCTION("IF($N105=1,IFERROR(IMPORTXML($I105, ""//p[@class='status-date']""), ""Not Loading""),"""")"),"")</f>
        <v/>
      </c>
      <c r="Q105" s="64"/>
      <c r="R105" s="64"/>
      <c r="S105" s="64"/>
      <c r="T105" s="64"/>
      <c r="U105" s="62" t="str">
        <f t="shared" si="8"/>
        <v>Lorax1</v>
      </c>
      <c r="V105" s="63">
        <f>IFERROR(__xludf.DUMMYFUNCTION("iferror(VALUE(left(index(IMPORTXML(I107, ""//div[@class='col-lg-2 user-stat stat-green']""),2,1),len(index(IMPORTXML(I107, ""//div[@class='col-lg-2 user-stat stat-green']""),2,1))-8)),0)"),0.0)</f>
        <v>0</v>
      </c>
    </row>
    <row r="106" ht="15.0" customHeight="1">
      <c r="A106" s="50">
        <f t="shared" si="9"/>
        <v>99</v>
      </c>
      <c r="B106" s="51" t="str">
        <f t="shared" si="2"/>
        <v>Chilli 🌶️ Killer ☠️ #99 | R7 - C32</v>
      </c>
      <c r="C106" s="52">
        <v>7.0</v>
      </c>
      <c r="D106" s="52">
        <v>32.0</v>
      </c>
      <c r="E106" s="53">
        <v>48.16259705</v>
      </c>
      <c r="F106" s="53">
        <v>17.14910076</v>
      </c>
      <c r="G106" s="54" t="s">
        <v>73</v>
      </c>
      <c r="H106" s="55" t="str">
        <f t="shared" si="12"/>
        <v>Nicolet</v>
      </c>
      <c r="I106" s="56" t="s">
        <v>136</v>
      </c>
      <c r="J106" s="57"/>
      <c r="K106" s="58" t="b">
        <v>1</v>
      </c>
      <c r="L106" s="59">
        <f t="shared" si="13"/>
        <v>0</v>
      </c>
      <c r="M106" s="59">
        <f t="shared" si="14"/>
        <v>0</v>
      </c>
      <c r="N106" s="59">
        <f t="shared" si="15"/>
        <v>0</v>
      </c>
      <c r="O106" s="60" t="str">
        <f t="shared" si="16"/>
        <v/>
      </c>
      <c r="P106" s="61" t="str">
        <f>IFERROR(__xludf.DUMMYFUNCTION("IF($N106=1,IFERROR(IMPORTXML($I106, ""//p[@class='status-date']""), ""Not Loading""),"""")"),"")</f>
        <v/>
      </c>
      <c r="Q106" s="65"/>
      <c r="R106" s="65"/>
      <c r="S106" s="65"/>
      <c r="T106" s="65"/>
      <c r="U106" s="62" t="str">
        <f t="shared" si="8"/>
        <v>Nicolet</v>
      </c>
      <c r="V106" s="63">
        <f>IFERROR(__xludf.DUMMYFUNCTION("iferror(VALUE(left(index(IMPORTXML(I108, ""//div[@class='col-lg-2 user-stat stat-green']""),2,1),len(index(IMPORTXML(I108, ""//div[@class='col-lg-2 user-stat stat-green']""),2,1))-8)),0)"),0.0)</f>
        <v>0</v>
      </c>
    </row>
    <row r="107" ht="15.0" customHeight="1">
      <c r="A107" s="50">
        <f t="shared" si="9"/>
        <v>100</v>
      </c>
      <c r="B107" s="51" t="str">
        <f t="shared" si="2"/>
        <v>Chilli 🌶️ Killer ☠️ #100 | R7 - C33</v>
      </c>
      <c r="C107" s="52">
        <v>7.0</v>
      </c>
      <c r="D107" s="52">
        <v>33.0</v>
      </c>
      <c r="E107" s="53">
        <v>48.16259705</v>
      </c>
      <c r="F107" s="53">
        <v>17.14931624</v>
      </c>
      <c r="G107" s="54" t="s">
        <v>73</v>
      </c>
      <c r="H107" s="55" t="str">
        <f t="shared" si="12"/>
        <v>jurikvandspol</v>
      </c>
      <c r="I107" s="56" t="s">
        <v>137</v>
      </c>
      <c r="J107" s="57"/>
      <c r="K107" s="58" t="b">
        <v>1</v>
      </c>
      <c r="L107" s="59">
        <f t="shared" si="13"/>
        <v>0</v>
      </c>
      <c r="M107" s="59">
        <f t="shared" si="14"/>
        <v>0</v>
      </c>
      <c r="N107" s="59">
        <f t="shared" si="15"/>
        <v>0</v>
      </c>
      <c r="O107" s="60" t="str">
        <f t="shared" si="16"/>
        <v/>
      </c>
      <c r="P107" s="61" t="str">
        <f>IFERROR(__xludf.DUMMYFUNCTION("IF($N107=1,IFERROR(IMPORTXML($I107, ""//p[@class='status-date']""), ""Not Loading""),"""")"),"")</f>
        <v/>
      </c>
      <c r="Q107" s="64"/>
      <c r="R107" s="64"/>
      <c r="S107" s="64"/>
      <c r="T107" s="64"/>
      <c r="U107" s="62" t="str">
        <f t="shared" si="8"/>
        <v>jurikvandspol</v>
      </c>
      <c r="V107" s="63">
        <f>IFERROR(__xludf.DUMMYFUNCTION("iferror(VALUE(left(index(IMPORTXML(I109, ""//div[@class='col-lg-2 user-stat stat-green']""),2,1),len(index(IMPORTXML(I109, ""//div[@class='col-lg-2 user-stat stat-green']""),2,1))-8)),0)"),0.0)</f>
        <v>0</v>
      </c>
    </row>
    <row r="108" ht="15.0" customHeight="1">
      <c r="A108" s="50">
        <f t="shared" si="9"/>
        <v>101</v>
      </c>
      <c r="B108" s="51" t="str">
        <f t="shared" si="2"/>
        <v>Chilli 🌶️ Killer ☠️ #101 | R7 - C34</v>
      </c>
      <c r="C108" s="52">
        <v>7.0</v>
      </c>
      <c r="D108" s="52">
        <v>34.0</v>
      </c>
      <c r="E108" s="53">
        <v>48.16259705</v>
      </c>
      <c r="F108" s="53">
        <v>17.14953172</v>
      </c>
      <c r="G108" s="54" t="s">
        <v>73</v>
      </c>
      <c r="H108" s="55" t="str">
        <f t="shared" si="12"/>
        <v>Kapor24</v>
      </c>
      <c r="I108" s="56" t="s">
        <v>138</v>
      </c>
      <c r="J108" s="57"/>
      <c r="K108" s="58" t="b">
        <v>1</v>
      </c>
      <c r="L108" s="59">
        <f t="shared" si="13"/>
        <v>0</v>
      </c>
      <c r="M108" s="59">
        <f t="shared" si="14"/>
        <v>0</v>
      </c>
      <c r="N108" s="59">
        <f t="shared" si="15"/>
        <v>0</v>
      </c>
      <c r="O108" s="60" t="str">
        <f t="shared" si="16"/>
        <v/>
      </c>
      <c r="P108" s="61" t="str">
        <f>IFERROR(__xludf.DUMMYFUNCTION("IF($N108=1,IFERROR(IMPORTXML($I108, ""//p[@class='status-date']""), ""Not Loading""),"""")"),"")</f>
        <v/>
      </c>
      <c r="Q108" s="65"/>
      <c r="R108" s="65"/>
      <c r="S108" s="65"/>
      <c r="T108" s="65"/>
      <c r="U108" s="62" t="str">
        <f t="shared" si="8"/>
        <v>Kapor24</v>
      </c>
      <c r="V108" s="63">
        <f>IFERROR(__xludf.DUMMYFUNCTION("iferror(VALUE(left(index(IMPORTXML(I110, ""//div[@class='col-lg-2 user-stat stat-green']""),2,1),len(index(IMPORTXML(I110, ""//div[@class='col-lg-2 user-stat stat-green']""),2,1))-8)),0)"),0.0)</f>
        <v>0</v>
      </c>
    </row>
    <row r="109" ht="15.0" customHeight="1">
      <c r="A109" s="50">
        <f t="shared" si="9"/>
        <v>102</v>
      </c>
      <c r="B109" s="51" t="str">
        <f t="shared" si="2"/>
        <v>Chilli 🌶️ Killer ☠️ #102 | R7 - C35</v>
      </c>
      <c r="C109" s="52">
        <v>7.0</v>
      </c>
      <c r="D109" s="52">
        <v>35.0</v>
      </c>
      <c r="E109" s="53">
        <v>48.16259705</v>
      </c>
      <c r="F109" s="53">
        <v>17.1497472</v>
      </c>
      <c r="G109" s="54" t="s">
        <v>111</v>
      </c>
      <c r="H109" s="55" t="str">
        <f t="shared" si="12"/>
        <v>chaosmanor</v>
      </c>
      <c r="I109" s="56" t="s">
        <v>139</v>
      </c>
      <c r="J109" s="57"/>
      <c r="K109" s="58" t="b">
        <v>1</v>
      </c>
      <c r="L109" s="59">
        <f t="shared" si="13"/>
        <v>0</v>
      </c>
      <c r="M109" s="59">
        <f t="shared" si="14"/>
        <v>0</v>
      </c>
      <c r="N109" s="59">
        <f t="shared" si="15"/>
        <v>0</v>
      </c>
      <c r="O109" s="60" t="str">
        <f t="shared" si="16"/>
        <v/>
      </c>
      <c r="P109" s="61" t="str">
        <f>IFERROR(__xludf.DUMMYFUNCTION("IF($N109=1,IFERROR(IMPORTXML($I109, ""//p[@class='status-date']""), ""Not Loading""),"""")"),"")</f>
        <v/>
      </c>
      <c r="Q109" s="64"/>
      <c r="R109" s="64"/>
      <c r="S109" s="64"/>
      <c r="T109" s="64"/>
      <c r="U109" s="62" t="str">
        <f t="shared" si="8"/>
        <v>chaosmanor</v>
      </c>
      <c r="V109" s="63">
        <f>IFERROR(__xludf.DUMMYFUNCTION("iferror(VALUE(left(index(IMPORTXML(I111, ""//div[@class='col-lg-2 user-stat stat-green']""),2,1),len(index(IMPORTXML(I111, ""//div[@class='col-lg-2 user-stat stat-green']""),2,1))-8)),0)"),0.0)</f>
        <v>0</v>
      </c>
    </row>
    <row r="110" ht="15.0" customHeight="1">
      <c r="A110" s="50">
        <f t="shared" si="9"/>
        <v>103</v>
      </c>
      <c r="B110" s="51" t="str">
        <f t="shared" si="2"/>
        <v>Chilli 🌶️ Killer ☠️ #103 | R7 - C36</v>
      </c>
      <c r="C110" s="52">
        <v>7.0</v>
      </c>
      <c r="D110" s="52">
        <v>36.0</v>
      </c>
      <c r="E110" s="53">
        <v>48.16259705</v>
      </c>
      <c r="F110" s="53">
        <v>17.14996269</v>
      </c>
      <c r="G110" s="54" t="s">
        <v>33</v>
      </c>
      <c r="H110" s="55" t="str">
        <f t="shared" si="12"/>
        <v>florish</v>
      </c>
      <c r="I110" s="56" t="s">
        <v>140</v>
      </c>
      <c r="J110" s="57"/>
      <c r="K110" s="58" t="b">
        <v>1</v>
      </c>
      <c r="L110" s="59">
        <f t="shared" si="13"/>
        <v>0</v>
      </c>
      <c r="M110" s="59">
        <f t="shared" si="14"/>
        <v>0</v>
      </c>
      <c r="N110" s="59">
        <f t="shared" si="15"/>
        <v>0</v>
      </c>
      <c r="O110" s="60" t="str">
        <f t="shared" si="16"/>
        <v/>
      </c>
      <c r="P110" s="61" t="str">
        <f>IFERROR(__xludf.DUMMYFUNCTION("IF($N110=1,IFERROR(IMPORTXML($I110, ""//p[@class='status-date']""), ""Not Loading""),"""")"),"")</f>
        <v/>
      </c>
      <c r="Q110" s="65"/>
      <c r="R110" s="65"/>
      <c r="S110" s="65"/>
      <c r="T110" s="65"/>
      <c r="U110" s="62" t="str">
        <f t="shared" si="8"/>
        <v>florish</v>
      </c>
      <c r="V110" s="63">
        <f>IFERROR(__xludf.DUMMYFUNCTION("iferror(VALUE(left(index(IMPORTXML(I112, ""//div[@class='col-lg-2 user-stat stat-green']""),2,1),len(index(IMPORTXML(I112, ""//div[@class='col-lg-2 user-stat stat-green']""),2,1))-8)),0)"),0.0)</f>
        <v>0</v>
      </c>
    </row>
    <row r="111" ht="15.0" customHeight="1">
      <c r="A111" s="50">
        <f t="shared" si="9"/>
        <v>104</v>
      </c>
      <c r="B111" s="51" t="str">
        <f t="shared" si="2"/>
        <v>Chilli 🌶️ Killer ☠️ #104 | R8 - C13</v>
      </c>
      <c r="C111" s="52">
        <v>8.0</v>
      </c>
      <c r="D111" s="52">
        <v>13.0</v>
      </c>
      <c r="E111" s="53">
        <v>48.16247258</v>
      </c>
      <c r="F111" s="53">
        <v>17.14511433</v>
      </c>
      <c r="G111" s="54" t="s">
        <v>33</v>
      </c>
      <c r="H111" s="55" t="str">
        <f t="shared" si="12"/>
        <v>CopperWings</v>
      </c>
      <c r="I111" s="56" t="s">
        <v>141</v>
      </c>
      <c r="J111" s="57"/>
      <c r="K111" s="58" t="b">
        <v>1</v>
      </c>
      <c r="L111" s="59">
        <f t="shared" si="13"/>
        <v>0</v>
      </c>
      <c r="M111" s="59">
        <f t="shared" si="14"/>
        <v>0</v>
      </c>
      <c r="N111" s="59">
        <f t="shared" si="15"/>
        <v>0</v>
      </c>
      <c r="O111" s="60" t="str">
        <f t="shared" si="16"/>
        <v/>
      </c>
      <c r="P111" s="61" t="str">
        <f>IFERROR(__xludf.DUMMYFUNCTION("IF($N111=1,IFERROR(IMPORTXML($I111, ""//p[@class='status-date']""), ""Not Loading""),"""")"),"")</f>
        <v/>
      </c>
      <c r="Q111" s="64"/>
      <c r="R111" s="64"/>
      <c r="S111" s="64"/>
      <c r="T111" s="64"/>
      <c r="U111" s="62" t="str">
        <f t="shared" si="8"/>
        <v>CopperWings</v>
      </c>
      <c r="V111" s="63">
        <f>IFERROR(__xludf.DUMMYFUNCTION("iferror(VALUE(left(index(IMPORTXML(I113, ""//div[@class='col-lg-2 user-stat stat-green']""),2,1),len(index(IMPORTXML(I113, ""//div[@class='col-lg-2 user-stat stat-green']""),2,1))-8)),0)"),0.0)</f>
        <v>0</v>
      </c>
    </row>
    <row r="112" ht="15.0" customHeight="1">
      <c r="A112" s="50">
        <f t="shared" si="9"/>
        <v>105</v>
      </c>
      <c r="B112" s="51" t="str">
        <f t="shared" si="2"/>
        <v>Chilli 🌶️ Killer ☠️ #105 | R8 - C14</v>
      </c>
      <c r="C112" s="52">
        <v>8.0</v>
      </c>
      <c r="D112" s="52">
        <v>14.0</v>
      </c>
      <c r="E112" s="53">
        <v>48.16247258</v>
      </c>
      <c r="F112" s="53">
        <v>17.14532981</v>
      </c>
      <c r="G112" s="54" t="s">
        <v>42</v>
      </c>
      <c r="H112" s="55" t="str">
        <f t="shared" si="12"/>
        <v>mathew611</v>
      </c>
      <c r="I112" s="56" t="s">
        <v>142</v>
      </c>
      <c r="J112" s="57"/>
      <c r="K112" s="58" t="b">
        <v>1</v>
      </c>
      <c r="L112" s="59">
        <f t="shared" si="13"/>
        <v>0</v>
      </c>
      <c r="M112" s="59">
        <f t="shared" si="14"/>
        <v>0</v>
      </c>
      <c r="N112" s="59">
        <f t="shared" si="15"/>
        <v>0</v>
      </c>
      <c r="O112" s="60" t="str">
        <f t="shared" si="16"/>
        <v/>
      </c>
      <c r="P112" s="61" t="str">
        <f>IFERROR(__xludf.DUMMYFUNCTION("IF($N112=1,IFERROR(IMPORTXML($I112, ""//p[@class='status-date']""), ""Not Loading""),"""")"),"")</f>
        <v/>
      </c>
      <c r="Q112" s="65"/>
      <c r="R112" s="65"/>
      <c r="S112" s="65"/>
      <c r="T112" s="65"/>
      <c r="U112" s="62" t="str">
        <f t="shared" si="8"/>
        <v>mathew611</v>
      </c>
      <c r="V112" s="63">
        <f>IFERROR(__xludf.DUMMYFUNCTION("iferror(VALUE(left(index(IMPORTXML(I114, ""//div[@class='col-lg-2 user-stat stat-green']""),2,1),len(index(IMPORTXML(I114, ""//div[@class='col-lg-2 user-stat stat-green']""),2,1))-8)),0)"),0.0)</f>
        <v>0</v>
      </c>
    </row>
    <row r="113" ht="15.0" customHeight="1">
      <c r="A113" s="50">
        <f t="shared" si="9"/>
        <v>106</v>
      </c>
      <c r="B113" s="51" t="str">
        <f t="shared" si="2"/>
        <v>Chilli 🌶️ Killer ☠️ #106 | R8 - C15</v>
      </c>
      <c r="C113" s="52">
        <v>8.0</v>
      </c>
      <c r="D113" s="52">
        <v>15.0</v>
      </c>
      <c r="E113" s="53">
        <v>48.16247258</v>
      </c>
      <c r="F113" s="53">
        <v>17.1455453</v>
      </c>
      <c r="G113" s="54" t="s">
        <v>42</v>
      </c>
      <c r="H113" s="55" t="str">
        <f t="shared" si="12"/>
        <v>Kumahelion</v>
      </c>
      <c r="I113" s="56" t="s">
        <v>143</v>
      </c>
      <c r="J113" s="57"/>
      <c r="K113" s="58" t="b">
        <v>1</v>
      </c>
      <c r="L113" s="59">
        <f t="shared" si="13"/>
        <v>0</v>
      </c>
      <c r="M113" s="59">
        <f t="shared" si="14"/>
        <v>0</v>
      </c>
      <c r="N113" s="59">
        <f t="shared" si="15"/>
        <v>0</v>
      </c>
      <c r="O113" s="60" t="str">
        <f t="shared" si="16"/>
        <v/>
      </c>
      <c r="P113" s="61" t="str">
        <f>IFERROR(__xludf.DUMMYFUNCTION("IF($N113=1,IFERROR(IMPORTXML($I113, ""//p[@class='status-date']""), ""Not Loading""),"""")"),"")</f>
        <v/>
      </c>
      <c r="Q113" s="64"/>
      <c r="R113" s="64"/>
      <c r="S113" s="64"/>
      <c r="T113" s="64"/>
      <c r="U113" s="62" t="str">
        <f t="shared" si="8"/>
        <v>Kumahelion</v>
      </c>
      <c r="V113" s="63">
        <f>IFERROR(__xludf.DUMMYFUNCTION("iferror(VALUE(left(index(IMPORTXML(I115, ""//div[@class='col-lg-2 user-stat stat-green']""),2,1),len(index(IMPORTXML(I115, ""//div[@class='col-lg-2 user-stat stat-green']""),2,1))-8)),0)"),0.0)</f>
        <v>0</v>
      </c>
    </row>
    <row r="114" ht="15.0" customHeight="1">
      <c r="A114" s="50">
        <f t="shared" si="9"/>
        <v>107</v>
      </c>
      <c r="B114" s="51" t="str">
        <f t="shared" si="2"/>
        <v>Chilli 🌶️ Killer ☠️ #107 | R8 - C16</v>
      </c>
      <c r="C114" s="52">
        <v>8.0</v>
      </c>
      <c r="D114" s="52">
        <v>16.0</v>
      </c>
      <c r="E114" s="53">
        <v>48.16247258</v>
      </c>
      <c r="F114" s="53">
        <v>17.14576078</v>
      </c>
      <c r="G114" s="54" t="s">
        <v>42</v>
      </c>
      <c r="H114" s="55" t="str">
        <f t="shared" si="12"/>
        <v>Neloras</v>
      </c>
      <c r="I114" s="56" t="s">
        <v>144</v>
      </c>
      <c r="J114" s="57"/>
      <c r="K114" s="58" t="b">
        <v>1</v>
      </c>
      <c r="L114" s="59">
        <f t="shared" si="13"/>
        <v>0</v>
      </c>
      <c r="M114" s="59">
        <f t="shared" si="14"/>
        <v>0</v>
      </c>
      <c r="N114" s="59">
        <f t="shared" si="15"/>
        <v>0</v>
      </c>
      <c r="O114" s="60" t="str">
        <f t="shared" si="16"/>
        <v/>
      </c>
      <c r="P114" s="61" t="str">
        <f>IFERROR(__xludf.DUMMYFUNCTION("IF($N114=1,IFERROR(IMPORTXML($I114, ""//p[@class='status-date']""), ""Not Loading""),"""")"),"")</f>
        <v/>
      </c>
      <c r="Q114" s="65"/>
      <c r="R114" s="65"/>
      <c r="S114" s="65"/>
      <c r="T114" s="65"/>
      <c r="U114" s="62" t="str">
        <f t="shared" si="8"/>
        <v>Neloras</v>
      </c>
      <c r="V114" s="63">
        <f>IFERROR(__xludf.DUMMYFUNCTION("iferror(VALUE(left(index(IMPORTXML(I116, ""//div[@class='col-lg-2 user-stat stat-green']""),2,1),len(index(IMPORTXML(I116, ""//div[@class='col-lg-2 user-stat stat-green']""),2,1))-8)),0)"),0.0)</f>
        <v>0</v>
      </c>
    </row>
    <row r="115" ht="15.0" customHeight="1">
      <c r="A115" s="50">
        <f t="shared" si="9"/>
        <v>108</v>
      </c>
      <c r="B115" s="51" t="str">
        <f t="shared" si="2"/>
        <v>Chilli 🌶️ Killer ☠️ #108 | R8 - C17</v>
      </c>
      <c r="C115" s="52">
        <v>8.0</v>
      </c>
      <c r="D115" s="52">
        <v>17.0</v>
      </c>
      <c r="E115" s="53">
        <v>48.16247258</v>
      </c>
      <c r="F115" s="53">
        <v>17.14597626</v>
      </c>
      <c r="G115" s="54" t="s">
        <v>42</v>
      </c>
      <c r="H115" s="55" t="str">
        <f t="shared" si="12"/>
        <v>mathew611</v>
      </c>
      <c r="I115" s="56" t="s">
        <v>145</v>
      </c>
      <c r="J115" s="57"/>
      <c r="K115" s="58" t="b">
        <v>1</v>
      </c>
      <c r="L115" s="59">
        <f t="shared" si="13"/>
        <v>0</v>
      </c>
      <c r="M115" s="59">
        <f t="shared" si="14"/>
        <v>0</v>
      </c>
      <c r="N115" s="59">
        <f t="shared" si="15"/>
        <v>0</v>
      </c>
      <c r="O115" s="60" t="str">
        <f t="shared" si="16"/>
        <v/>
      </c>
      <c r="P115" s="61" t="str">
        <f>IFERROR(__xludf.DUMMYFUNCTION("IF($N115=1,IFERROR(IMPORTXML($I115, ""//p[@class='status-date']""), ""Not Loading""),"""")"),"")</f>
        <v/>
      </c>
      <c r="Q115" s="64"/>
      <c r="R115" s="64"/>
      <c r="S115" s="64"/>
      <c r="T115" s="64"/>
      <c r="U115" s="62" t="str">
        <f t="shared" si="8"/>
        <v>mathew611</v>
      </c>
      <c r="V115" s="63">
        <f>IFERROR(__xludf.DUMMYFUNCTION("iferror(VALUE(left(index(IMPORTXML(I117, ""//div[@class='col-lg-2 user-stat stat-green']""),2,1),len(index(IMPORTXML(I117, ""//div[@class='col-lg-2 user-stat stat-green']""),2,1))-8)),0)"),0.0)</f>
        <v>0</v>
      </c>
    </row>
    <row r="116" ht="15.0" customHeight="1">
      <c r="A116" s="50">
        <f t="shared" si="9"/>
        <v>109</v>
      </c>
      <c r="B116" s="51" t="str">
        <f t="shared" si="2"/>
        <v>Chilli 🌶️ Killer ☠️ #109 | R8 - C18</v>
      </c>
      <c r="C116" s="52">
        <v>8.0</v>
      </c>
      <c r="D116" s="52">
        <v>18.0</v>
      </c>
      <c r="E116" s="53">
        <v>48.16247258</v>
      </c>
      <c r="F116" s="53">
        <v>17.14619174</v>
      </c>
      <c r="G116" s="54" t="s">
        <v>42</v>
      </c>
      <c r="H116" s="55" t="str">
        <f t="shared" si="12"/>
        <v>Lorax1</v>
      </c>
      <c r="I116" s="56" t="s">
        <v>146</v>
      </c>
      <c r="J116" s="57"/>
      <c r="K116" s="58" t="b">
        <v>1</v>
      </c>
      <c r="L116" s="59">
        <f t="shared" si="13"/>
        <v>0</v>
      </c>
      <c r="M116" s="59">
        <f t="shared" si="14"/>
        <v>0</v>
      </c>
      <c r="N116" s="59">
        <f t="shared" si="15"/>
        <v>0</v>
      </c>
      <c r="O116" s="60" t="str">
        <f t="shared" si="16"/>
        <v/>
      </c>
      <c r="P116" s="61" t="str">
        <f>IFERROR(__xludf.DUMMYFUNCTION("IF($N116=1,IFERROR(IMPORTXML($I116, ""//p[@class='status-date']""), ""Not Loading""),"""")"),"")</f>
        <v/>
      </c>
      <c r="Q116" s="65"/>
      <c r="R116" s="65"/>
      <c r="S116" s="65"/>
      <c r="T116" s="65"/>
      <c r="U116" s="62" t="str">
        <f t="shared" si="8"/>
        <v>Lorax1</v>
      </c>
      <c r="V116" s="63">
        <f>IFERROR(__xludf.DUMMYFUNCTION("iferror(VALUE(left(index(IMPORTXML(I118, ""//div[@class='col-lg-2 user-stat stat-green']""),2,1),len(index(IMPORTXML(I118, ""//div[@class='col-lg-2 user-stat stat-green']""),2,1))-8)),0)"),0.0)</f>
        <v>0</v>
      </c>
    </row>
    <row r="117" ht="15.0" customHeight="1">
      <c r="A117" s="50">
        <f t="shared" si="9"/>
        <v>110</v>
      </c>
      <c r="B117" s="51" t="str">
        <f t="shared" si="2"/>
        <v>Chilli 🌶️ Killer ☠️ #110 | R8 - C19</v>
      </c>
      <c r="C117" s="52">
        <v>8.0</v>
      </c>
      <c r="D117" s="52">
        <v>19.0</v>
      </c>
      <c r="E117" s="53">
        <v>48.16247258</v>
      </c>
      <c r="F117" s="53">
        <v>17.14640722</v>
      </c>
      <c r="G117" s="54" t="s">
        <v>42</v>
      </c>
      <c r="H117" s="55" t="str">
        <f t="shared" si="12"/>
        <v>Kapor24</v>
      </c>
      <c r="I117" s="56" t="s">
        <v>147</v>
      </c>
      <c r="J117" s="57"/>
      <c r="K117" s="58" t="b">
        <v>1</v>
      </c>
      <c r="L117" s="59">
        <f t="shared" si="13"/>
        <v>0</v>
      </c>
      <c r="M117" s="59">
        <f t="shared" si="14"/>
        <v>0</v>
      </c>
      <c r="N117" s="59">
        <f t="shared" si="15"/>
        <v>0</v>
      </c>
      <c r="O117" s="60" t="str">
        <f t="shared" si="16"/>
        <v/>
      </c>
      <c r="P117" s="61" t="str">
        <f>IFERROR(__xludf.DUMMYFUNCTION("IF($N117=1,IFERROR(IMPORTXML($I117, ""//p[@class='status-date']""), ""Not Loading""),"""")"),"")</f>
        <v/>
      </c>
      <c r="Q117" s="64"/>
      <c r="R117" s="64"/>
      <c r="S117" s="64"/>
      <c r="T117" s="64"/>
      <c r="U117" s="62" t="str">
        <f t="shared" si="8"/>
        <v>Kapor24</v>
      </c>
      <c r="V117" s="63">
        <f>IFERROR(__xludf.DUMMYFUNCTION("iferror(VALUE(left(index(IMPORTXML(I119, ""//div[@class='col-lg-2 user-stat stat-green']""),2,1),len(index(IMPORTXML(I119, ""//div[@class='col-lg-2 user-stat stat-green']""),2,1))-8)),0)"),0.0)</f>
        <v>0</v>
      </c>
    </row>
    <row r="118" ht="15.0" customHeight="1">
      <c r="A118" s="50">
        <f t="shared" si="9"/>
        <v>111</v>
      </c>
      <c r="B118" s="51" t="str">
        <f t="shared" si="2"/>
        <v>Chilli 🌶️ Killer ☠️ #111 | R8 - C20</v>
      </c>
      <c r="C118" s="52">
        <v>8.0</v>
      </c>
      <c r="D118" s="52">
        <v>20.0</v>
      </c>
      <c r="E118" s="53">
        <v>48.16247258</v>
      </c>
      <c r="F118" s="53">
        <v>17.1466227</v>
      </c>
      <c r="G118" s="54" t="s">
        <v>42</v>
      </c>
      <c r="H118" s="55" t="str">
        <f t="shared" si="12"/>
        <v>mathew611</v>
      </c>
      <c r="I118" s="56" t="s">
        <v>148</v>
      </c>
      <c r="J118" s="57"/>
      <c r="K118" s="58" t="b">
        <v>1</v>
      </c>
      <c r="L118" s="59">
        <f t="shared" si="13"/>
        <v>0</v>
      </c>
      <c r="M118" s="59">
        <f t="shared" si="14"/>
        <v>0</v>
      </c>
      <c r="N118" s="59">
        <f t="shared" si="15"/>
        <v>0</v>
      </c>
      <c r="O118" s="60" t="str">
        <f t="shared" si="16"/>
        <v/>
      </c>
      <c r="P118" s="61" t="str">
        <f>IFERROR(__xludf.DUMMYFUNCTION("IF($N118=1,IFERROR(IMPORTXML($I118, ""//p[@class='status-date']""), ""Not Loading""),"""")"),"")</f>
        <v/>
      </c>
      <c r="Q118" s="65"/>
      <c r="R118" s="65"/>
      <c r="S118" s="65"/>
      <c r="T118" s="65"/>
      <c r="U118" s="62" t="str">
        <f t="shared" si="8"/>
        <v>mathew611</v>
      </c>
      <c r="V118" s="63">
        <f>IFERROR(__xludf.DUMMYFUNCTION("iferror(VALUE(left(index(IMPORTXML(I120, ""//div[@class='col-lg-2 user-stat stat-green']""),2,1),len(index(IMPORTXML(I120, ""//div[@class='col-lg-2 user-stat stat-green']""),2,1))-8)),0)"),0.0)</f>
        <v>0</v>
      </c>
    </row>
    <row r="119" ht="15.0" customHeight="1">
      <c r="A119" s="50">
        <f t="shared" si="9"/>
        <v>112</v>
      </c>
      <c r="B119" s="51" t="str">
        <f t="shared" si="2"/>
        <v>Chilli 🌶️ Killer ☠️ #112 | R8 - C21</v>
      </c>
      <c r="C119" s="52">
        <v>8.0</v>
      </c>
      <c r="D119" s="52">
        <v>21.0</v>
      </c>
      <c r="E119" s="53">
        <v>48.16247258</v>
      </c>
      <c r="F119" s="53">
        <v>17.14683818</v>
      </c>
      <c r="G119" s="54" t="s">
        <v>42</v>
      </c>
      <c r="H119" s="55" t="str">
        <f t="shared" si="12"/>
        <v>destolkjes4ever</v>
      </c>
      <c r="I119" s="56" t="s">
        <v>149</v>
      </c>
      <c r="J119" s="57"/>
      <c r="K119" s="58" t="b">
        <v>1</v>
      </c>
      <c r="L119" s="59">
        <f t="shared" si="13"/>
        <v>0</v>
      </c>
      <c r="M119" s="59">
        <f t="shared" si="14"/>
        <v>0</v>
      </c>
      <c r="N119" s="59">
        <f t="shared" si="15"/>
        <v>0</v>
      </c>
      <c r="O119" s="60" t="str">
        <f t="shared" si="16"/>
        <v/>
      </c>
      <c r="P119" s="61" t="str">
        <f>IFERROR(__xludf.DUMMYFUNCTION("IF($N119=1,IFERROR(IMPORTXML($I119, ""//p[@class='status-date']""), ""Not Loading""),"""")"),"")</f>
        <v/>
      </c>
      <c r="Q119" s="64"/>
      <c r="R119" s="64"/>
      <c r="S119" s="64"/>
      <c r="T119" s="64"/>
      <c r="U119" s="62" t="str">
        <f t="shared" si="8"/>
        <v>destolkjes4ever</v>
      </c>
      <c r="V119" s="63">
        <f>IFERROR(__xludf.DUMMYFUNCTION("iferror(VALUE(left(index(IMPORTXML(I121, ""//div[@class='col-lg-2 user-stat stat-green']""),2,1),len(index(IMPORTXML(I121, ""//div[@class='col-lg-2 user-stat stat-green']""),2,1))-8)),0)"),0.0)</f>
        <v>0</v>
      </c>
    </row>
    <row r="120" ht="15.0" customHeight="1">
      <c r="A120" s="50">
        <f t="shared" si="9"/>
        <v>113</v>
      </c>
      <c r="B120" s="51" t="str">
        <f t="shared" si="2"/>
        <v>Chilli 🌶️ Killer ☠️ #113 | R8 - C22</v>
      </c>
      <c r="C120" s="52">
        <v>8.0</v>
      </c>
      <c r="D120" s="52">
        <v>22.0</v>
      </c>
      <c r="E120" s="53">
        <v>48.16247258</v>
      </c>
      <c r="F120" s="53">
        <v>17.14705366</v>
      </c>
      <c r="G120" s="54" t="s">
        <v>42</v>
      </c>
      <c r="H120" s="55" t="str">
        <f t="shared" si="12"/>
        <v>Lorax1</v>
      </c>
      <c r="I120" s="56" t="s">
        <v>150</v>
      </c>
      <c r="J120" s="57"/>
      <c r="K120" s="58" t="b">
        <v>1</v>
      </c>
      <c r="L120" s="59">
        <f t="shared" si="13"/>
        <v>0</v>
      </c>
      <c r="M120" s="59">
        <f t="shared" si="14"/>
        <v>0</v>
      </c>
      <c r="N120" s="59">
        <f t="shared" si="15"/>
        <v>0</v>
      </c>
      <c r="O120" s="60" t="str">
        <f t="shared" si="16"/>
        <v/>
      </c>
      <c r="P120" s="61" t="str">
        <f>IFERROR(__xludf.DUMMYFUNCTION("IF($N120=1,IFERROR(IMPORTXML($I120, ""//p[@class='status-date']""), ""Not Loading""),"""")"),"")</f>
        <v/>
      </c>
      <c r="Q120" s="65"/>
      <c r="R120" s="65"/>
      <c r="S120" s="65"/>
      <c r="T120" s="65"/>
      <c r="U120" s="62" t="str">
        <f t="shared" si="8"/>
        <v>Lorax1</v>
      </c>
      <c r="V120" s="63">
        <f>IFERROR(__xludf.DUMMYFUNCTION("iferror(VALUE(left(index(IMPORTXML(I122, ""//div[@class='col-lg-2 user-stat stat-green']""),2,1),len(index(IMPORTXML(I122, ""//div[@class='col-lg-2 user-stat stat-green']""),2,1))-8)),0)"),0.0)</f>
        <v>0</v>
      </c>
    </row>
    <row r="121" ht="15.0" customHeight="1">
      <c r="A121" s="50">
        <f t="shared" si="9"/>
        <v>114</v>
      </c>
      <c r="B121" s="51" t="str">
        <f t="shared" si="2"/>
        <v>Chilli 🌶️ Killer ☠️ #114 | R8 - C23</v>
      </c>
      <c r="C121" s="52">
        <v>8.0</v>
      </c>
      <c r="D121" s="52">
        <v>23.0</v>
      </c>
      <c r="E121" s="53">
        <v>48.16247258</v>
      </c>
      <c r="F121" s="53">
        <v>17.14726915</v>
      </c>
      <c r="G121" s="54" t="s">
        <v>42</v>
      </c>
      <c r="H121" s="55" t="str">
        <f t="shared" si="12"/>
        <v>jurikvandspol</v>
      </c>
      <c r="I121" s="56" t="s">
        <v>151</v>
      </c>
      <c r="J121" s="57"/>
      <c r="K121" s="58" t="b">
        <v>1</v>
      </c>
      <c r="L121" s="59">
        <f t="shared" si="13"/>
        <v>0</v>
      </c>
      <c r="M121" s="59">
        <f t="shared" si="14"/>
        <v>0</v>
      </c>
      <c r="N121" s="59">
        <f t="shared" si="15"/>
        <v>0</v>
      </c>
      <c r="O121" s="60" t="str">
        <f t="shared" si="16"/>
        <v/>
      </c>
      <c r="P121" s="61" t="str">
        <f>IFERROR(__xludf.DUMMYFUNCTION("IF($N121=1,IFERROR(IMPORTXML($I121, ""//p[@class='status-date']""), ""Not Loading""),"""")"),"")</f>
        <v/>
      </c>
      <c r="Q121" s="64"/>
      <c r="R121" s="64"/>
      <c r="S121" s="64"/>
      <c r="T121" s="64"/>
      <c r="U121" s="62" t="str">
        <f t="shared" si="8"/>
        <v>jurikvandspol</v>
      </c>
      <c r="V121" s="63">
        <f>IFERROR(__xludf.DUMMYFUNCTION("iferror(VALUE(left(index(IMPORTXML(I123, ""//div[@class='col-lg-2 user-stat stat-green']""),2,1),len(index(IMPORTXML(I123, ""//div[@class='col-lg-2 user-stat stat-green']""),2,1))-8)),0)"),0.0)</f>
        <v>0</v>
      </c>
    </row>
    <row r="122" ht="15.0" customHeight="1">
      <c r="A122" s="50">
        <f t="shared" si="9"/>
        <v>115</v>
      </c>
      <c r="B122" s="51" t="str">
        <f t="shared" si="2"/>
        <v>Chilli 🌶️ Killer ☠️ #115 | R8 - C24</v>
      </c>
      <c r="C122" s="52">
        <v>8.0</v>
      </c>
      <c r="D122" s="52">
        <v>24.0</v>
      </c>
      <c r="E122" s="53">
        <v>48.16247258</v>
      </c>
      <c r="F122" s="53">
        <v>17.14748463</v>
      </c>
      <c r="G122" s="54" t="s">
        <v>42</v>
      </c>
      <c r="H122" s="55" t="str">
        <f t="shared" si="12"/>
        <v>Kapor24</v>
      </c>
      <c r="I122" s="56" t="s">
        <v>152</v>
      </c>
      <c r="J122" s="57"/>
      <c r="K122" s="58" t="b">
        <v>1</v>
      </c>
      <c r="L122" s="59">
        <f t="shared" si="13"/>
        <v>0</v>
      </c>
      <c r="M122" s="59">
        <f t="shared" si="14"/>
        <v>0</v>
      </c>
      <c r="N122" s="59">
        <f t="shared" si="15"/>
        <v>0</v>
      </c>
      <c r="O122" s="60" t="str">
        <f t="shared" si="16"/>
        <v/>
      </c>
      <c r="P122" s="61" t="str">
        <f>IFERROR(__xludf.DUMMYFUNCTION("IF($N122=1,IFERROR(IMPORTXML($I122, ""//p[@class='status-date']""), ""Not Loading""),"""")"),"")</f>
        <v/>
      </c>
      <c r="Q122" s="65"/>
      <c r="R122" s="65"/>
      <c r="S122" s="65"/>
      <c r="T122" s="65"/>
      <c r="U122" s="62" t="str">
        <f t="shared" si="8"/>
        <v>Kapor24</v>
      </c>
      <c r="V122" s="63">
        <f>IFERROR(__xludf.DUMMYFUNCTION("iferror(VALUE(left(index(IMPORTXML(I124, ""//div[@class='col-lg-2 user-stat stat-green']""),2,1),len(index(IMPORTXML(I124, ""//div[@class='col-lg-2 user-stat stat-green']""),2,1))-8)),0)"),0.0)</f>
        <v>0</v>
      </c>
    </row>
    <row r="123" ht="15.0" customHeight="1">
      <c r="A123" s="50">
        <f t="shared" si="9"/>
        <v>116</v>
      </c>
      <c r="B123" s="51" t="str">
        <f t="shared" si="2"/>
        <v>Chilli 🌶️ Killer ☠️ #116 | R8 - C25</v>
      </c>
      <c r="C123" s="52">
        <v>8.0</v>
      </c>
      <c r="D123" s="52">
        <v>25.0</v>
      </c>
      <c r="E123" s="53">
        <v>48.16247258</v>
      </c>
      <c r="F123" s="53">
        <v>17.14770011</v>
      </c>
      <c r="G123" s="54" t="s">
        <v>42</v>
      </c>
      <c r="H123" s="55" t="str">
        <f t="shared" si="12"/>
        <v>Nicolet</v>
      </c>
      <c r="I123" s="56" t="s">
        <v>153</v>
      </c>
      <c r="J123" s="57"/>
      <c r="K123" s="58" t="b">
        <v>1</v>
      </c>
      <c r="L123" s="59">
        <f t="shared" si="13"/>
        <v>0</v>
      </c>
      <c r="M123" s="59">
        <f t="shared" si="14"/>
        <v>0</v>
      </c>
      <c r="N123" s="59">
        <f t="shared" si="15"/>
        <v>0</v>
      </c>
      <c r="O123" s="60" t="str">
        <f t="shared" si="16"/>
        <v/>
      </c>
      <c r="P123" s="61" t="str">
        <f>IFERROR(__xludf.DUMMYFUNCTION("IF($N123=1,IFERROR(IMPORTXML($I123, ""//p[@class='status-date']""), ""Not Loading""),"""")"),"")</f>
        <v/>
      </c>
      <c r="Q123" s="64"/>
      <c r="R123" s="64"/>
      <c r="S123" s="64"/>
      <c r="T123" s="64"/>
      <c r="U123" s="62" t="str">
        <f t="shared" si="8"/>
        <v>Nicolet</v>
      </c>
      <c r="V123" s="63">
        <f>IFERROR(__xludf.DUMMYFUNCTION("iferror(VALUE(left(index(IMPORTXML(I125, ""//div[@class='col-lg-2 user-stat stat-green']""),2,1),len(index(IMPORTXML(I125, ""//div[@class='col-lg-2 user-stat stat-green']""),2,1))-8)),0)"),0.0)</f>
        <v>0</v>
      </c>
    </row>
    <row r="124" ht="15.0" customHeight="1">
      <c r="A124" s="50">
        <f t="shared" si="9"/>
        <v>117</v>
      </c>
      <c r="B124" s="51" t="str">
        <f t="shared" si="2"/>
        <v>Chilli 🌶️ Killer ☠️ #117 | R8 - C26</v>
      </c>
      <c r="C124" s="52">
        <v>8.0</v>
      </c>
      <c r="D124" s="52">
        <v>26.0</v>
      </c>
      <c r="E124" s="53">
        <v>48.16247258</v>
      </c>
      <c r="F124" s="53">
        <v>17.14791559</v>
      </c>
      <c r="G124" s="54" t="s">
        <v>42</v>
      </c>
      <c r="H124" s="55" t="str">
        <f t="shared" si="12"/>
        <v>Rikitan</v>
      </c>
      <c r="I124" s="56" t="s">
        <v>154</v>
      </c>
      <c r="J124" s="57"/>
      <c r="K124" s="58" t="b">
        <v>1</v>
      </c>
      <c r="L124" s="59">
        <f t="shared" si="13"/>
        <v>0</v>
      </c>
      <c r="M124" s="59">
        <f t="shared" si="14"/>
        <v>0</v>
      </c>
      <c r="N124" s="59">
        <f t="shared" si="15"/>
        <v>0</v>
      </c>
      <c r="O124" s="60" t="str">
        <f t="shared" si="16"/>
        <v/>
      </c>
      <c r="P124" s="61" t="str">
        <f>IFERROR(__xludf.DUMMYFUNCTION("IF($N124=1,IFERROR(IMPORTXML($I124, ""//p[@class='status-date']""), ""Not Loading""),"""")"),"")</f>
        <v/>
      </c>
      <c r="Q124" s="65"/>
      <c r="R124" s="65"/>
      <c r="S124" s="65"/>
      <c r="T124" s="65"/>
      <c r="U124" s="62" t="str">
        <f t="shared" si="8"/>
        <v>Rikitan</v>
      </c>
      <c r="V124" s="63">
        <f>IFERROR(__xludf.DUMMYFUNCTION("iferror(VALUE(left(index(IMPORTXML(I126, ""//div[@class='col-lg-2 user-stat stat-green']""),2,1),len(index(IMPORTXML(I126, ""//div[@class='col-lg-2 user-stat stat-green']""),2,1))-8)),0)"),0.0)</f>
        <v>0</v>
      </c>
    </row>
    <row r="125" ht="15.0" customHeight="1">
      <c r="A125" s="50">
        <f t="shared" si="9"/>
        <v>118</v>
      </c>
      <c r="B125" s="51" t="str">
        <f t="shared" si="2"/>
        <v>Chilli 🌶️ Killer ☠️ #118 | R8 - C27</v>
      </c>
      <c r="C125" s="52">
        <v>8.0</v>
      </c>
      <c r="D125" s="52">
        <v>27.0</v>
      </c>
      <c r="E125" s="53">
        <v>48.16247258</v>
      </c>
      <c r="F125" s="53">
        <v>17.14813107</v>
      </c>
      <c r="G125" s="54" t="s">
        <v>42</v>
      </c>
      <c r="H125" s="55" t="str">
        <f t="shared" si="12"/>
        <v>DeLeeuwen</v>
      </c>
      <c r="I125" s="56" t="s">
        <v>155</v>
      </c>
      <c r="J125" s="57"/>
      <c r="K125" s="58" t="b">
        <v>1</v>
      </c>
      <c r="L125" s="59">
        <f t="shared" si="13"/>
        <v>0</v>
      </c>
      <c r="M125" s="59">
        <f t="shared" si="14"/>
        <v>0</v>
      </c>
      <c r="N125" s="59">
        <f t="shared" si="15"/>
        <v>0</v>
      </c>
      <c r="O125" s="60" t="str">
        <f t="shared" si="16"/>
        <v/>
      </c>
      <c r="P125" s="61" t="str">
        <f>IFERROR(__xludf.DUMMYFUNCTION("IF($N125=1,IFERROR(IMPORTXML($I125, ""//p[@class='status-date']""), ""Not Loading""),"""")"),"")</f>
        <v/>
      </c>
      <c r="Q125" s="64"/>
      <c r="R125" s="64"/>
      <c r="S125" s="64"/>
      <c r="T125" s="64"/>
      <c r="U125" s="62" t="str">
        <f t="shared" si="8"/>
        <v>DeLeeuwen</v>
      </c>
      <c r="V125" s="63">
        <f>IFERROR(__xludf.DUMMYFUNCTION("iferror(VALUE(left(index(IMPORTXML(I127, ""//div[@class='col-lg-2 user-stat stat-green']""),2,1),len(index(IMPORTXML(I127, ""//div[@class='col-lg-2 user-stat stat-green']""),2,1))-8)),0)"),0.0)</f>
        <v>0</v>
      </c>
    </row>
    <row r="126" ht="15.0" customHeight="1">
      <c r="A126" s="50">
        <f t="shared" si="9"/>
        <v>119</v>
      </c>
      <c r="B126" s="51" t="str">
        <f t="shared" si="2"/>
        <v>Chilli 🌶️ Killer ☠️ #119 | R8 - C28</v>
      </c>
      <c r="C126" s="52">
        <v>8.0</v>
      </c>
      <c r="D126" s="52">
        <v>28.0</v>
      </c>
      <c r="E126" s="53">
        <v>48.16247257</v>
      </c>
      <c r="F126" s="53">
        <v>17.14834655</v>
      </c>
      <c r="G126" s="54" t="s">
        <v>73</v>
      </c>
      <c r="H126" s="55" t="str">
        <f t="shared" si="12"/>
        <v>Nicolet</v>
      </c>
      <c r="I126" s="56" t="s">
        <v>156</v>
      </c>
      <c r="J126" s="57"/>
      <c r="K126" s="58" t="b">
        <v>1</v>
      </c>
      <c r="L126" s="59">
        <f t="shared" si="13"/>
        <v>0</v>
      </c>
      <c r="M126" s="59">
        <f t="shared" si="14"/>
        <v>0</v>
      </c>
      <c r="N126" s="59">
        <f t="shared" si="15"/>
        <v>0</v>
      </c>
      <c r="O126" s="60" t="str">
        <f t="shared" si="16"/>
        <v/>
      </c>
      <c r="P126" s="61" t="str">
        <f>IFERROR(__xludf.DUMMYFUNCTION("IF($N126=1,IFERROR(IMPORTXML($I126, ""//p[@class='status-date']""), ""Not Loading""),"""")"),"")</f>
        <v/>
      </c>
      <c r="Q126" s="65"/>
      <c r="R126" s="65"/>
      <c r="S126" s="65"/>
      <c r="T126" s="65"/>
      <c r="U126" s="62" t="str">
        <f t="shared" si="8"/>
        <v>Nicolet</v>
      </c>
      <c r="V126" s="63">
        <f>IFERROR(__xludf.DUMMYFUNCTION("iferror(VALUE(left(index(IMPORTXML(I128, ""//div[@class='col-lg-2 user-stat stat-green']""),2,1),len(index(IMPORTXML(I128, ""//div[@class='col-lg-2 user-stat stat-green']""),2,1))-8)),0)"),0.0)</f>
        <v>0</v>
      </c>
    </row>
    <row r="127" ht="15.0" customHeight="1">
      <c r="A127" s="50">
        <f t="shared" si="9"/>
        <v>120</v>
      </c>
      <c r="B127" s="51" t="str">
        <f t="shared" si="2"/>
        <v>Chilli 🌶️ Killer ☠️ #120 | R8 - C29</v>
      </c>
      <c r="C127" s="52">
        <v>8.0</v>
      </c>
      <c r="D127" s="52">
        <v>29.0</v>
      </c>
      <c r="E127" s="53">
        <v>48.16247257</v>
      </c>
      <c r="F127" s="53">
        <v>17.14856203</v>
      </c>
      <c r="G127" s="54" t="s">
        <v>73</v>
      </c>
      <c r="H127" s="55" t="str">
        <f t="shared" si="12"/>
        <v>Kapor24</v>
      </c>
      <c r="I127" s="56" t="s">
        <v>157</v>
      </c>
      <c r="J127" s="57"/>
      <c r="K127" s="58" t="b">
        <v>1</v>
      </c>
      <c r="L127" s="59">
        <f t="shared" si="13"/>
        <v>0</v>
      </c>
      <c r="M127" s="59">
        <f t="shared" si="14"/>
        <v>0</v>
      </c>
      <c r="N127" s="59">
        <f t="shared" si="15"/>
        <v>0</v>
      </c>
      <c r="O127" s="60" t="str">
        <f t="shared" si="16"/>
        <v/>
      </c>
      <c r="P127" s="61" t="str">
        <f>IFERROR(__xludf.DUMMYFUNCTION("IF($N127=1,IFERROR(IMPORTXML($I127, ""//p[@class='status-date']""), ""Not Loading""),"""")"),"")</f>
        <v/>
      </c>
      <c r="Q127" s="64"/>
      <c r="R127" s="64"/>
      <c r="S127" s="64"/>
      <c r="T127" s="64"/>
      <c r="U127" s="62" t="str">
        <f t="shared" si="8"/>
        <v>Kapor24</v>
      </c>
      <c r="V127" s="63">
        <f>IFERROR(__xludf.DUMMYFUNCTION("iferror(VALUE(left(index(IMPORTXML(I129, ""//div[@class='col-lg-2 user-stat stat-green']""),2,1),len(index(IMPORTXML(I129, ""//div[@class='col-lg-2 user-stat stat-green']""),2,1))-8)),0)"),0.0)</f>
        <v>0</v>
      </c>
    </row>
    <row r="128" ht="15.0" customHeight="1">
      <c r="A128" s="50">
        <f t="shared" si="9"/>
        <v>121</v>
      </c>
      <c r="B128" s="51" t="str">
        <f t="shared" si="2"/>
        <v>Chilli 🌶️ Killer ☠️ #121 | R8 - C30</v>
      </c>
      <c r="C128" s="52">
        <v>8.0</v>
      </c>
      <c r="D128" s="52">
        <v>30.0</v>
      </c>
      <c r="E128" s="53">
        <v>48.16247257</v>
      </c>
      <c r="F128" s="53">
        <v>17.14877751</v>
      </c>
      <c r="G128" s="54" t="s">
        <v>33</v>
      </c>
      <c r="H128" s="55" t="str">
        <f t="shared" si="12"/>
        <v>florish</v>
      </c>
      <c r="I128" s="56" t="s">
        <v>158</v>
      </c>
      <c r="J128" s="57"/>
      <c r="K128" s="58" t="b">
        <v>1</v>
      </c>
      <c r="L128" s="59">
        <f t="shared" si="13"/>
        <v>0</v>
      </c>
      <c r="M128" s="59">
        <f t="shared" si="14"/>
        <v>0</v>
      </c>
      <c r="N128" s="59">
        <f t="shared" si="15"/>
        <v>0</v>
      </c>
      <c r="O128" s="60" t="str">
        <f t="shared" si="16"/>
        <v/>
      </c>
      <c r="P128" s="61" t="str">
        <f>IFERROR(__xludf.DUMMYFUNCTION("IF($N128=1,IFERROR(IMPORTXML($I128, ""//p[@class='status-date']""), ""Not Loading""),"""")"),"")</f>
        <v/>
      </c>
      <c r="Q128" s="65"/>
      <c r="R128" s="65"/>
      <c r="S128" s="65"/>
      <c r="T128" s="65"/>
      <c r="U128" s="62" t="str">
        <f t="shared" si="8"/>
        <v>florish</v>
      </c>
      <c r="V128" s="63">
        <f>IFERROR(__xludf.DUMMYFUNCTION("iferror(VALUE(left(index(IMPORTXML(I130, ""//div[@class='col-lg-2 user-stat stat-green']""),2,1),len(index(IMPORTXML(I130, ""//div[@class='col-lg-2 user-stat stat-green']""),2,1))-8)),0)"),0.0)</f>
        <v>0</v>
      </c>
    </row>
    <row r="129" ht="15.0" customHeight="1">
      <c r="A129" s="50">
        <f t="shared" si="9"/>
        <v>122</v>
      </c>
      <c r="B129" s="51" t="str">
        <f t="shared" si="2"/>
        <v>Chilli 🌶️ Killer ☠️ #122 | R8 - C31</v>
      </c>
      <c r="C129" s="52">
        <v>8.0</v>
      </c>
      <c r="D129" s="52">
        <v>31.0</v>
      </c>
      <c r="E129" s="53">
        <v>48.16247257</v>
      </c>
      <c r="F129" s="53">
        <v>17.148993</v>
      </c>
      <c r="G129" s="54" t="s">
        <v>33</v>
      </c>
      <c r="H129" s="55" t="str">
        <f t="shared" si="12"/>
        <v>woenny</v>
      </c>
      <c r="I129" s="56" t="s">
        <v>159</v>
      </c>
      <c r="J129" s="57"/>
      <c r="K129" s="58" t="b">
        <v>1</v>
      </c>
      <c r="L129" s="59">
        <f t="shared" si="13"/>
        <v>0</v>
      </c>
      <c r="M129" s="59">
        <f t="shared" si="14"/>
        <v>0</v>
      </c>
      <c r="N129" s="59">
        <f t="shared" si="15"/>
        <v>0</v>
      </c>
      <c r="O129" s="60" t="str">
        <f t="shared" si="16"/>
        <v/>
      </c>
      <c r="P129" s="61" t="str">
        <f>IFERROR(__xludf.DUMMYFUNCTION("IF($N129=1,IFERROR(IMPORTXML($I129, ""//p[@class='status-date']""), ""Not Loading""),"""")"),"")</f>
        <v/>
      </c>
      <c r="Q129" s="64"/>
      <c r="R129" s="64"/>
      <c r="S129" s="64"/>
      <c r="T129" s="64"/>
      <c r="U129" s="62" t="str">
        <f t="shared" si="8"/>
        <v>woenny</v>
      </c>
      <c r="V129" s="63">
        <f>IFERROR(__xludf.DUMMYFUNCTION("iferror(VALUE(left(index(IMPORTXML(I131, ""//div[@class='col-lg-2 user-stat stat-green']""),2,1),len(index(IMPORTXML(I131, ""//div[@class='col-lg-2 user-stat stat-green']""),2,1))-8)),0)"),0.0)</f>
        <v>0</v>
      </c>
    </row>
    <row r="130" ht="15.0" customHeight="1">
      <c r="A130" s="50">
        <f t="shared" si="9"/>
        <v>123</v>
      </c>
      <c r="B130" s="51" t="str">
        <f t="shared" si="2"/>
        <v>Chilli 🌶️ Killer ☠️ #123 | R8 - C32</v>
      </c>
      <c r="C130" s="52">
        <v>8.0</v>
      </c>
      <c r="D130" s="52">
        <v>32.0</v>
      </c>
      <c r="E130" s="53">
        <v>48.16247257</v>
      </c>
      <c r="F130" s="53">
        <v>17.14920848</v>
      </c>
      <c r="G130" s="54" t="s">
        <v>33</v>
      </c>
      <c r="H130" s="55" t="str">
        <f t="shared" si="12"/>
        <v>TheEvilPoles</v>
      </c>
      <c r="I130" s="56" t="s">
        <v>160</v>
      </c>
      <c r="J130" s="57"/>
      <c r="K130" s="58" t="b">
        <v>1</v>
      </c>
      <c r="L130" s="59">
        <f t="shared" si="13"/>
        <v>0</v>
      </c>
      <c r="M130" s="59">
        <f t="shared" si="14"/>
        <v>0</v>
      </c>
      <c r="N130" s="59">
        <f t="shared" si="15"/>
        <v>0</v>
      </c>
      <c r="O130" s="60" t="str">
        <f t="shared" si="16"/>
        <v/>
      </c>
      <c r="P130" s="61" t="str">
        <f>IFERROR(__xludf.DUMMYFUNCTION("IF($N130=1,IFERROR(IMPORTXML($I130, ""//p[@class='status-date']""), ""Not Loading""),"""")"),"")</f>
        <v/>
      </c>
      <c r="Q130" s="65"/>
      <c r="R130" s="65"/>
      <c r="S130" s="65"/>
      <c r="T130" s="65"/>
      <c r="U130" s="62" t="str">
        <f t="shared" si="8"/>
        <v>TheEvilPoles</v>
      </c>
      <c r="V130" s="63">
        <f>IFERROR(__xludf.DUMMYFUNCTION("iferror(VALUE(left(index(IMPORTXML(I132, ""//div[@class='col-lg-2 user-stat stat-green']""),2,1),len(index(IMPORTXML(I132, ""//div[@class='col-lg-2 user-stat stat-green']""),2,1))-8)),0)"),0.0)</f>
        <v>0</v>
      </c>
    </row>
    <row r="131" ht="15.0" customHeight="1">
      <c r="A131" s="50">
        <f t="shared" si="9"/>
        <v>124</v>
      </c>
      <c r="B131" s="51" t="str">
        <f t="shared" si="2"/>
        <v>Chilli 🌶️ Killer ☠️ #124 | R8 - C33</v>
      </c>
      <c r="C131" s="52">
        <v>8.0</v>
      </c>
      <c r="D131" s="52">
        <v>33.0</v>
      </c>
      <c r="E131" s="53">
        <v>48.16247257</v>
      </c>
      <c r="F131" s="53">
        <v>17.14942396</v>
      </c>
      <c r="G131" s="54" t="s">
        <v>33</v>
      </c>
      <c r="H131" s="55" t="str">
        <f t="shared" si="12"/>
        <v>Kumahelion</v>
      </c>
      <c r="I131" s="56" t="s">
        <v>161</v>
      </c>
      <c r="J131" s="57"/>
      <c r="K131" s="58" t="b">
        <v>1</v>
      </c>
      <c r="L131" s="59">
        <f t="shared" si="13"/>
        <v>0</v>
      </c>
      <c r="M131" s="59">
        <f t="shared" si="14"/>
        <v>0</v>
      </c>
      <c r="N131" s="59">
        <f t="shared" si="15"/>
        <v>0</v>
      </c>
      <c r="O131" s="60" t="str">
        <f t="shared" si="16"/>
        <v/>
      </c>
      <c r="P131" s="61" t="str">
        <f>IFERROR(__xludf.DUMMYFUNCTION("IF($N131=1,IFERROR(IMPORTXML($I131, ""//p[@class='status-date']""), ""Not Loading""),"""")"),"")</f>
        <v/>
      </c>
      <c r="Q131" s="64"/>
      <c r="R131" s="64"/>
      <c r="S131" s="64"/>
      <c r="T131" s="64"/>
      <c r="U131" s="62" t="str">
        <f t="shared" si="8"/>
        <v>Kumahelion</v>
      </c>
      <c r="V131" s="63">
        <f>IFERROR(__xludf.DUMMYFUNCTION("iferror(VALUE(left(index(IMPORTXML(I133, ""//div[@class='col-lg-2 user-stat stat-green']""),2,1),len(index(IMPORTXML(I133, ""//div[@class='col-lg-2 user-stat stat-green']""),2,1))-8)),0)"),0.0)</f>
        <v>0</v>
      </c>
    </row>
    <row r="132" ht="15.0" customHeight="1">
      <c r="A132" s="50">
        <f t="shared" si="9"/>
        <v>125</v>
      </c>
      <c r="B132" s="51" t="str">
        <f t="shared" si="2"/>
        <v>Chilli 🌶️ Killer ☠️ #125 | R8 - C34</v>
      </c>
      <c r="C132" s="52">
        <v>8.0</v>
      </c>
      <c r="D132" s="52">
        <v>34.0</v>
      </c>
      <c r="E132" s="53">
        <v>48.16247257</v>
      </c>
      <c r="F132" s="53">
        <v>17.14963944</v>
      </c>
      <c r="G132" s="54" t="s">
        <v>73</v>
      </c>
      <c r="H132" s="55" t="str">
        <f t="shared" si="12"/>
        <v>scarlettdragon</v>
      </c>
      <c r="I132" s="56" t="s">
        <v>162</v>
      </c>
      <c r="J132" s="57"/>
      <c r="K132" s="58" t="b">
        <v>1</v>
      </c>
      <c r="L132" s="59">
        <f t="shared" si="13"/>
        <v>0</v>
      </c>
      <c r="M132" s="59">
        <f t="shared" si="14"/>
        <v>0</v>
      </c>
      <c r="N132" s="59">
        <f t="shared" si="15"/>
        <v>0</v>
      </c>
      <c r="O132" s="60" t="str">
        <f t="shared" si="16"/>
        <v/>
      </c>
      <c r="P132" s="61" t="str">
        <f>IFERROR(__xludf.DUMMYFUNCTION("IF($N132=1,IFERROR(IMPORTXML($I132, ""//p[@class='status-date']""), ""Not Loading""),"""")"),"")</f>
        <v/>
      </c>
      <c r="Q132" s="65"/>
      <c r="R132" s="65"/>
      <c r="S132" s="65"/>
      <c r="T132" s="65"/>
      <c r="U132" s="62" t="str">
        <f t="shared" si="8"/>
        <v>scarlettdragon</v>
      </c>
      <c r="V132" s="63">
        <f>IFERROR(__xludf.DUMMYFUNCTION("iferror(VALUE(left(index(IMPORTXML(I134, ""//div[@class='col-lg-2 user-stat stat-green']""),2,1),len(index(IMPORTXML(I134, ""//div[@class='col-lg-2 user-stat stat-green']""),2,1))-8)),0)"),0.0)</f>
        <v>0</v>
      </c>
    </row>
    <row r="133" ht="15.0" customHeight="1">
      <c r="A133" s="50">
        <f t="shared" si="9"/>
        <v>126</v>
      </c>
      <c r="B133" s="51" t="str">
        <f t="shared" si="2"/>
        <v>Chilli 🌶️ Killer ☠️ #126 | R8 - C35</v>
      </c>
      <c r="C133" s="52">
        <v>8.0</v>
      </c>
      <c r="D133" s="52">
        <v>35.0</v>
      </c>
      <c r="E133" s="53">
        <v>48.16247257</v>
      </c>
      <c r="F133" s="53">
        <v>17.14985492</v>
      </c>
      <c r="G133" s="54" t="s">
        <v>111</v>
      </c>
      <c r="H133" s="55" t="str">
        <f t="shared" si="12"/>
        <v>mathew611</v>
      </c>
      <c r="I133" s="56" t="s">
        <v>163</v>
      </c>
      <c r="J133" s="57"/>
      <c r="K133" s="58" t="b">
        <v>1</v>
      </c>
      <c r="L133" s="59">
        <f t="shared" si="13"/>
        <v>0</v>
      </c>
      <c r="M133" s="59">
        <f t="shared" si="14"/>
        <v>0</v>
      </c>
      <c r="N133" s="59">
        <f t="shared" si="15"/>
        <v>0</v>
      </c>
      <c r="O133" s="60" t="str">
        <f t="shared" si="16"/>
        <v/>
      </c>
      <c r="P133" s="61" t="str">
        <f>IFERROR(__xludf.DUMMYFUNCTION("IF($N133=1,IFERROR(IMPORTXML($I133, ""//p[@class='status-date']""), ""Not Loading""),"""")"),"")</f>
        <v/>
      </c>
      <c r="Q133" s="64"/>
      <c r="R133" s="64"/>
      <c r="S133" s="64"/>
      <c r="T133" s="64"/>
      <c r="U133" s="62" t="str">
        <f t="shared" si="8"/>
        <v>mathew611</v>
      </c>
      <c r="V133" s="63">
        <f>IFERROR(__xludf.DUMMYFUNCTION("iferror(VALUE(left(index(IMPORTXML(I135, ""//div[@class='col-lg-2 user-stat stat-green']""),2,1),len(index(IMPORTXML(I135, ""//div[@class='col-lg-2 user-stat stat-green']""),2,1))-8)),0)"),0.0)</f>
        <v>0</v>
      </c>
    </row>
    <row r="134" ht="15.0" customHeight="1">
      <c r="A134" s="50">
        <f t="shared" si="9"/>
        <v>127</v>
      </c>
      <c r="B134" s="51" t="str">
        <f t="shared" si="2"/>
        <v>Chilli 🌶️ Killer ☠️ #127 | R8 - C36</v>
      </c>
      <c r="C134" s="52">
        <v>8.0</v>
      </c>
      <c r="D134" s="52">
        <v>36.0</v>
      </c>
      <c r="E134" s="53">
        <v>48.16247257</v>
      </c>
      <c r="F134" s="53">
        <v>17.1500704</v>
      </c>
      <c r="G134" s="54" t="s">
        <v>33</v>
      </c>
      <c r="H134" s="55" t="str">
        <f t="shared" si="12"/>
        <v>KarelVeliky</v>
      </c>
      <c r="I134" s="56" t="s">
        <v>164</v>
      </c>
      <c r="J134" s="57"/>
      <c r="K134" s="58" t="b">
        <v>1</v>
      </c>
      <c r="L134" s="59">
        <f t="shared" si="13"/>
        <v>0</v>
      </c>
      <c r="M134" s="59">
        <f t="shared" si="14"/>
        <v>0</v>
      </c>
      <c r="N134" s="59">
        <f t="shared" si="15"/>
        <v>0</v>
      </c>
      <c r="O134" s="60" t="str">
        <f t="shared" si="16"/>
        <v/>
      </c>
      <c r="P134" s="61" t="str">
        <f>IFERROR(__xludf.DUMMYFUNCTION("IF($N134=1,IFERROR(IMPORTXML($I134, ""//p[@class='status-date']""), ""Not Loading""),"""")"),"")</f>
        <v/>
      </c>
      <c r="Q134" s="65"/>
      <c r="R134" s="65"/>
      <c r="S134" s="65"/>
      <c r="T134" s="65"/>
      <c r="U134" s="62" t="str">
        <f t="shared" si="8"/>
        <v>KarelVeliky</v>
      </c>
      <c r="V134" s="63">
        <f>IFERROR(__xludf.DUMMYFUNCTION("iferror(VALUE(left(index(IMPORTXML(I136, ""//div[@class='col-lg-2 user-stat stat-green']""),2,1),len(index(IMPORTXML(I136, ""//div[@class='col-lg-2 user-stat stat-green']""),2,1))-8)),0)"),0.0)</f>
        <v>0</v>
      </c>
    </row>
    <row r="135" ht="15.0" customHeight="1">
      <c r="A135" s="50">
        <f t="shared" si="9"/>
        <v>128</v>
      </c>
      <c r="B135" s="51" t="str">
        <f t="shared" si="2"/>
        <v>Chilli 🌶️ Killer ☠️ #128 | R9 - C12</v>
      </c>
      <c r="C135" s="52">
        <v>9.0</v>
      </c>
      <c r="D135" s="52">
        <v>12.0</v>
      </c>
      <c r="E135" s="53">
        <v>48.1623481</v>
      </c>
      <c r="F135" s="53">
        <v>17.1447911</v>
      </c>
      <c r="G135" s="54" t="s">
        <v>33</v>
      </c>
      <c r="H135" s="55" t="str">
        <f t="shared" si="12"/>
        <v>BonnieB1</v>
      </c>
      <c r="I135" s="56" t="s">
        <v>165</v>
      </c>
      <c r="J135" s="57"/>
      <c r="K135" s="58" t="b">
        <v>1</v>
      </c>
      <c r="L135" s="59">
        <f t="shared" si="13"/>
        <v>0</v>
      </c>
      <c r="M135" s="59">
        <f t="shared" si="14"/>
        <v>0</v>
      </c>
      <c r="N135" s="59">
        <f t="shared" si="15"/>
        <v>0</v>
      </c>
      <c r="O135" s="60" t="str">
        <f t="shared" si="16"/>
        <v/>
      </c>
      <c r="P135" s="61" t="str">
        <f>IFERROR(__xludf.DUMMYFUNCTION("IF($N135=1,IFERROR(IMPORTXML($I135, ""//p[@class='status-date']""), ""Not Loading""),"""")"),"")</f>
        <v/>
      </c>
      <c r="Q135" s="64"/>
      <c r="R135" s="64"/>
      <c r="S135" s="64"/>
      <c r="T135" s="64"/>
      <c r="U135" s="62" t="str">
        <f t="shared" si="8"/>
        <v>BonnieB1</v>
      </c>
      <c r="V135" s="63">
        <f>IFERROR(__xludf.DUMMYFUNCTION("iferror(VALUE(left(index(IMPORTXML(I137, ""//div[@class='col-lg-2 user-stat stat-green']""),2,1),len(index(IMPORTXML(I137, ""//div[@class='col-lg-2 user-stat stat-green']""),2,1))-8)),0)"),0.0)</f>
        <v>0</v>
      </c>
    </row>
    <row r="136" ht="15.0" customHeight="1">
      <c r="A136" s="50">
        <f t="shared" si="9"/>
        <v>129</v>
      </c>
      <c r="B136" s="51" t="str">
        <f t="shared" si="2"/>
        <v>Chilli 🌶️ Killer ☠️ #129 | R9 - C13</v>
      </c>
      <c r="C136" s="52">
        <v>9.0</v>
      </c>
      <c r="D136" s="52">
        <v>13.0</v>
      </c>
      <c r="E136" s="53">
        <v>48.1623481</v>
      </c>
      <c r="F136" s="53">
        <v>17.14500658</v>
      </c>
      <c r="G136" s="54" t="s">
        <v>33</v>
      </c>
      <c r="H136" s="55" t="str">
        <f t="shared" si="12"/>
        <v>Majsan</v>
      </c>
      <c r="I136" s="56" t="s">
        <v>166</v>
      </c>
      <c r="J136" s="57"/>
      <c r="K136" s="58" t="b">
        <v>1</v>
      </c>
      <c r="L136" s="59">
        <f t="shared" si="13"/>
        <v>0</v>
      </c>
      <c r="M136" s="59">
        <f t="shared" si="14"/>
        <v>0</v>
      </c>
      <c r="N136" s="59">
        <f t="shared" si="15"/>
        <v>0</v>
      </c>
      <c r="O136" s="60" t="str">
        <f t="shared" si="16"/>
        <v/>
      </c>
      <c r="P136" s="61" t="str">
        <f>IFERROR(__xludf.DUMMYFUNCTION("IF($N136=1,IFERROR(IMPORTXML($I136, ""//p[@class='status-date']""), ""Not Loading""),"""")"),"")</f>
        <v/>
      </c>
      <c r="Q136" s="65"/>
      <c r="R136" s="65"/>
      <c r="S136" s="65"/>
      <c r="T136" s="65"/>
      <c r="U136" s="62" t="str">
        <f t="shared" si="8"/>
        <v>Majsan</v>
      </c>
      <c r="V136" s="63">
        <f>IFERROR(__xludf.DUMMYFUNCTION("iferror(VALUE(left(index(IMPORTXML(I138, ""//div[@class='col-lg-2 user-stat stat-green']""),2,1),len(index(IMPORTXML(I138, ""//div[@class='col-lg-2 user-stat stat-green']""),2,1))-8)),0)"),0.0)</f>
        <v>0</v>
      </c>
    </row>
    <row r="137" ht="15.0" customHeight="1">
      <c r="A137" s="50">
        <f t="shared" si="9"/>
        <v>130</v>
      </c>
      <c r="B137" s="51" t="str">
        <f t="shared" si="2"/>
        <v>Chilli 🌶️ Killer ☠️ #130 | R9 - C14</v>
      </c>
      <c r="C137" s="52">
        <v>9.0</v>
      </c>
      <c r="D137" s="52">
        <v>14.0</v>
      </c>
      <c r="E137" s="53">
        <v>48.1623481</v>
      </c>
      <c r="F137" s="53">
        <v>17.14522206</v>
      </c>
      <c r="G137" s="54" t="s">
        <v>42</v>
      </c>
      <c r="H137" s="55" t="str">
        <f t="shared" si="12"/>
        <v>Nicolet</v>
      </c>
      <c r="I137" s="56" t="s">
        <v>167</v>
      </c>
      <c r="J137" s="57"/>
      <c r="K137" s="58" t="b">
        <v>1</v>
      </c>
      <c r="L137" s="59">
        <f t="shared" si="13"/>
        <v>0</v>
      </c>
      <c r="M137" s="59">
        <f t="shared" si="14"/>
        <v>0</v>
      </c>
      <c r="N137" s="59">
        <f t="shared" si="15"/>
        <v>0</v>
      </c>
      <c r="O137" s="60" t="str">
        <f t="shared" si="16"/>
        <v/>
      </c>
      <c r="P137" s="61" t="str">
        <f>IFERROR(__xludf.DUMMYFUNCTION("IF($N137=1,IFERROR(IMPORTXML($I137, ""//p[@class='status-date']""), ""Not Loading""),"""")"),"")</f>
        <v/>
      </c>
      <c r="Q137" s="64"/>
      <c r="R137" s="64"/>
      <c r="S137" s="64"/>
      <c r="T137" s="64"/>
      <c r="U137" s="62" t="str">
        <f t="shared" si="8"/>
        <v>Nicolet</v>
      </c>
      <c r="V137" s="63">
        <f>IFERROR(__xludf.DUMMYFUNCTION("iferror(VALUE(left(index(IMPORTXML(I139, ""//div[@class='col-lg-2 user-stat stat-green']""),2,1),len(index(IMPORTXML(I139, ""//div[@class='col-lg-2 user-stat stat-green']""),2,1))-8)),0)"),0.0)</f>
        <v>0</v>
      </c>
    </row>
    <row r="138" ht="15.0" customHeight="1">
      <c r="A138" s="50">
        <f t="shared" si="9"/>
        <v>131</v>
      </c>
      <c r="B138" s="51" t="str">
        <f t="shared" si="2"/>
        <v>Chilli 🌶️ Killer ☠️ #131 | R9 - C15</v>
      </c>
      <c r="C138" s="52">
        <v>9.0</v>
      </c>
      <c r="D138" s="52">
        <v>15.0</v>
      </c>
      <c r="E138" s="53">
        <v>48.1623481</v>
      </c>
      <c r="F138" s="53">
        <v>17.14543754</v>
      </c>
      <c r="G138" s="54" t="s">
        <v>42</v>
      </c>
      <c r="H138" s="55" t="str">
        <f t="shared" si="12"/>
        <v>Charonovci</v>
      </c>
      <c r="I138" s="56" t="s">
        <v>168</v>
      </c>
      <c r="J138" s="57"/>
      <c r="K138" s="58" t="b">
        <v>1</v>
      </c>
      <c r="L138" s="59">
        <f t="shared" si="13"/>
        <v>0</v>
      </c>
      <c r="M138" s="59">
        <f t="shared" si="14"/>
        <v>0</v>
      </c>
      <c r="N138" s="59">
        <f t="shared" si="15"/>
        <v>0</v>
      </c>
      <c r="O138" s="60" t="str">
        <f t="shared" si="16"/>
        <v/>
      </c>
      <c r="P138" s="61" t="str">
        <f>IFERROR(__xludf.DUMMYFUNCTION("IF($N138=1,IFERROR(IMPORTXML($I138, ""//p[@class='status-date']""), ""Not Loading""),"""")"),"")</f>
        <v/>
      </c>
      <c r="Q138" s="65"/>
      <c r="R138" s="65"/>
      <c r="S138" s="65"/>
      <c r="T138" s="65"/>
      <c r="U138" s="62" t="str">
        <f t="shared" si="8"/>
        <v>Charonovci</v>
      </c>
      <c r="V138" s="63">
        <f>IFERROR(__xludf.DUMMYFUNCTION("iferror(VALUE(left(index(IMPORTXML(I140, ""//div[@class='col-lg-2 user-stat stat-green']""),2,1),len(index(IMPORTXML(I140, ""//div[@class='col-lg-2 user-stat stat-green']""),2,1))-8)),0)"),0.0)</f>
        <v>0</v>
      </c>
    </row>
    <row r="139" ht="15.0" customHeight="1">
      <c r="A139" s="50">
        <f t="shared" si="9"/>
        <v>132</v>
      </c>
      <c r="B139" s="51" t="str">
        <f t="shared" si="2"/>
        <v>Chilli 🌶️ Killer ☠️ #132 | R9 - C16</v>
      </c>
      <c r="C139" s="52">
        <v>9.0</v>
      </c>
      <c r="D139" s="52">
        <v>16.0</v>
      </c>
      <c r="E139" s="53">
        <v>48.1623481</v>
      </c>
      <c r="F139" s="53">
        <v>17.14565302</v>
      </c>
      <c r="G139" s="54" t="s">
        <v>42</v>
      </c>
      <c r="H139" s="55" t="str">
        <f t="shared" si="12"/>
        <v>Kapor24</v>
      </c>
      <c r="I139" s="56" t="s">
        <v>169</v>
      </c>
      <c r="J139" s="57"/>
      <c r="K139" s="58" t="b">
        <v>1</v>
      </c>
      <c r="L139" s="59">
        <f t="shared" si="13"/>
        <v>0</v>
      </c>
      <c r="M139" s="59">
        <f t="shared" si="14"/>
        <v>0</v>
      </c>
      <c r="N139" s="59">
        <f t="shared" si="15"/>
        <v>0</v>
      </c>
      <c r="O139" s="60" t="str">
        <f t="shared" si="16"/>
        <v/>
      </c>
      <c r="P139" s="61" t="str">
        <f>IFERROR(__xludf.DUMMYFUNCTION("IF($N139=1,IFERROR(IMPORTXML($I139, ""//p[@class='status-date']""), ""Not Loading""),"""")"),"")</f>
        <v/>
      </c>
      <c r="Q139" s="64"/>
      <c r="R139" s="64"/>
      <c r="S139" s="64"/>
      <c r="T139" s="64"/>
      <c r="U139" s="62" t="str">
        <f t="shared" si="8"/>
        <v>Kapor24</v>
      </c>
      <c r="V139" s="63">
        <f>IFERROR(__xludf.DUMMYFUNCTION("iferror(VALUE(left(index(IMPORTXML(I141, ""//div[@class='col-lg-2 user-stat stat-green']""),2,1),len(index(IMPORTXML(I141, ""//div[@class='col-lg-2 user-stat stat-green']""),2,1))-8)),0)"),0.0)</f>
        <v>0</v>
      </c>
    </row>
    <row r="140" ht="15.0" customHeight="1">
      <c r="A140" s="50">
        <f t="shared" si="9"/>
        <v>133</v>
      </c>
      <c r="B140" s="51" t="str">
        <f t="shared" si="2"/>
        <v>Chilli 🌶️ Killer ☠️ #133 | R9 - C17</v>
      </c>
      <c r="C140" s="52">
        <v>9.0</v>
      </c>
      <c r="D140" s="52">
        <v>17.0</v>
      </c>
      <c r="E140" s="53">
        <v>48.1623481</v>
      </c>
      <c r="F140" s="53">
        <v>17.1458685</v>
      </c>
      <c r="G140" s="54" t="s">
        <v>42</v>
      </c>
      <c r="H140" s="55" t="str">
        <f t="shared" si="12"/>
        <v>annabanana</v>
      </c>
      <c r="I140" s="56" t="s">
        <v>170</v>
      </c>
      <c r="J140" s="57"/>
      <c r="K140" s="58" t="b">
        <v>1</v>
      </c>
      <c r="L140" s="59">
        <f t="shared" si="13"/>
        <v>0</v>
      </c>
      <c r="M140" s="59">
        <f t="shared" si="14"/>
        <v>0</v>
      </c>
      <c r="N140" s="59">
        <f t="shared" si="15"/>
        <v>0</v>
      </c>
      <c r="O140" s="60" t="str">
        <f t="shared" si="16"/>
        <v/>
      </c>
      <c r="P140" s="61" t="str">
        <f>IFERROR(__xludf.DUMMYFUNCTION("IF($N140=1,IFERROR(IMPORTXML($I140, ""//p[@class='status-date']""), ""Not Loading""),"""")"),"")</f>
        <v/>
      </c>
      <c r="Q140" s="65"/>
      <c r="R140" s="65"/>
      <c r="S140" s="65"/>
      <c r="T140" s="65"/>
      <c r="U140" s="62" t="str">
        <f t="shared" si="8"/>
        <v>annabanana</v>
      </c>
      <c r="V140" s="63">
        <f>IFERROR(__xludf.DUMMYFUNCTION("iferror(VALUE(left(index(IMPORTXML(I142, ""//div[@class='col-lg-2 user-stat stat-green']""),2,1),len(index(IMPORTXML(I142, ""//div[@class='col-lg-2 user-stat stat-green']""),2,1))-8)),0)"),0.0)</f>
        <v>0</v>
      </c>
    </row>
    <row r="141" ht="15.0" customHeight="1">
      <c r="A141" s="50">
        <f t="shared" si="9"/>
        <v>134</v>
      </c>
      <c r="B141" s="51" t="str">
        <f t="shared" si="2"/>
        <v>Chilli 🌶️ Killer ☠️ #134 | R9 - C18</v>
      </c>
      <c r="C141" s="52">
        <v>9.0</v>
      </c>
      <c r="D141" s="52">
        <v>18.0</v>
      </c>
      <c r="E141" s="53">
        <v>48.1623481</v>
      </c>
      <c r="F141" s="53">
        <v>17.14608398</v>
      </c>
      <c r="G141" s="54" t="s">
        <v>42</v>
      </c>
      <c r="H141" s="55" t="str">
        <f t="shared" si="12"/>
        <v>Charonovci</v>
      </c>
      <c r="I141" s="56" t="s">
        <v>171</v>
      </c>
      <c r="J141" s="57"/>
      <c r="K141" s="58" t="b">
        <v>1</v>
      </c>
      <c r="L141" s="59">
        <f t="shared" si="13"/>
        <v>0</v>
      </c>
      <c r="M141" s="59">
        <f t="shared" si="14"/>
        <v>0</v>
      </c>
      <c r="N141" s="59">
        <f t="shared" si="15"/>
        <v>0</v>
      </c>
      <c r="O141" s="60" t="str">
        <f t="shared" si="16"/>
        <v/>
      </c>
      <c r="P141" s="61" t="str">
        <f>IFERROR(__xludf.DUMMYFUNCTION("IF($N141=1,IFERROR(IMPORTXML($I141, ""//p[@class='status-date']""), ""Not Loading""),"""")"),"")</f>
        <v/>
      </c>
      <c r="Q141" s="64"/>
      <c r="R141" s="64"/>
      <c r="S141" s="64"/>
      <c r="T141" s="64"/>
      <c r="U141" s="62" t="str">
        <f t="shared" si="8"/>
        <v>Charonovci</v>
      </c>
      <c r="V141" s="63">
        <f>IFERROR(__xludf.DUMMYFUNCTION("iferror(VALUE(left(index(IMPORTXML(I143, ""//div[@class='col-lg-2 user-stat stat-green']""),2,1),len(index(IMPORTXML(I143, ""//div[@class='col-lg-2 user-stat stat-green']""),2,1))-8)),0)"),0.0)</f>
        <v>0</v>
      </c>
    </row>
    <row r="142" ht="15.0" customHeight="1">
      <c r="A142" s="50">
        <f t="shared" si="9"/>
        <v>135</v>
      </c>
      <c r="B142" s="51" t="str">
        <f t="shared" si="2"/>
        <v>Chilli 🌶️ Killer ☠️ #135 | R9 - C19</v>
      </c>
      <c r="C142" s="52">
        <v>9.0</v>
      </c>
      <c r="D142" s="52">
        <v>19.0</v>
      </c>
      <c r="E142" s="53">
        <v>48.1623481</v>
      </c>
      <c r="F142" s="53">
        <v>17.14629947</v>
      </c>
      <c r="G142" s="54" t="s">
        <v>42</v>
      </c>
      <c r="H142" s="55" t="str">
        <f t="shared" si="12"/>
        <v>MacickaLizza</v>
      </c>
      <c r="I142" s="56" t="s">
        <v>172</v>
      </c>
      <c r="J142" s="57"/>
      <c r="K142" s="58" t="b">
        <v>1</v>
      </c>
      <c r="L142" s="59">
        <f t="shared" si="13"/>
        <v>0</v>
      </c>
      <c r="M142" s="59">
        <f t="shared" si="14"/>
        <v>0</v>
      </c>
      <c r="N142" s="59">
        <f t="shared" si="15"/>
        <v>0</v>
      </c>
      <c r="O142" s="60" t="str">
        <f t="shared" si="16"/>
        <v/>
      </c>
      <c r="P142" s="61" t="str">
        <f>IFERROR(__xludf.DUMMYFUNCTION("IF($N142=1,IFERROR(IMPORTXML($I142, ""//p[@class='status-date']""), ""Not Loading""),"""")"),"")</f>
        <v/>
      </c>
      <c r="Q142" s="65"/>
      <c r="R142" s="65"/>
      <c r="S142" s="65"/>
      <c r="T142" s="65"/>
      <c r="U142" s="62" t="str">
        <f t="shared" si="8"/>
        <v>MacickaLizza</v>
      </c>
      <c r="V142" s="63">
        <f>IFERROR(__xludf.DUMMYFUNCTION("iferror(VALUE(left(index(IMPORTXML(I144, ""//div[@class='col-lg-2 user-stat stat-green']""),2,1),len(index(IMPORTXML(I144, ""//div[@class='col-lg-2 user-stat stat-green']""),2,1))-8)),0)"),0.0)</f>
        <v>0</v>
      </c>
    </row>
    <row r="143" ht="15.0" customHeight="1">
      <c r="A143" s="50">
        <f t="shared" si="9"/>
        <v>136</v>
      </c>
      <c r="B143" s="51" t="str">
        <f t="shared" si="2"/>
        <v>Chilli 🌶️ Killer ☠️ #136 | R9 - C20</v>
      </c>
      <c r="C143" s="52">
        <v>9.0</v>
      </c>
      <c r="D143" s="52">
        <v>20.0</v>
      </c>
      <c r="E143" s="53">
        <v>48.1623481</v>
      </c>
      <c r="F143" s="53">
        <v>17.14651495</v>
      </c>
      <c r="G143" s="54" t="s">
        <v>42</v>
      </c>
      <c r="H143" s="55" t="str">
        <f t="shared" si="12"/>
        <v>EeveeFox</v>
      </c>
      <c r="I143" s="56" t="s">
        <v>173</v>
      </c>
      <c r="J143" s="57"/>
      <c r="K143" s="58" t="b">
        <v>1</v>
      </c>
      <c r="L143" s="59">
        <f t="shared" si="13"/>
        <v>0</v>
      </c>
      <c r="M143" s="59">
        <f t="shared" si="14"/>
        <v>0</v>
      </c>
      <c r="N143" s="59">
        <f t="shared" si="15"/>
        <v>0</v>
      </c>
      <c r="O143" s="60" t="str">
        <f t="shared" si="16"/>
        <v/>
      </c>
      <c r="P143" s="61" t="str">
        <f>IFERROR(__xludf.DUMMYFUNCTION("IF($N143=1,IFERROR(IMPORTXML($I143, ""//p[@class='status-date']""), ""Not Loading""),"""")"),"")</f>
        <v/>
      </c>
      <c r="Q143" s="64"/>
      <c r="R143" s="64"/>
      <c r="S143" s="64"/>
      <c r="T143" s="64"/>
      <c r="U143" s="62" t="str">
        <f t="shared" si="8"/>
        <v>EeveeFox</v>
      </c>
      <c r="V143" s="63">
        <f>IFERROR(__xludf.DUMMYFUNCTION("iferror(VALUE(left(index(IMPORTXML(I145, ""//div[@class='col-lg-2 user-stat stat-green']""),2,1),len(index(IMPORTXML(I145, ""//div[@class='col-lg-2 user-stat stat-green']""),2,1))-8)),0)"),0.0)</f>
        <v>0</v>
      </c>
    </row>
    <row r="144" ht="15.0" customHeight="1">
      <c r="A144" s="50">
        <f t="shared" si="9"/>
        <v>137</v>
      </c>
      <c r="B144" s="51" t="str">
        <f t="shared" si="2"/>
        <v>Chilli 🌶️ Killer ☠️ #137 | R9 - C21</v>
      </c>
      <c r="C144" s="52">
        <v>9.0</v>
      </c>
      <c r="D144" s="52">
        <v>21.0</v>
      </c>
      <c r="E144" s="53">
        <v>48.1623481</v>
      </c>
      <c r="F144" s="53">
        <v>17.14673043</v>
      </c>
      <c r="G144" s="54" t="s">
        <v>42</v>
      </c>
      <c r="H144" s="55" t="str">
        <f t="shared" si="12"/>
        <v>Charonovci</v>
      </c>
      <c r="I144" s="56" t="s">
        <v>174</v>
      </c>
      <c r="J144" s="57"/>
      <c r="K144" s="58" t="b">
        <v>1</v>
      </c>
      <c r="L144" s="59">
        <f t="shared" si="13"/>
        <v>0</v>
      </c>
      <c r="M144" s="59">
        <f t="shared" si="14"/>
        <v>0</v>
      </c>
      <c r="N144" s="59">
        <f t="shared" si="15"/>
        <v>0</v>
      </c>
      <c r="O144" s="60" t="str">
        <f t="shared" si="16"/>
        <v/>
      </c>
      <c r="P144" s="61" t="str">
        <f>IFERROR(__xludf.DUMMYFUNCTION("IF($N144=1,IFERROR(IMPORTXML($I144, ""//p[@class='status-date']""), ""Not Loading""),"""")"),"")</f>
        <v/>
      </c>
      <c r="Q144" s="65"/>
      <c r="R144" s="65"/>
      <c r="S144" s="65"/>
      <c r="T144" s="65"/>
      <c r="U144" s="62" t="str">
        <f t="shared" si="8"/>
        <v>Charonovci</v>
      </c>
      <c r="V144" s="63">
        <f>IFERROR(__xludf.DUMMYFUNCTION("iferror(VALUE(left(index(IMPORTXML(I146, ""//div[@class='col-lg-2 user-stat stat-green']""),2,1),len(index(IMPORTXML(I146, ""//div[@class='col-lg-2 user-stat stat-green']""),2,1))-8)),0)"),0.0)</f>
        <v>0</v>
      </c>
    </row>
    <row r="145" ht="15.0" customHeight="1">
      <c r="A145" s="50">
        <f t="shared" si="9"/>
        <v>138</v>
      </c>
      <c r="B145" s="51" t="str">
        <f t="shared" si="2"/>
        <v>Chilli 🌶️ Killer ☠️ #138 | R9 - C22</v>
      </c>
      <c r="C145" s="52">
        <v>9.0</v>
      </c>
      <c r="D145" s="52">
        <v>22.0</v>
      </c>
      <c r="E145" s="53">
        <v>48.1623481</v>
      </c>
      <c r="F145" s="53">
        <v>17.14694591</v>
      </c>
      <c r="G145" s="54" t="s">
        <v>42</v>
      </c>
      <c r="H145" s="55" t="str">
        <f t="shared" si="12"/>
        <v>MacickaLizza</v>
      </c>
      <c r="I145" s="56" t="s">
        <v>175</v>
      </c>
      <c r="J145" s="57"/>
      <c r="K145" s="58" t="b">
        <v>1</v>
      </c>
      <c r="L145" s="59">
        <f t="shared" si="13"/>
        <v>0</v>
      </c>
      <c r="M145" s="59">
        <f t="shared" si="14"/>
        <v>0</v>
      </c>
      <c r="N145" s="59">
        <f t="shared" si="15"/>
        <v>0</v>
      </c>
      <c r="O145" s="60" t="str">
        <f t="shared" si="16"/>
        <v/>
      </c>
      <c r="P145" s="61" t="str">
        <f>IFERROR(__xludf.DUMMYFUNCTION("IF($N145=1,IFERROR(IMPORTXML($I145, ""//p[@class='status-date']""), ""Not Loading""),"""")"),"")</f>
        <v/>
      </c>
      <c r="Q145" s="64"/>
      <c r="R145" s="64"/>
      <c r="S145" s="64"/>
      <c r="T145" s="64"/>
      <c r="U145" s="62" t="str">
        <f t="shared" si="8"/>
        <v>MacickaLizza</v>
      </c>
      <c r="V145" s="63">
        <f>IFERROR(__xludf.DUMMYFUNCTION("iferror(VALUE(left(index(IMPORTXML(I147, ""//div[@class='col-lg-2 user-stat stat-green']""),2,1),len(index(IMPORTXML(I147, ""//div[@class='col-lg-2 user-stat stat-green']""),2,1))-8)),0)"),0.0)</f>
        <v>0</v>
      </c>
    </row>
    <row r="146" ht="15.0" customHeight="1">
      <c r="A146" s="50">
        <f t="shared" si="9"/>
        <v>139</v>
      </c>
      <c r="B146" s="51" t="str">
        <f t="shared" si="2"/>
        <v>Chilli 🌶️ Killer ☠️ #139 | R9 - C23</v>
      </c>
      <c r="C146" s="52">
        <v>9.0</v>
      </c>
      <c r="D146" s="52">
        <v>23.0</v>
      </c>
      <c r="E146" s="53">
        <v>48.1623481</v>
      </c>
      <c r="F146" s="53">
        <v>17.14716139</v>
      </c>
      <c r="G146" s="54" t="s">
        <v>42</v>
      </c>
      <c r="H146" s="55" t="str">
        <f t="shared" si="12"/>
        <v>EeveeFox</v>
      </c>
      <c r="I146" s="56" t="s">
        <v>176</v>
      </c>
      <c r="J146" s="57"/>
      <c r="K146" s="58" t="b">
        <v>1</v>
      </c>
      <c r="L146" s="59">
        <f t="shared" si="13"/>
        <v>0</v>
      </c>
      <c r="M146" s="59">
        <f t="shared" si="14"/>
        <v>0</v>
      </c>
      <c r="N146" s="59">
        <f t="shared" si="15"/>
        <v>0</v>
      </c>
      <c r="O146" s="60" t="str">
        <f t="shared" si="16"/>
        <v/>
      </c>
      <c r="P146" s="61" t="str">
        <f>IFERROR(__xludf.DUMMYFUNCTION("IF($N146=1,IFERROR(IMPORTXML($I146, ""//p[@class='status-date']""), ""Not Loading""),"""")"),"")</f>
        <v/>
      </c>
      <c r="Q146" s="65"/>
      <c r="R146" s="65"/>
      <c r="S146" s="65"/>
      <c r="T146" s="65"/>
      <c r="U146" s="62" t="str">
        <f t="shared" si="8"/>
        <v>EeveeFox</v>
      </c>
      <c r="V146" s="63">
        <f>IFERROR(__xludf.DUMMYFUNCTION("iferror(VALUE(left(index(IMPORTXML(I148, ""//div[@class='col-lg-2 user-stat stat-green']""),2,1),len(index(IMPORTXML(I148, ""//div[@class='col-lg-2 user-stat stat-green']""),2,1))-8)),0)"),0.0)</f>
        <v>0</v>
      </c>
    </row>
    <row r="147" ht="15.0" customHeight="1">
      <c r="A147" s="50">
        <f t="shared" si="9"/>
        <v>140</v>
      </c>
      <c r="B147" s="51" t="str">
        <f t="shared" si="2"/>
        <v>Chilli 🌶️ Killer ☠️ #140 | R9 - C24</v>
      </c>
      <c r="C147" s="52">
        <v>9.0</v>
      </c>
      <c r="D147" s="52">
        <v>24.0</v>
      </c>
      <c r="E147" s="53">
        <v>48.1623481</v>
      </c>
      <c r="F147" s="53">
        <v>17.14737687</v>
      </c>
      <c r="G147" s="54" t="s">
        <v>42</v>
      </c>
      <c r="H147" s="55" t="str">
        <f t="shared" si="12"/>
        <v>Charonovci</v>
      </c>
      <c r="I147" s="56" t="s">
        <v>177</v>
      </c>
      <c r="J147" s="57"/>
      <c r="K147" s="58" t="b">
        <v>1</v>
      </c>
      <c r="L147" s="59">
        <f t="shared" si="13"/>
        <v>0</v>
      </c>
      <c r="M147" s="59">
        <f t="shared" si="14"/>
        <v>0</v>
      </c>
      <c r="N147" s="59">
        <f t="shared" si="15"/>
        <v>0</v>
      </c>
      <c r="O147" s="60" t="str">
        <f t="shared" si="16"/>
        <v/>
      </c>
      <c r="P147" s="61" t="str">
        <f>IFERROR(__xludf.DUMMYFUNCTION("IF($N147=1,IFERROR(IMPORTXML($I147, ""//p[@class='status-date']""), ""Not Loading""),"""")"),"")</f>
        <v/>
      </c>
      <c r="Q147" s="64"/>
      <c r="R147" s="64"/>
      <c r="S147" s="64"/>
      <c r="T147" s="64"/>
      <c r="U147" s="62" t="str">
        <f t="shared" si="8"/>
        <v>Charonovci</v>
      </c>
      <c r="V147" s="63">
        <f>IFERROR(__xludf.DUMMYFUNCTION("iferror(VALUE(left(index(IMPORTXML(I149, ""//div[@class='col-lg-2 user-stat stat-green']""),2,1),len(index(IMPORTXML(I149, ""//div[@class='col-lg-2 user-stat stat-green']""),2,1))-8)),0)"),0.0)</f>
        <v>0</v>
      </c>
    </row>
    <row r="148" ht="15.0" customHeight="1">
      <c r="A148" s="50">
        <f t="shared" si="9"/>
        <v>141</v>
      </c>
      <c r="B148" s="51" t="str">
        <f t="shared" si="2"/>
        <v>Chilli 🌶️ Killer ☠️ #141 | R9 - C25</v>
      </c>
      <c r="C148" s="52">
        <v>9.0</v>
      </c>
      <c r="D148" s="52">
        <v>25.0</v>
      </c>
      <c r="E148" s="53">
        <v>48.1623481</v>
      </c>
      <c r="F148" s="53">
        <v>17.14759235</v>
      </c>
      <c r="G148" s="54" t="s">
        <v>42</v>
      </c>
      <c r="H148" s="55" t="str">
        <f t="shared" si="12"/>
        <v>MacickaLizza</v>
      </c>
      <c r="I148" s="56" t="s">
        <v>178</v>
      </c>
      <c r="J148" s="57"/>
      <c r="K148" s="58" t="b">
        <v>1</v>
      </c>
      <c r="L148" s="59">
        <f t="shared" si="13"/>
        <v>0</v>
      </c>
      <c r="M148" s="59">
        <f t="shared" si="14"/>
        <v>0</v>
      </c>
      <c r="N148" s="59">
        <f t="shared" si="15"/>
        <v>0</v>
      </c>
      <c r="O148" s="60" t="str">
        <f t="shared" si="16"/>
        <v/>
      </c>
      <c r="P148" s="61" t="str">
        <f>IFERROR(__xludf.DUMMYFUNCTION("IF($N148=1,IFERROR(IMPORTXML($I148, ""//p[@class='status-date']""), ""Not Loading""),"""")"),"")</f>
        <v/>
      </c>
      <c r="Q148" s="65"/>
      <c r="R148" s="65"/>
      <c r="S148" s="65"/>
      <c r="T148" s="65"/>
      <c r="U148" s="62" t="str">
        <f t="shared" si="8"/>
        <v>MacickaLizza</v>
      </c>
      <c r="V148" s="63">
        <f>IFERROR(__xludf.DUMMYFUNCTION("iferror(VALUE(left(index(IMPORTXML(I150, ""//div[@class='col-lg-2 user-stat stat-green']""),2,1),len(index(IMPORTXML(I150, ""//div[@class='col-lg-2 user-stat stat-green']""),2,1))-8)),0)"),0.0)</f>
        <v>0</v>
      </c>
    </row>
    <row r="149" ht="15.0" customHeight="1">
      <c r="A149" s="50">
        <f t="shared" si="9"/>
        <v>142</v>
      </c>
      <c r="B149" s="51" t="str">
        <f t="shared" si="2"/>
        <v>Chilli 🌶️ Killer ☠️ #142 | R9 - C26</v>
      </c>
      <c r="C149" s="52">
        <v>9.0</v>
      </c>
      <c r="D149" s="52">
        <v>26.0</v>
      </c>
      <c r="E149" s="53">
        <v>48.1623481</v>
      </c>
      <c r="F149" s="53">
        <v>17.14780783</v>
      </c>
      <c r="G149" s="54" t="s">
        <v>42</v>
      </c>
      <c r="H149" s="55" t="str">
        <f t="shared" si="12"/>
        <v>EeveeFox</v>
      </c>
      <c r="I149" s="56" t="s">
        <v>179</v>
      </c>
      <c r="J149" s="57"/>
      <c r="K149" s="58" t="b">
        <v>1</v>
      </c>
      <c r="L149" s="59">
        <f t="shared" si="13"/>
        <v>0</v>
      </c>
      <c r="M149" s="59">
        <f t="shared" si="14"/>
        <v>0</v>
      </c>
      <c r="N149" s="59">
        <f t="shared" si="15"/>
        <v>0</v>
      </c>
      <c r="O149" s="60" t="str">
        <f t="shared" si="16"/>
        <v/>
      </c>
      <c r="P149" s="61" t="str">
        <f>IFERROR(__xludf.DUMMYFUNCTION("IF($N149=1,IFERROR(IMPORTXML($I149, ""//p[@class='status-date']""), ""Not Loading""),"""")"),"")</f>
        <v/>
      </c>
      <c r="Q149" s="64"/>
      <c r="R149" s="64"/>
      <c r="S149" s="64"/>
      <c r="T149" s="64"/>
      <c r="U149" s="62" t="str">
        <f t="shared" si="8"/>
        <v>EeveeFox</v>
      </c>
      <c r="V149" s="63">
        <f>IFERROR(__xludf.DUMMYFUNCTION("iferror(VALUE(left(index(IMPORTXML(I151, ""//div[@class='col-lg-2 user-stat stat-green']""),2,1),len(index(IMPORTXML(I151, ""//div[@class='col-lg-2 user-stat stat-green']""),2,1))-8)),0)"),0.0)</f>
        <v>0</v>
      </c>
    </row>
    <row r="150" ht="15.0" customHeight="1">
      <c r="A150" s="50">
        <f t="shared" si="9"/>
        <v>143</v>
      </c>
      <c r="B150" s="51" t="str">
        <f t="shared" si="2"/>
        <v>Chilli 🌶️ Killer ☠️ #143 | R9 - C27</v>
      </c>
      <c r="C150" s="52">
        <v>9.0</v>
      </c>
      <c r="D150" s="52">
        <v>27.0</v>
      </c>
      <c r="E150" s="53">
        <v>48.1623481</v>
      </c>
      <c r="F150" s="53">
        <v>17.14802331</v>
      </c>
      <c r="G150" s="54" t="s">
        <v>42</v>
      </c>
      <c r="H150" s="55" t="str">
        <f t="shared" si="12"/>
        <v>mathew611</v>
      </c>
      <c r="I150" s="56" t="s">
        <v>180</v>
      </c>
      <c r="J150" s="57"/>
      <c r="K150" s="58" t="b">
        <v>1</v>
      </c>
      <c r="L150" s="59">
        <f t="shared" si="13"/>
        <v>0</v>
      </c>
      <c r="M150" s="59">
        <f t="shared" si="14"/>
        <v>0</v>
      </c>
      <c r="N150" s="59">
        <f t="shared" si="15"/>
        <v>0</v>
      </c>
      <c r="O150" s="60" t="str">
        <f t="shared" si="16"/>
        <v/>
      </c>
      <c r="P150" s="61" t="str">
        <f>IFERROR(__xludf.DUMMYFUNCTION("IF($N150=1,IFERROR(IMPORTXML($I150, ""//p[@class='status-date']""), ""Not Loading""),"""")"),"")</f>
        <v/>
      </c>
      <c r="Q150" s="65"/>
      <c r="R150" s="65"/>
      <c r="S150" s="65"/>
      <c r="T150" s="65"/>
      <c r="U150" s="62" t="str">
        <f t="shared" si="8"/>
        <v>mathew611</v>
      </c>
      <c r="V150" s="63">
        <f>IFERROR(__xludf.DUMMYFUNCTION("iferror(VALUE(left(index(IMPORTXML(I152, ""//div[@class='col-lg-2 user-stat stat-green']""),2,1),len(index(IMPORTXML(I152, ""//div[@class='col-lg-2 user-stat stat-green']""),2,1))-8)),0)"),0.0)</f>
        <v>0</v>
      </c>
    </row>
    <row r="151" ht="15.0" customHeight="1">
      <c r="A151" s="50">
        <f t="shared" si="9"/>
        <v>144</v>
      </c>
      <c r="B151" s="51" t="str">
        <f t="shared" si="2"/>
        <v>Chilli 🌶️ Killer ☠️ #144 | R9 - C28</v>
      </c>
      <c r="C151" s="52">
        <v>9.0</v>
      </c>
      <c r="D151" s="52">
        <v>28.0</v>
      </c>
      <c r="E151" s="53">
        <v>48.1623481</v>
      </c>
      <c r="F151" s="53">
        <v>17.14823879</v>
      </c>
      <c r="G151" s="54" t="s">
        <v>42</v>
      </c>
      <c r="H151" s="55" t="str">
        <f t="shared" si="12"/>
        <v>Charonovci</v>
      </c>
      <c r="I151" s="56" t="s">
        <v>181</v>
      </c>
      <c r="J151" s="57"/>
      <c r="K151" s="58" t="b">
        <v>1</v>
      </c>
      <c r="L151" s="59">
        <f t="shared" si="13"/>
        <v>0</v>
      </c>
      <c r="M151" s="59">
        <f t="shared" si="14"/>
        <v>0</v>
      </c>
      <c r="N151" s="59">
        <f t="shared" si="15"/>
        <v>0</v>
      </c>
      <c r="O151" s="60" t="str">
        <f t="shared" si="16"/>
        <v/>
      </c>
      <c r="P151" s="61" t="str">
        <f>IFERROR(__xludf.DUMMYFUNCTION("IF($N151=1,IFERROR(IMPORTXML($I151, ""//p[@class='status-date']""), ""Not Loading""),"""")"),"")</f>
        <v/>
      </c>
      <c r="Q151" s="64"/>
      <c r="R151" s="64"/>
      <c r="S151" s="64"/>
      <c r="T151" s="64"/>
      <c r="U151" s="62" t="str">
        <f t="shared" si="8"/>
        <v>Charonovci</v>
      </c>
      <c r="V151" s="63">
        <f>IFERROR(__xludf.DUMMYFUNCTION("iferror(VALUE(left(index(IMPORTXML(I153, ""//div[@class='col-lg-2 user-stat stat-green']""),2,1),len(index(IMPORTXML(I153, ""//div[@class='col-lg-2 user-stat stat-green']""),2,1))-8)),0)"),0.0)</f>
        <v>0</v>
      </c>
    </row>
    <row r="152" ht="15.0" customHeight="1">
      <c r="A152" s="50">
        <f t="shared" si="9"/>
        <v>145</v>
      </c>
      <c r="B152" s="51" t="str">
        <f t="shared" si="2"/>
        <v>Chilli 🌶️ Killer ☠️ #145 | R9 - C29</v>
      </c>
      <c r="C152" s="52">
        <v>9.0</v>
      </c>
      <c r="D152" s="52">
        <v>29.0</v>
      </c>
      <c r="E152" s="53">
        <v>48.1623481</v>
      </c>
      <c r="F152" s="53">
        <v>17.14845427</v>
      </c>
      <c r="G152" s="54" t="s">
        <v>73</v>
      </c>
      <c r="H152" s="55" t="str">
        <f t="shared" si="12"/>
        <v>jurikvandspol</v>
      </c>
      <c r="I152" s="56" t="s">
        <v>182</v>
      </c>
      <c r="J152" s="57"/>
      <c r="K152" s="58" t="b">
        <v>1</v>
      </c>
      <c r="L152" s="59">
        <f t="shared" si="13"/>
        <v>0</v>
      </c>
      <c r="M152" s="59">
        <f t="shared" si="14"/>
        <v>0</v>
      </c>
      <c r="N152" s="59">
        <f t="shared" si="15"/>
        <v>0</v>
      </c>
      <c r="O152" s="60" t="str">
        <f t="shared" si="16"/>
        <v/>
      </c>
      <c r="P152" s="61" t="str">
        <f>IFERROR(__xludf.DUMMYFUNCTION("IF($N152=1,IFERROR(IMPORTXML($I152, ""//p[@class='status-date']""), ""Not Loading""),"""")"),"")</f>
        <v/>
      </c>
      <c r="Q152" s="65"/>
      <c r="R152" s="65"/>
      <c r="S152" s="65"/>
      <c r="T152" s="65"/>
      <c r="U152" s="62" t="str">
        <f t="shared" si="8"/>
        <v>jurikvandspol</v>
      </c>
      <c r="V152" s="63">
        <f>IFERROR(__xludf.DUMMYFUNCTION("iferror(VALUE(left(index(IMPORTXML(I154, ""//div[@class='col-lg-2 user-stat stat-green']""),2,1),len(index(IMPORTXML(I154, ""//div[@class='col-lg-2 user-stat stat-green']""),2,1))-8)),0)"),0.0)</f>
        <v>0</v>
      </c>
    </row>
    <row r="153" ht="15.0" customHeight="1">
      <c r="A153" s="50">
        <f t="shared" si="9"/>
        <v>146</v>
      </c>
      <c r="B153" s="51" t="str">
        <f t="shared" si="2"/>
        <v>Chilli 🌶️ Killer ☠️ #146 | R9 - C30</v>
      </c>
      <c r="C153" s="52">
        <v>9.0</v>
      </c>
      <c r="D153" s="52">
        <v>30.0</v>
      </c>
      <c r="E153" s="53">
        <v>48.1623481</v>
      </c>
      <c r="F153" s="53">
        <v>17.14866975</v>
      </c>
      <c r="G153" s="54" t="s">
        <v>33</v>
      </c>
      <c r="H153" s="55" t="str">
        <f t="shared" si="12"/>
        <v>Neloras</v>
      </c>
      <c r="I153" s="56" t="s">
        <v>183</v>
      </c>
      <c r="J153" s="57"/>
      <c r="K153" s="58" t="b">
        <v>1</v>
      </c>
      <c r="L153" s="59">
        <f t="shared" si="13"/>
        <v>0</v>
      </c>
      <c r="M153" s="59">
        <f t="shared" si="14"/>
        <v>0</v>
      </c>
      <c r="N153" s="59">
        <f t="shared" si="15"/>
        <v>0</v>
      </c>
      <c r="O153" s="60" t="str">
        <f t="shared" si="16"/>
        <v/>
      </c>
      <c r="P153" s="61" t="str">
        <f>IFERROR(__xludf.DUMMYFUNCTION("IF($N153=1,IFERROR(IMPORTXML($I153, ""//p[@class='status-date']""), ""Not Loading""),"""")"),"")</f>
        <v/>
      </c>
      <c r="Q153" s="64"/>
      <c r="R153" s="64"/>
      <c r="S153" s="64"/>
      <c r="T153" s="64"/>
      <c r="U153" s="62" t="str">
        <f t="shared" si="8"/>
        <v>Neloras</v>
      </c>
      <c r="V153" s="63">
        <f>IFERROR(__xludf.DUMMYFUNCTION("iferror(VALUE(left(index(IMPORTXML(I155, ""//div[@class='col-lg-2 user-stat stat-green']""),2,1),len(index(IMPORTXML(I155, ""//div[@class='col-lg-2 user-stat stat-green']""),2,1))-8)),0)"),0.0)</f>
        <v>0</v>
      </c>
    </row>
    <row r="154" ht="15.0" customHeight="1">
      <c r="A154" s="50">
        <f t="shared" si="9"/>
        <v>147</v>
      </c>
      <c r="B154" s="51" t="str">
        <f t="shared" si="2"/>
        <v>Chilli 🌶️ Killer ☠️ #147 | R9 - C34</v>
      </c>
      <c r="C154" s="52">
        <v>9.0</v>
      </c>
      <c r="D154" s="52">
        <v>34.0</v>
      </c>
      <c r="E154" s="53">
        <v>48.1623481</v>
      </c>
      <c r="F154" s="53">
        <v>17.14953168</v>
      </c>
      <c r="G154" s="54" t="s">
        <v>33</v>
      </c>
      <c r="H154" s="55" t="str">
        <f t="shared" si="12"/>
        <v>Ganesia</v>
      </c>
      <c r="I154" s="56" t="s">
        <v>184</v>
      </c>
      <c r="J154" s="57"/>
      <c r="K154" s="58" t="b">
        <v>1</v>
      </c>
      <c r="L154" s="59">
        <f t="shared" si="13"/>
        <v>0</v>
      </c>
      <c r="M154" s="59">
        <f t="shared" si="14"/>
        <v>0</v>
      </c>
      <c r="N154" s="59">
        <f t="shared" si="15"/>
        <v>0</v>
      </c>
      <c r="O154" s="60" t="str">
        <f t="shared" si="16"/>
        <v/>
      </c>
      <c r="P154" s="61" t="str">
        <f>IFERROR(__xludf.DUMMYFUNCTION("IF($N154=1,IFERROR(IMPORTXML($I154, ""//p[@class='status-date']""), ""Not Loading""),"""")"),"")</f>
        <v/>
      </c>
      <c r="Q154" s="65"/>
      <c r="R154" s="65"/>
      <c r="S154" s="65"/>
      <c r="T154" s="65"/>
      <c r="U154" s="62" t="str">
        <f t="shared" si="8"/>
        <v>Ganesia</v>
      </c>
      <c r="V154" s="63">
        <f>IFERROR(__xludf.DUMMYFUNCTION("iferror(VALUE(left(index(IMPORTXML(I156, ""//div[@class='col-lg-2 user-stat stat-green']""),2,1),len(index(IMPORTXML(I156, ""//div[@class='col-lg-2 user-stat stat-green']""),2,1))-8)),0)"),0.0)</f>
        <v>0</v>
      </c>
    </row>
    <row r="155" ht="15.0" customHeight="1">
      <c r="A155" s="50">
        <f t="shared" si="9"/>
        <v>148</v>
      </c>
      <c r="B155" s="51" t="str">
        <f t="shared" si="2"/>
        <v>Chilli 🌶️ Killer ☠️ #148 | R9 - C35</v>
      </c>
      <c r="C155" s="52">
        <v>9.0</v>
      </c>
      <c r="D155" s="52">
        <v>35.0</v>
      </c>
      <c r="E155" s="53">
        <v>48.1623481</v>
      </c>
      <c r="F155" s="53">
        <v>17.14974716</v>
      </c>
      <c r="G155" s="54" t="s">
        <v>73</v>
      </c>
      <c r="H155" s="55" t="str">
        <f t="shared" si="12"/>
        <v>Lorax1</v>
      </c>
      <c r="I155" s="56" t="s">
        <v>185</v>
      </c>
      <c r="J155" s="57"/>
      <c r="K155" s="58" t="b">
        <v>1</v>
      </c>
      <c r="L155" s="59">
        <f t="shared" si="13"/>
        <v>0</v>
      </c>
      <c r="M155" s="59">
        <f t="shared" si="14"/>
        <v>0</v>
      </c>
      <c r="N155" s="59">
        <f t="shared" si="15"/>
        <v>0</v>
      </c>
      <c r="O155" s="60" t="str">
        <f t="shared" si="16"/>
        <v/>
      </c>
      <c r="P155" s="61" t="str">
        <f>IFERROR(__xludf.DUMMYFUNCTION("IF($N155=1,IFERROR(IMPORTXML($I155, ""//p[@class='status-date']""), ""Not Loading""),"""")"),"")</f>
        <v/>
      </c>
      <c r="Q155" s="64"/>
      <c r="R155" s="64"/>
      <c r="S155" s="64"/>
      <c r="T155" s="64"/>
      <c r="U155" s="62" t="str">
        <f t="shared" si="8"/>
        <v>Lorax1</v>
      </c>
      <c r="V155" s="63">
        <f>IFERROR(__xludf.DUMMYFUNCTION("iferror(VALUE(left(index(IMPORTXML(I157, ""//div[@class='col-lg-2 user-stat stat-green']""),2,1),len(index(IMPORTXML(I157, ""//div[@class='col-lg-2 user-stat stat-green']""),2,1))-8)),0)"),0.0)</f>
        <v>0</v>
      </c>
    </row>
    <row r="156" ht="15.0" customHeight="1">
      <c r="A156" s="50">
        <f t="shared" si="9"/>
        <v>149</v>
      </c>
      <c r="B156" s="51" t="str">
        <f t="shared" si="2"/>
        <v>Chilli 🌶️ Killer ☠️ #149 | R9 - C36</v>
      </c>
      <c r="C156" s="52">
        <v>9.0</v>
      </c>
      <c r="D156" s="52">
        <v>36.0</v>
      </c>
      <c r="E156" s="53">
        <v>48.1623481</v>
      </c>
      <c r="F156" s="53">
        <v>17.14996264</v>
      </c>
      <c r="G156" s="54" t="s">
        <v>111</v>
      </c>
      <c r="H156" s="55" t="str">
        <f t="shared" si="12"/>
        <v>EagleDadandXenia</v>
      </c>
      <c r="I156" s="56" t="s">
        <v>186</v>
      </c>
      <c r="J156" s="57"/>
      <c r="K156" s="58" t="b">
        <v>1</v>
      </c>
      <c r="L156" s="59">
        <f t="shared" si="13"/>
        <v>0</v>
      </c>
      <c r="M156" s="59">
        <f t="shared" si="14"/>
        <v>0</v>
      </c>
      <c r="N156" s="59">
        <f t="shared" si="15"/>
        <v>0</v>
      </c>
      <c r="O156" s="60" t="str">
        <f t="shared" si="16"/>
        <v/>
      </c>
      <c r="P156" s="61" t="str">
        <f>IFERROR(__xludf.DUMMYFUNCTION("IF($N156=1,IFERROR(IMPORTXML($I156, ""//p[@class='status-date']""), ""Not Loading""),"""")"),"")</f>
        <v/>
      </c>
      <c r="Q156" s="65"/>
      <c r="R156" s="65"/>
      <c r="S156" s="65"/>
      <c r="T156" s="65"/>
      <c r="U156" s="62" t="str">
        <f t="shared" si="8"/>
        <v>EagleDadandXenia</v>
      </c>
      <c r="V156" s="63">
        <f>IFERROR(__xludf.DUMMYFUNCTION("iferror(VALUE(left(index(IMPORTXML(I158, ""//div[@class='col-lg-2 user-stat stat-green']""),2,1),len(index(IMPORTXML(I158, ""//div[@class='col-lg-2 user-stat stat-green']""),2,1))-8)),0)"),0.0)</f>
        <v>0</v>
      </c>
    </row>
    <row r="157" ht="15.0" customHeight="1">
      <c r="A157" s="50">
        <f t="shared" si="9"/>
        <v>150</v>
      </c>
      <c r="B157" s="51" t="str">
        <f t="shared" si="2"/>
        <v>Chilli 🌶️ Killer ☠️ #150 | R9 - C37</v>
      </c>
      <c r="C157" s="52">
        <v>9.0</v>
      </c>
      <c r="D157" s="52">
        <v>37.0</v>
      </c>
      <c r="E157" s="53">
        <v>48.1623481</v>
      </c>
      <c r="F157" s="53">
        <v>17.15017812</v>
      </c>
      <c r="G157" s="54" t="s">
        <v>33</v>
      </c>
      <c r="H157" s="55" t="str">
        <f t="shared" si="12"/>
        <v>Kapor24</v>
      </c>
      <c r="I157" s="56" t="s">
        <v>187</v>
      </c>
      <c r="J157" s="57"/>
      <c r="K157" s="58" t="b">
        <v>1</v>
      </c>
      <c r="L157" s="59">
        <f t="shared" si="13"/>
        <v>0</v>
      </c>
      <c r="M157" s="59">
        <f t="shared" si="14"/>
        <v>0</v>
      </c>
      <c r="N157" s="59">
        <f t="shared" si="15"/>
        <v>0</v>
      </c>
      <c r="O157" s="60" t="str">
        <f t="shared" si="16"/>
        <v/>
      </c>
      <c r="P157" s="61" t="str">
        <f>IFERROR(__xludf.DUMMYFUNCTION("IF($N157=1,IFERROR(IMPORTXML($I157, ""//p[@class='status-date']""), ""Not Loading""),"""")"),"")</f>
        <v/>
      </c>
      <c r="Q157" s="64"/>
      <c r="R157" s="64"/>
      <c r="S157" s="64"/>
      <c r="T157" s="64"/>
      <c r="U157" s="62" t="str">
        <f t="shared" si="8"/>
        <v>Kapor24</v>
      </c>
      <c r="V157" s="63">
        <f>IFERROR(__xludf.DUMMYFUNCTION("iferror(VALUE(left(index(IMPORTXML(I159, ""//div[@class='col-lg-2 user-stat stat-green']""),2,1),len(index(IMPORTXML(I159, ""//div[@class='col-lg-2 user-stat stat-green']""),2,1))-8)),0)"),0.0)</f>
        <v>0</v>
      </c>
    </row>
    <row r="158" ht="15.0" customHeight="1">
      <c r="A158" s="50">
        <f t="shared" si="9"/>
        <v>151</v>
      </c>
      <c r="B158" s="51" t="str">
        <f t="shared" si="2"/>
        <v>Chilli 🌶️ Killer ☠️ #151 | R10 - C11</v>
      </c>
      <c r="C158" s="52">
        <v>10.0</v>
      </c>
      <c r="D158" s="52">
        <v>11.0</v>
      </c>
      <c r="E158" s="53">
        <v>48.16222363</v>
      </c>
      <c r="F158" s="53">
        <v>17.14468335</v>
      </c>
      <c r="G158" s="54" t="s">
        <v>33</v>
      </c>
      <c r="H158" s="55" t="str">
        <f t="shared" si="12"/>
        <v>Redsixmix</v>
      </c>
      <c r="I158" s="56" t="s">
        <v>188</v>
      </c>
      <c r="J158" s="57"/>
      <c r="K158" s="58" t="b">
        <v>1</v>
      </c>
      <c r="L158" s="59">
        <f t="shared" si="13"/>
        <v>0</v>
      </c>
      <c r="M158" s="59">
        <f t="shared" si="14"/>
        <v>0</v>
      </c>
      <c r="N158" s="59">
        <f t="shared" si="15"/>
        <v>0</v>
      </c>
      <c r="O158" s="60" t="str">
        <f t="shared" si="16"/>
        <v/>
      </c>
      <c r="P158" s="61" t="str">
        <f>IFERROR(__xludf.DUMMYFUNCTION("IF($N158=1,IFERROR(IMPORTXML($I158, ""//p[@class='status-date']""), ""Not Loading""),"""")"),"")</f>
        <v/>
      </c>
      <c r="Q158" s="65"/>
      <c r="R158" s="65"/>
      <c r="S158" s="65"/>
      <c r="T158" s="65"/>
      <c r="U158" s="62" t="str">
        <f t="shared" si="8"/>
        <v>Redsixmix</v>
      </c>
      <c r="V158" s="63">
        <f>IFERROR(__xludf.DUMMYFUNCTION("iferror(VALUE(left(index(IMPORTXML(I160, ""//div[@class='col-lg-2 user-stat stat-green']""),2,1),len(index(IMPORTXML(I160, ""//div[@class='col-lg-2 user-stat stat-green']""),2,1))-8)),0)"),0.0)</f>
        <v>0</v>
      </c>
    </row>
    <row r="159" ht="15.0" customHeight="1">
      <c r="A159" s="50">
        <f t="shared" si="9"/>
        <v>152</v>
      </c>
      <c r="B159" s="51" t="str">
        <f t="shared" si="2"/>
        <v>Chilli 🌶️ Killer ☠️ #152 | R10 - C12</v>
      </c>
      <c r="C159" s="52">
        <v>10.0</v>
      </c>
      <c r="D159" s="52">
        <v>12.0</v>
      </c>
      <c r="E159" s="53">
        <v>48.16222363</v>
      </c>
      <c r="F159" s="53">
        <v>17.14489883</v>
      </c>
      <c r="G159" s="54" t="s">
        <v>42</v>
      </c>
      <c r="H159" s="55" t="str">
        <f t="shared" si="12"/>
        <v>rita85gto</v>
      </c>
      <c r="I159" s="56" t="s">
        <v>189</v>
      </c>
      <c r="J159" s="57"/>
      <c r="K159" s="58" t="b">
        <v>1</v>
      </c>
      <c r="L159" s="59">
        <f t="shared" si="13"/>
        <v>0</v>
      </c>
      <c r="M159" s="59">
        <f t="shared" si="14"/>
        <v>0</v>
      </c>
      <c r="N159" s="59">
        <f t="shared" si="15"/>
        <v>0</v>
      </c>
      <c r="O159" s="60" t="str">
        <f t="shared" si="16"/>
        <v/>
      </c>
      <c r="P159" s="61" t="str">
        <f>IFERROR(__xludf.DUMMYFUNCTION("IF($N159=1,IFERROR(IMPORTXML($I159, ""//p[@class='status-date']""), ""Not Loading""),"""")"),"")</f>
        <v/>
      </c>
      <c r="Q159" s="64"/>
      <c r="R159" s="64"/>
      <c r="S159" s="64"/>
      <c r="T159" s="64"/>
      <c r="U159" s="62" t="str">
        <f t="shared" si="8"/>
        <v>rita85gto</v>
      </c>
      <c r="V159" s="63">
        <f>IFERROR(__xludf.DUMMYFUNCTION("iferror(VALUE(left(index(IMPORTXML(I161, ""//div[@class='col-lg-2 user-stat stat-green']""),2,1),len(index(IMPORTXML(I161, ""//div[@class='col-lg-2 user-stat stat-green']""),2,1))-8)),0)"),0.0)</f>
        <v>0</v>
      </c>
    </row>
    <row r="160" ht="15.0" customHeight="1">
      <c r="A160" s="50">
        <f t="shared" si="9"/>
        <v>153</v>
      </c>
      <c r="B160" s="51" t="str">
        <f t="shared" si="2"/>
        <v>Chilli 🌶️ Killer ☠️ #153 | R10 - C13</v>
      </c>
      <c r="C160" s="52">
        <v>10.0</v>
      </c>
      <c r="D160" s="52">
        <v>13.0</v>
      </c>
      <c r="E160" s="53">
        <v>48.16222363</v>
      </c>
      <c r="F160" s="53">
        <v>17.14511431</v>
      </c>
      <c r="G160" s="54" t="s">
        <v>42</v>
      </c>
      <c r="H160" s="55" t="str">
        <f t="shared" si="12"/>
        <v>Neloras</v>
      </c>
      <c r="I160" s="56" t="s">
        <v>190</v>
      </c>
      <c r="J160" s="57"/>
      <c r="K160" s="58" t="b">
        <v>1</v>
      </c>
      <c r="L160" s="59">
        <f t="shared" si="13"/>
        <v>0</v>
      </c>
      <c r="M160" s="59">
        <f t="shared" si="14"/>
        <v>0</v>
      </c>
      <c r="N160" s="59">
        <f t="shared" si="15"/>
        <v>0</v>
      </c>
      <c r="O160" s="60" t="str">
        <f t="shared" si="16"/>
        <v/>
      </c>
      <c r="P160" s="61" t="str">
        <f>IFERROR(__xludf.DUMMYFUNCTION("IF($N160=1,IFERROR(IMPORTXML($I160, ""//p[@class='status-date']""), ""Not Loading""),"""")"),"")</f>
        <v/>
      </c>
      <c r="Q160" s="65"/>
      <c r="R160" s="65"/>
      <c r="S160" s="65"/>
      <c r="T160" s="65"/>
      <c r="U160" s="62" t="str">
        <f t="shared" si="8"/>
        <v>Neloras</v>
      </c>
      <c r="V160" s="63">
        <f>IFERROR(__xludf.DUMMYFUNCTION("iferror(VALUE(left(index(IMPORTXML(I162, ""//div[@class='col-lg-2 user-stat stat-green']""),2,1),len(index(IMPORTXML(I162, ""//div[@class='col-lg-2 user-stat stat-green']""),2,1))-8)),0)"),0.0)</f>
        <v>0</v>
      </c>
    </row>
    <row r="161" ht="15.0" customHeight="1">
      <c r="A161" s="50">
        <f t="shared" si="9"/>
        <v>154</v>
      </c>
      <c r="B161" s="51" t="str">
        <f t="shared" si="2"/>
        <v>Chilli 🌶️ Killer ☠️ #154 | R10 - C14</v>
      </c>
      <c r="C161" s="52">
        <v>10.0</v>
      </c>
      <c r="D161" s="52">
        <v>14.0</v>
      </c>
      <c r="E161" s="53">
        <v>48.16222363</v>
      </c>
      <c r="F161" s="53">
        <v>17.14532979</v>
      </c>
      <c r="G161" s="54" t="s">
        <v>42</v>
      </c>
      <c r="H161" s="55" t="str">
        <f t="shared" si="12"/>
        <v>Rikitan</v>
      </c>
      <c r="I161" s="56" t="s">
        <v>191</v>
      </c>
      <c r="J161" s="57"/>
      <c r="K161" s="58" t="b">
        <v>1</v>
      </c>
      <c r="L161" s="59">
        <f t="shared" si="13"/>
        <v>0</v>
      </c>
      <c r="M161" s="59">
        <f t="shared" si="14"/>
        <v>0</v>
      </c>
      <c r="N161" s="59">
        <f t="shared" si="15"/>
        <v>0</v>
      </c>
      <c r="O161" s="60" t="str">
        <f t="shared" si="16"/>
        <v/>
      </c>
      <c r="P161" s="61" t="str">
        <f>IFERROR(__xludf.DUMMYFUNCTION("IF($N161=1,IFERROR(IMPORTXML($I161, ""//p[@class='status-date']""), ""Not Loading""),"""")"),"")</f>
        <v/>
      </c>
      <c r="Q161" s="64"/>
      <c r="R161" s="64"/>
      <c r="S161" s="64"/>
      <c r="T161" s="64"/>
      <c r="U161" s="62" t="str">
        <f t="shared" si="8"/>
        <v>Rikitan</v>
      </c>
      <c r="V161" s="63">
        <f>IFERROR(__xludf.DUMMYFUNCTION("iferror(VALUE(left(index(IMPORTXML(I163, ""//div[@class='col-lg-2 user-stat stat-green']""),2,1),len(index(IMPORTXML(I163, ""//div[@class='col-lg-2 user-stat stat-green']""),2,1))-8)),0)"),0.0)</f>
        <v>0</v>
      </c>
    </row>
    <row r="162" ht="15.0" customHeight="1">
      <c r="A162" s="50">
        <f t="shared" si="9"/>
        <v>155</v>
      </c>
      <c r="B162" s="51" t="str">
        <f t="shared" si="2"/>
        <v>Chilli 🌶️ Killer ☠️ #155 | R10 - C15</v>
      </c>
      <c r="C162" s="52">
        <v>10.0</v>
      </c>
      <c r="D162" s="52">
        <v>15.0</v>
      </c>
      <c r="E162" s="53">
        <v>48.16222363</v>
      </c>
      <c r="F162" s="53">
        <v>17.14554527</v>
      </c>
      <c r="G162" s="54" t="s">
        <v>42</v>
      </c>
      <c r="H162" s="55" t="str">
        <f t="shared" si="12"/>
        <v>rgforsythe</v>
      </c>
      <c r="I162" s="56" t="s">
        <v>192</v>
      </c>
      <c r="J162" s="57"/>
      <c r="K162" s="58" t="b">
        <v>1</v>
      </c>
      <c r="L162" s="59">
        <f t="shared" si="13"/>
        <v>0</v>
      </c>
      <c r="M162" s="59">
        <f t="shared" si="14"/>
        <v>0</v>
      </c>
      <c r="N162" s="59">
        <f t="shared" si="15"/>
        <v>0</v>
      </c>
      <c r="O162" s="60" t="str">
        <f t="shared" si="16"/>
        <v/>
      </c>
      <c r="P162" s="61" t="str">
        <f>IFERROR(__xludf.DUMMYFUNCTION("IF($N162=1,IFERROR(IMPORTXML($I162, ""//p[@class='status-date']""), ""Not Loading""),"""")"),"")</f>
        <v/>
      </c>
      <c r="Q162" s="65"/>
      <c r="R162" s="65"/>
      <c r="S162" s="65"/>
      <c r="T162" s="65"/>
      <c r="U162" s="62" t="str">
        <f t="shared" si="8"/>
        <v>rgforsythe</v>
      </c>
      <c r="V162" s="63">
        <f>IFERROR(__xludf.DUMMYFUNCTION("iferror(VALUE(left(index(IMPORTXML(I164, ""//div[@class='col-lg-2 user-stat stat-green']""),2,1),len(index(IMPORTXML(I164, ""//div[@class='col-lg-2 user-stat stat-green']""),2,1))-8)),0)"),0.0)</f>
        <v>0</v>
      </c>
    </row>
    <row r="163" ht="15.0" customHeight="1">
      <c r="A163" s="50">
        <f t="shared" si="9"/>
        <v>156</v>
      </c>
      <c r="B163" s="51" t="str">
        <f t="shared" si="2"/>
        <v>Chilli 🌶️ Killer ☠️ #156 | R10 - C16</v>
      </c>
      <c r="C163" s="52">
        <v>10.0</v>
      </c>
      <c r="D163" s="52">
        <v>16.0</v>
      </c>
      <c r="E163" s="53">
        <v>48.16222363</v>
      </c>
      <c r="F163" s="53">
        <v>17.14576075</v>
      </c>
      <c r="G163" s="54" t="s">
        <v>42</v>
      </c>
      <c r="H163" s="55" t="str">
        <f t="shared" si="12"/>
        <v>KarelVeliky</v>
      </c>
      <c r="I163" s="56" t="s">
        <v>193</v>
      </c>
      <c r="J163" s="57"/>
      <c r="K163" s="58" t="b">
        <v>1</v>
      </c>
      <c r="L163" s="59">
        <f t="shared" si="13"/>
        <v>0</v>
      </c>
      <c r="M163" s="59">
        <f t="shared" si="14"/>
        <v>0</v>
      </c>
      <c r="N163" s="59">
        <f t="shared" si="15"/>
        <v>0</v>
      </c>
      <c r="O163" s="60" t="str">
        <f t="shared" si="16"/>
        <v/>
      </c>
      <c r="P163" s="61" t="str">
        <f>IFERROR(__xludf.DUMMYFUNCTION("IF($N163=1,IFERROR(IMPORTXML($I163, ""//p[@class='status-date']""), ""Not Loading""),"""")"),"")</f>
        <v/>
      </c>
      <c r="Q163" s="64"/>
      <c r="R163" s="64"/>
      <c r="S163" s="64"/>
      <c r="T163" s="64"/>
      <c r="U163" s="62" t="str">
        <f t="shared" si="8"/>
        <v>KarelVeliky</v>
      </c>
      <c r="V163" s="63">
        <f>IFERROR(__xludf.DUMMYFUNCTION("iferror(VALUE(left(index(IMPORTXML(I165, ""//div[@class='col-lg-2 user-stat stat-green']""),2,1),len(index(IMPORTXML(I165, ""//div[@class='col-lg-2 user-stat stat-green']""),2,1))-8)),0)"),0.0)</f>
        <v>0</v>
      </c>
    </row>
    <row r="164" ht="15.0" customHeight="1">
      <c r="A164" s="50">
        <f t="shared" si="9"/>
        <v>157</v>
      </c>
      <c r="B164" s="51" t="str">
        <f t="shared" si="2"/>
        <v>Chilli 🌶️ Killer ☠️ #157 | R10 - C17</v>
      </c>
      <c r="C164" s="52">
        <v>10.0</v>
      </c>
      <c r="D164" s="52">
        <v>17.0</v>
      </c>
      <c r="E164" s="53">
        <v>48.16222363</v>
      </c>
      <c r="F164" s="53">
        <v>17.14597623</v>
      </c>
      <c r="G164" s="54" t="s">
        <v>42</v>
      </c>
      <c r="H164" s="55" t="str">
        <f t="shared" si="12"/>
        <v>TheEvilPoles</v>
      </c>
      <c r="I164" s="56" t="s">
        <v>194</v>
      </c>
      <c r="J164" s="57"/>
      <c r="K164" s="58" t="b">
        <v>1</v>
      </c>
      <c r="L164" s="59">
        <f t="shared" si="13"/>
        <v>0</v>
      </c>
      <c r="M164" s="59">
        <f t="shared" si="14"/>
        <v>0</v>
      </c>
      <c r="N164" s="59">
        <f t="shared" si="15"/>
        <v>0</v>
      </c>
      <c r="O164" s="60" t="str">
        <f t="shared" si="16"/>
        <v/>
      </c>
      <c r="P164" s="61" t="str">
        <f>IFERROR(__xludf.DUMMYFUNCTION("IF($N164=1,IFERROR(IMPORTXML($I164, ""//p[@class='status-date']""), ""Not Loading""),"""")"),"")</f>
        <v/>
      </c>
      <c r="Q164" s="65"/>
      <c r="R164" s="65"/>
      <c r="S164" s="65"/>
      <c r="T164" s="65"/>
      <c r="U164" s="62" t="str">
        <f t="shared" si="8"/>
        <v>TheEvilPoles</v>
      </c>
      <c r="V164" s="63">
        <f>IFERROR(__xludf.DUMMYFUNCTION("iferror(VALUE(left(index(IMPORTXML(I166, ""//div[@class='col-lg-2 user-stat stat-green']""),2,1),len(index(IMPORTXML(I166, ""//div[@class='col-lg-2 user-stat stat-green']""),2,1))-8)),0)"),0.0)</f>
        <v>0</v>
      </c>
    </row>
    <row r="165" ht="15.0" customHeight="1">
      <c r="A165" s="50">
        <f t="shared" si="9"/>
        <v>158</v>
      </c>
      <c r="B165" s="51" t="str">
        <f t="shared" si="2"/>
        <v>Chilli 🌶️ Killer ☠️ #158 | R10 - C18</v>
      </c>
      <c r="C165" s="52">
        <v>10.0</v>
      </c>
      <c r="D165" s="52">
        <v>18.0</v>
      </c>
      <c r="E165" s="53">
        <v>48.16222363</v>
      </c>
      <c r="F165" s="53">
        <v>17.14619171</v>
      </c>
      <c r="G165" s="54" t="s">
        <v>42</v>
      </c>
      <c r="H165" s="55" t="str">
        <f t="shared" si="12"/>
        <v>Nicolet</v>
      </c>
      <c r="I165" s="56" t="s">
        <v>195</v>
      </c>
      <c r="J165" s="57"/>
      <c r="K165" s="58" t="b">
        <v>1</v>
      </c>
      <c r="L165" s="59">
        <f t="shared" si="13"/>
        <v>0</v>
      </c>
      <c r="M165" s="59">
        <f t="shared" si="14"/>
        <v>0</v>
      </c>
      <c r="N165" s="59">
        <f t="shared" si="15"/>
        <v>0</v>
      </c>
      <c r="O165" s="60" t="str">
        <f t="shared" si="16"/>
        <v/>
      </c>
      <c r="P165" s="61" t="str">
        <f>IFERROR(__xludf.DUMMYFUNCTION("IF($N165=1,IFERROR(IMPORTXML($I165, ""//p[@class='status-date']""), ""Not Loading""),"""")"),"")</f>
        <v/>
      </c>
      <c r="Q165" s="64"/>
      <c r="R165" s="64"/>
      <c r="S165" s="64"/>
      <c r="T165" s="64"/>
      <c r="U165" s="62" t="str">
        <f t="shared" si="8"/>
        <v>Nicolet</v>
      </c>
      <c r="V165" s="63">
        <f>IFERROR(__xludf.DUMMYFUNCTION("iferror(VALUE(left(index(IMPORTXML(I167, ""//div[@class='col-lg-2 user-stat stat-green']""),2,1),len(index(IMPORTXML(I167, ""//div[@class='col-lg-2 user-stat stat-green']""),2,1))-8)),0)"),0.0)</f>
        <v>0</v>
      </c>
    </row>
    <row r="166" ht="15.0" customHeight="1">
      <c r="A166" s="50">
        <f t="shared" si="9"/>
        <v>159</v>
      </c>
      <c r="B166" s="51" t="str">
        <f t="shared" si="2"/>
        <v>Chilli 🌶️ Killer ☠️ #159 | R10 - C19</v>
      </c>
      <c r="C166" s="52">
        <v>10.0</v>
      </c>
      <c r="D166" s="52">
        <v>19.0</v>
      </c>
      <c r="E166" s="53">
        <v>48.16222363</v>
      </c>
      <c r="F166" s="53">
        <v>17.14640719</v>
      </c>
      <c r="G166" s="54" t="s">
        <v>42</v>
      </c>
      <c r="H166" s="55" t="str">
        <f t="shared" si="12"/>
        <v>KarelVeliky</v>
      </c>
      <c r="I166" s="56" t="s">
        <v>196</v>
      </c>
      <c r="J166" s="57"/>
      <c r="K166" s="58" t="b">
        <v>1</v>
      </c>
      <c r="L166" s="59">
        <f t="shared" si="13"/>
        <v>0</v>
      </c>
      <c r="M166" s="59">
        <f t="shared" si="14"/>
        <v>0</v>
      </c>
      <c r="N166" s="59">
        <f t="shared" si="15"/>
        <v>0</v>
      </c>
      <c r="O166" s="60" t="str">
        <f t="shared" si="16"/>
        <v/>
      </c>
      <c r="P166" s="61" t="str">
        <f>IFERROR(__xludf.DUMMYFUNCTION("IF($N166=1,IFERROR(IMPORTXML($I166, ""//p[@class='status-date']""), ""Not Loading""),"""")"),"")</f>
        <v/>
      </c>
      <c r="Q166" s="65"/>
      <c r="R166" s="65"/>
      <c r="S166" s="65"/>
      <c r="T166" s="65"/>
      <c r="U166" s="62" t="str">
        <f t="shared" si="8"/>
        <v>KarelVeliky</v>
      </c>
      <c r="V166" s="63">
        <f>IFERROR(__xludf.DUMMYFUNCTION("iferror(VALUE(left(index(IMPORTXML(I168, ""//div[@class='col-lg-2 user-stat stat-green']""),2,1),len(index(IMPORTXML(I168, ""//div[@class='col-lg-2 user-stat stat-green']""),2,1))-8)),0)"),0.0)</f>
        <v>0</v>
      </c>
    </row>
    <row r="167" ht="15.0" customHeight="1">
      <c r="A167" s="50">
        <f t="shared" si="9"/>
        <v>160</v>
      </c>
      <c r="B167" s="51" t="str">
        <f t="shared" si="2"/>
        <v>Chilli 🌶️ Killer ☠️ #160 | R10 - C20</v>
      </c>
      <c r="C167" s="52">
        <v>10.0</v>
      </c>
      <c r="D167" s="52">
        <v>20.0</v>
      </c>
      <c r="E167" s="53">
        <v>48.16222363</v>
      </c>
      <c r="F167" s="53">
        <v>17.14662267</v>
      </c>
      <c r="G167" s="54" t="s">
        <v>42</v>
      </c>
      <c r="H167" s="55" t="str">
        <f t="shared" si="12"/>
        <v>Kumahelion</v>
      </c>
      <c r="I167" s="56" t="s">
        <v>197</v>
      </c>
      <c r="J167" s="57"/>
      <c r="K167" s="58" t="b">
        <v>1</v>
      </c>
      <c r="L167" s="59">
        <f t="shared" si="13"/>
        <v>0</v>
      </c>
      <c r="M167" s="59">
        <f t="shared" si="14"/>
        <v>0</v>
      </c>
      <c r="N167" s="59">
        <f t="shared" si="15"/>
        <v>0</v>
      </c>
      <c r="O167" s="60" t="str">
        <f t="shared" si="16"/>
        <v/>
      </c>
      <c r="P167" s="61" t="str">
        <f>IFERROR(__xludf.DUMMYFUNCTION("IF($N167=1,IFERROR(IMPORTXML($I167, ""//p[@class='status-date']""), ""Not Loading""),"""")"),"")</f>
        <v/>
      </c>
      <c r="Q167" s="64"/>
      <c r="R167" s="64"/>
      <c r="S167" s="64"/>
      <c r="T167" s="64"/>
      <c r="U167" s="62" t="str">
        <f t="shared" si="8"/>
        <v>Kumahelion</v>
      </c>
      <c r="V167" s="63">
        <f>IFERROR(__xludf.DUMMYFUNCTION("iferror(VALUE(left(index(IMPORTXML(I169, ""//div[@class='col-lg-2 user-stat stat-green']""),2,1),len(index(IMPORTXML(I169, ""//div[@class='col-lg-2 user-stat stat-green']""),2,1))-8)),0)"),0.0)</f>
        <v>0</v>
      </c>
    </row>
    <row r="168" ht="15.0" customHeight="1">
      <c r="A168" s="50">
        <f t="shared" si="9"/>
        <v>161</v>
      </c>
      <c r="B168" s="51" t="str">
        <f t="shared" si="2"/>
        <v>Chilli 🌶️ Killer ☠️ #161 | R10 - C21</v>
      </c>
      <c r="C168" s="52">
        <v>10.0</v>
      </c>
      <c r="D168" s="52">
        <v>21.0</v>
      </c>
      <c r="E168" s="53">
        <v>48.16222363</v>
      </c>
      <c r="F168" s="53">
        <v>17.14683815</v>
      </c>
      <c r="G168" s="54" t="s">
        <v>42</v>
      </c>
      <c r="H168" s="55" t="str">
        <f t="shared" si="12"/>
        <v>thehowlers</v>
      </c>
      <c r="I168" s="56" t="s">
        <v>198</v>
      </c>
      <c r="J168" s="57"/>
      <c r="K168" s="58" t="b">
        <v>1</v>
      </c>
      <c r="L168" s="59">
        <f t="shared" si="13"/>
        <v>0</v>
      </c>
      <c r="M168" s="59">
        <f t="shared" si="14"/>
        <v>0</v>
      </c>
      <c r="N168" s="59">
        <f t="shared" si="15"/>
        <v>0</v>
      </c>
      <c r="O168" s="60" t="str">
        <f t="shared" si="16"/>
        <v/>
      </c>
      <c r="P168" s="61" t="str">
        <f>IFERROR(__xludf.DUMMYFUNCTION("IF($N168=1,IFERROR(IMPORTXML($I168, ""//p[@class='status-date']""), ""Not Loading""),"""")"),"")</f>
        <v/>
      </c>
      <c r="Q168" s="65"/>
      <c r="R168" s="65"/>
      <c r="S168" s="65"/>
      <c r="T168" s="65"/>
      <c r="U168" s="62" t="str">
        <f t="shared" si="8"/>
        <v>thehowlers</v>
      </c>
      <c r="V168" s="63">
        <f>IFERROR(__xludf.DUMMYFUNCTION("iferror(VALUE(left(index(IMPORTXML(I170, ""//div[@class='col-lg-2 user-stat stat-green']""),2,1),len(index(IMPORTXML(I170, ""//div[@class='col-lg-2 user-stat stat-green']""),2,1))-8)),0)"),0.0)</f>
        <v>0</v>
      </c>
    </row>
    <row r="169" ht="15.0" customHeight="1">
      <c r="A169" s="50">
        <f t="shared" si="9"/>
        <v>162</v>
      </c>
      <c r="B169" s="51" t="str">
        <f t="shared" si="2"/>
        <v>Chilli 🌶️ Killer ☠️ #162 | R10 - C22</v>
      </c>
      <c r="C169" s="52">
        <v>10.0</v>
      </c>
      <c r="D169" s="52">
        <v>22.0</v>
      </c>
      <c r="E169" s="53">
        <v>48.16222363</v>
      </c>
      <c r="F169" s="53">
        <v>17.14705363</v>
      </c>
      <c r="G169" s="54" t="s">
        <v>42</v>
      </c>
      <c r="H169" s="55" t="str">
        <f t="shared" si="12"/>
        <v>Nicolet</v>
      </c>
      <c r="I169" s="56" t="s">
        <v>199</v>
      </c>
      <c r="J169" s="57"/>
      <c r="K169" s="58" t="b">
        <v>1</v>
      </c>
      <c r="L169" s="59">
        <f t="shared" si="13"/>
        <v>0</v>
      </c>
      <c r="M169" s="59">
        <f t="shared" si="14"/>
        <v>0</v>
      </c>
      <c r="N169" s="59">
        <f t="shared" si="15"/>
        <v>0</v>
      </c>
      <c r="O169" s="60" t="str">
        <f t="shared" si="16"/>
        <v/>
      </c>
      <c r="P169" s="61" t="str">
        <f>IFERROR(__xludf.DUMMYFUNCTION("IF($N169=1,IFERROR(IMPORTXML($I169, ""//p[@class='status-date']""), ""Not Loading""),"""")"),"")</f>
        <v/>
      </c>
      <c r="Q169" s="64"/>
      <c r="R169" s="64"/>
      <c r="S169" s="64"/>
      <c r="T169" s="64"/>
      <c r="U169" s="62" t="str">
        <f t="shared" si="8"/>
        <v>Nicolet</v>
      </c>
      <c r="V169" s="63">
        <f>IFERROR(__xludf.DUMMYFUNCTION("iferror(VALUE(left(index(IMPORTXML(I171, ""//div[@class='col-lg-2 user-stat stat-green']""),2,1),len(index(IMPORTXML(I171, ""//div[@class='col-lg-2 user-stat stat-green']""),2,1))-8)),0)"),0.0)</f>
        <v>0</v>
      </c>
    </row>
    <row r="170" ht="15.0" customHeight="1">
      <c r="A170" s="50">
        <f t="shared" si="9"/>
        <v>163</v>
      </c>
      <c r="B170" s="51" t="str">
        <f t="shared" si="2"/>
        <v>Chilli 🌶️ Killer ☠️ #163 | R10 - C23</v>
      </c>
      <c r="C170" s="52">
        <v>10.0</v>
      </c>
      <c r="D170" s="52">
        <v>23.0</v>
      </c>
      <c r="E170" s="53">
        <v>48.16222363</v>
      </c>
      <c r="F170" s="53">
        <v>17.14726911</v>
      </c>
      <c r="G170" s="54" t="s">
        <v>42</v>
      </c>
      <c r="H170" s="55" t="str">
        <f t="shared" si="12"/>
        <v>KarelVeliky</v>
      </c>
      <c r="I170" s="56" t="s">
        <v>200</v>
      </c>
      <c r="J170" s="57"/>
      <c r="K170" s="58" t="b">
        <v>1</v>
      </c>
      <c r="L170" s="59">
        <f t="shared" si="13"/>
        <v>0</v>
      </c>
      <c r="M170" s="59">
        <f t="shared" si="14"/>
        <v>0</v>
      </c>
      <c r="N170" s="59">
        <f t="shared" si="15"/>
        <v>0</v>
      </c>
      <c r="O170" s="60" t="str">
        <f t="shared" si="16"/>
        <v/>
      </c>
      <c r="P170" s="61" t="str">
        <f>IFERROR(__xludf.DUMMYFUNCTION("IF($N170=1,IFERROR(IMPORTXML($I170, ""//p[@class='status-date']""), ""Not Loading""),"""")"),"")</f>
        <v/>
      </c>
      <c r="Q170" s="65"/>
      <c r="R170" s="65"/>
      <c r="S170" s="65"/>
      <c r="T170" s="65"/>
      <c r="U170" s="62" t="str">
        <f t="shared" si="8"/>
        <v>KarelVeliky</v>
      </c>
      <c r="V170" s="63">
        <f>IFERROR(__xludf.DUMMYFUNCTION("iferror(VALUE(left(index(IMPORTXML(I172, ""//div[@class='col-lg-2 user-stat stat-green']""),2,1),len(index(IMPORTXML(I172, ""//div[@class='col-lg-2 user-stat stat-green']""),2,1))-8)),0)"),0.0)</f>
        <v>0</v>
      </c>
    </row>
    <row r="171" ht="15.0" customHeight="1">
      <c r="A171" s="50">
        <f t="shared" si="9"/>
        <v>164</v>
      </c>
      <c r="B171" s="51" t="str">
        <f t="shared" si="2"/>
        <v>Chilli 🌶️ Killer ☠️ #164 | R10 - C24</v>
      </c>
      <c r="C171" s="52">
        <v>10.0</v>
      </c>
      <c r="D171" s="52">
        <v>24.0</v>
      </c>
      <c r="E171" s="53">
        <v>48.16222363</v>
      </c>
      <c r="F171" s="53">
        <v>17.14748459</v>
      </c>
      <c r="G171" s="54" t="s">
        <v>42</v>
      </c>
      <c r="H171" s="55" t="str">
        <f t="shared" si="12"/>
        <v>Dazzaf</v>
      </c>
      <c r="I171" s="56" t="s">
        <v>201</v>
      </c>
      <c r="J171" s="57"/>
      <c r="K171" s="58" t="b">
        <v>1</v>
      </c>
      <c r="L171" s="59">
        <f t="shared" si="13"/>
        <v>0</v>
      </c>
      <c r="M171" s="59">
        <f t="shared" si="14"/>
        <v>0</v>
      </c>
      <c r="N171" s="59">
        <f t="shared" si="15"/>
        <v>0</v>
      </c>
      <c r="O171" s="60" t="str">
        <f t="shared" si="16"/>
        <v/>
      </c>
      <c r="P171" s="61" t="str">
        <f>IFERROR(__xludf.DUMMYFUNCTION("IF($N171=1,IFERROR(IMPORTXML($I171, ""//p[@class='status-date']""), ""Not Loading""),"""")"),"")</f>
        <v/>
      </c>
      <c r="Q171" s="64"/>
      <c r="R171" s="64"/>
      <c r="S171" s="64"/>
      <c r="T171" s="64"/>
      <c r="U171" s="62" t="str">
        <f t="shared" si="8"/>
        <v>Dazzaf</v>
      </c>
      <c r="V171" s="63">
        <f>IFERROR(__xludf.DUMMYFUNCTION("iferror(VALUE(left(index(IMPORTXML(I173, ""//div[@class='col-lg-2 user-stat stat-green']""),2,1),len(index(IMPORTXML(I173, ""//div[@class='col-lg-2 user-stat stat-green']""),2,1))-8)),0)"),0.0)</f>
        <v>0</v>
      </c>
    </row>
    <row r="172" ht="15.0" customHeight="1">
      <c r="A172" s="50">
        <f t="shared" si="9"/>
        <v>165</v>
      </c>
      <c r="B172" s="51" t="str">
        <f t="shared" si="2"/>
        <v>Chilli 🌶️ Killer ☠️ #165 | R10 - C25</v>
      </c>
      <c r="C172" s="52">
        <v>10.0</v>
      </c>
      <c r="D172" s="52">
        <v>25.0</v>
      </c>
      <c r="E172" s="53">
        <v>48.16222363</v>
      </c>
      <c r="F172" s="53">
        <v>17.14770007</v>
      </c>
      <c r="G172" s="54" t="s">
        <v>42</v>
      </c>
      <c r="H172" s="55" t="str">
        <f t="shared" si="12"/>
        <v>gd</v>
      </c>
      <c r="I172" s="56" t="s">
        <v>202</v>
      </c>
      <c r="J172" s="57"/>
      <c r="K172" s="58" t="b">
        <v>1</v>
      </c>
      <c r="L172" s="59">
        <f t="shared" si="13"/>
        <v>0</v>
      </c>
      <c r="M172" s="59">
        <f t="shared" si="14"/>
        <v>0</v>
      </c>
      <c r="N172" s="59">
        <f t="shared" si="15"/>
        <v>0</v>
      </c>
      <c r="O172" s="60" t="str">
        <f t="shared" si="16"/>
        <v/>
      </c>
      <c r="P172" s="61" t="str">
        <f>IFERROR(__xludf.DUMMYFUNCTION("IF($N172=1,IFERROR(IMPORTXML($I172, ""//p[@class='status-date']""), ""Not Loading""),"""")"),"")</f>
        <v/>
      </c>
      <c r="Q172" s="65"/>
      <c r="R172" s="65"/>
      <c r="S172" s="65"/>
      <c r="T172" s="65"/>
      <c r="U172" s="62" t="str">
        <f t="shared" si="8"/>
        <v>gd</v>
      </c>
      <c r="V172" s="63">
        <f>IFERROR(__xludf.DUMMYFUNCTION("iferror(VALUE(left(index(IMPORTXML(I174, ""//div[@class='col-lg-2 user-stat stat-green']""),2,1),len(index(IMPORTXML(I174, ""//div[@class='col-lg-2 user-stat stat-green']""),2,1))-8)),0)"),0.0)</f>
        <v>0</v>
      </c>
    </row>
    <row r="173" ht="15.0" customHeight="1">
      <c r="A173" s="50">
        <f t="shared" si="9"/>
        <v>166</v>
      </c>
      <c r="B173" s="51" t="str">
        <f t="shared" si="2"/>
        <v>Chilli 🌶️ Killer ☠️ #166 | R10 - C26</v>
      </c>
      <c r="C173" s="52">
        <v>10.0</v>
      </c>
      <c r="D173" s="52">
        <v>26.0</v>
      </c>
      <c r="E173" s="53">
        <v>48.16222363</v>
      </c>
      <c r="F173" s="53">
        <v>17.14791555</v>
      </c>
      <c r="G173" s="54" t="s">
        <v>42</v>
      </c>
      <c r="H173" s="55" t="str">
        <f t="shared" si="12"/>
        <v>KarelVeliky</v>
      </c>
      <c r="I173" s="56" t="s">
        <v>203</v>
      </c>
      <c r="J173" s="57"/>
      <c r="K173" s="58" t="b">
        <v>1</v>
      </c>
      <c r="L173" s="59">
        <f t="shared" si="13"/>
        <v>0</v>
      </c>
      <c r="M173" s="59">
        <f t="shared" si="14"/>
        <v>0</v>
      </c>
      <c r="N173" s="59">
        <f t="shared" si="15"/>
        <v>0</v>
      </c>
      <c r="O173" s="60" t="str">
        <f t="shared" si="16"/>
        <v/>
      </c>
      <c r="P173" s="61" t="str">
        <f>IFERROR(__xludf.DUMMYFUNCTION("IF($N173=1,IFERROR(IMPORTXML($I173, ""//p[@class='status-date']""), ""Not Loading""),"""")"),"")</f>
        <v/>
      </c>
      <c r="Q173" s="64"/>
      <c r="R173" s="64"/>
      <c r="S173" s="64"/>
      <c r="T173" s="64"/>
      <c r="U173" s="62" t="str">
        <f t="shared" si="8"/>
        <v>KarelVeliky</v>
      </c>
      <c r="V173" s="63">
        <f>IFERROR(__xludf.DUMMYFUNCTION("iferror(VALUE(left(index(IMPORTXML(I175, ""//div[@class='col-lg-2 user-stat stat-green']""),2,1),len(index(IMPORTXML(I175, ""//div[@class='col-lg-2 user-stat stat-green']""),2,1))-8)),0)"),0.0)</f>
        <v>0</v>
      </c>
    </row>
    <row r="174" ht="15.0" customHeight="1">
      <c r="A174" s="50">
        <f t="shared" si="9"/>
        <v>167</v>
      </c>
      <c r="B174" s="51" t="str">
        <f t="shared" si="2"/>
        <v>Chilli 🌶️ Killer ☠️ #167 | R10 - C27</v>
      </c>
      <c r="C174" s="52">
        <v>10.0</v>
      </c>
      <c r="D174" s="52">
        <v>27.0</v>
      </c>
      <c r="E174" s="53">
        <v>48.16222363</v>
      </c>
      <c r="F174" s="53">
        <v>17.14813103</v>
      </c>
      <c r="G174" s="54" t="s">
        <v>42</v>
      </c>
      <c r="H174" s="55" t="str">
        <f t="shared" si="12"/>
        <v>Lorax1</v>
      </c>
      <c r="I174" s="56" t="s">
        <v>204</v>
      </c>
      <c r="J174" s="57"/>
      <c r="K174" s="58" t="b">
        <v>1</v>
      </c>
      <c r="L174" s="59">
        <f t="shared" si="13"/>
        <v>0</v>
      </c>
      <c r="M174" s="59">
        <f t="shared" si="14"/>
        <v>0</v>
      </c>
      <c r="N174" s="59">
        <f t="shared" si="15"/>
        <v>0</v>
      </c>
      <c r="O174" s="60" t="str">
        <f t="shared" si="16"/>
        <v/>
      </c>
      <c r="P174" s="61" t="str">
        <f>IFERROR(__xludf.DUMMYFUNCTION("IF($N174=1,IFERROR(IMPORTXML($I174, ""//p[@class='status-date']""), ""Not Loading""),"""")"),"")</f>
        <v/>
      </c>
      <c r="Q174" s="65"/>
      <c r="R174" s="65"/>
      <c r="S174" s="65"/>
      <c r="T174" s="65"/>
      <c r="U174" s="62" t="str">
        <f t="shared" si="8"/>
        <v>Lorax1</v>
      </c>
      <c r="V174" s="63">
        <f>IFERROR(__xludf.DUMMYFUNCTION("iferror(VALUE(left(index(IMPORTXML(I176, ""//div[@class='col-lg-2 user-stat stat-green']""),2,1),len(index(IMPORTXML(I176, ""//div[@class='col-lg-2 user-stat stat-green']""),2,1))-8)),0)"),0.0)</f>
        <v>0</v>
      </c>
    </row>
    <row r="175" ht="15.0" customHeight="1">
      <c r="A175" s="50">
        <f t="shared" si="9"/>
        <v>168</v>
      </c>
      <c r="B175" s="51" t="str">
        <f t="shared" si="2"/>
        <v>Chilli 🌶️ Killer ☠️ #168 | R10 - C28</v>
      </c>
      <c r="C175" s="52">
        <v>10.0</v>
      </c>
      <c r="D175" s="52">
        <v>28.0</v>
      </c>
      <c r="E175" s="53">
        <v>48.16222363</v>
      </c>
      <c r="F175" s="53">
        <v>17.14834651</v>
      </c>
      <c r="G175" s="54" t="s">
        <v>73</v>
      </c>
      <c r="H175" s="55" t="str">
        <f t="shared" si="12"/>
        <v>Maattmoo</v>
      </c>
      <c r="I175" s="56" t="s">
        <v>205</v>
      </c>
      <c r="J175" s="57"/>
      <c r="K175" s="58" t="b">
        <v>1</v>
      </c>
      <c r="L175" s="59">
        <f t="shared" si="13"/>
        <v>0</v>
      </c>
      <c r="M175" s="59">
        <f t="shared" si="14"/>
        <v>0</v>
      </c>
      <c r="N175" s="59">
        <f t="shared" si="15"/>
        <v>0</v>
      </c>
      <c r="O175" s="60" t="str">
        <f t="shared" si="16"/>
        <v/>
      </c>
      <c r="P175" s="61" t="str">
        <f>IFERROR(__xludf.DUMMYFUNCTION("IF($N175=1,IFERROR(IMPORTXML($I175, ""//p[@class='status-date']""), ""Not Loading""),"""")"),"")</f>
        <v/>
      </c>
      <c r="Q175" s="64"/>
      <c r="R175" s="64"/>
      <c r="S175" s="64"/>
      <c r="T175" s="64"/>
      <c r="U175" s="62" t="str">
        <f t="shared" si="8"/>
        <v>Maattmoo</v>
      </c>
      <c r="V175" s="63">
        <f>IFERROR(__xludf.DUMMYFUNCTION("iferror(VALUE(left(index(IMPORTXML(I177, ""//div[@class='col-lg-2 user-stat stat-green']""),2,1),len(index(IMPORTXML(I177, ""//div[@class='col-lg-2 user-stat stat-green']""),2,1))-8)),0)"),0.0)</f>
        <v>0</v>
      </c>
    </row>
    <row r="176" ht="15.0" customHeight="1">
      <c r="A176" s="50">
        <f t="shared" si="9"/>
        <v>169</v>
      </c>
      <c r="B176" s="51" t="str">
        <f t="shared" si="2"/>
        <v>Chilli 🌶️ Killer ☠️ #169 | R10 - C29</v>
      </c>
      <c r="C176" s="52">
        <v>10.0</v>
      </c>
      <c r="D176" s="52">
        <v>29.0</v>
      </c>
      <c r="E176" s="53">
        <v>48.16222363</v>
      </c>
      <c r="F176" s="53">
        <v>17.14856199</v>
      </c>
      <c r="G176" s="54" t="s">
        <v>33</v>
      </c>
      <c r="H176" s="55" t="str">
        <f t="shared" si="12"/>
        <v>KarelVeliky</v>
      </c>
      <c r="I176" s="56" t="s">
        <v>206</v>
      </c>
      <c r="J176" s="57"/>
      <c r="K176" s="58" t="b">
        <v>1</v>
      </c>
      <c r="L176" s="59">
        <f t="shared" si="13"/>
        <v>0</v>
      </c>
      <c r="M176" s="59">
        <f t="shared" si="14"/>
        <v>0</v>
      </c>
      <c r="N176" s="59">
        <f t="shared" si="15"/>
        <v>0</v>
      </c>
      <c r="O176" s="60" t="str">
        <f t="shared" si="16"/>
        <v/>
      </c>
      <c r="P176" s="61" t="str">
        <f>IFERROR(__xludf.DUMMYFUNCTION("IF($N176=1,IFERROR(IMPORTXML($I176, ""//p[@class='status-date']""), ""Not Loading""),"""")"),"")</f>
        <v/>
      </c>
      <c r="Q176" s="65"/>
      <c r="R176" s="65"/>
      <c r="S176" s="65"/>
      <c r="T176" s="65"/>
      <c r="U176" s="62" t="str">
        <f t="shared" si="8"/>
        <v>KarelVeliky</v>
      </c>
      <c r="V176" s="63">
        <f>IFERROR(__xludf.DUMMYFUNCTION("iferror(VALUE(left(index(IMPORTXML(I178, ""//div[@class='col-lg-2 user-stat stat-green']""),2,1),len(index(IMPORTXML(I178, ""//div[@class='col-lg-2 user-stat stat-green']""),2,1))-8)),0)"),0.0)</f>
        <v>0</v>
      </c>
    </row>
    <row r="177" ht="15.0" customHeight="1">
      <c r="A177" s="50">
        <f t="shared" si="9"/>
        <v>170</v>
      </c>
      <c r="B177" s="51" t="str">
        <f t="shared" si="2"/>
        <v>Chilli 🌶️ Killer ☠️ #170 | R10 - C34</v>
      </c>
      <c r="C177" s="52">
        <v>10.0</v>
      </c>
      <c r="D177" s="52">
        <v>34.0</v>
      </c>
      <c r="E177" s="53">
        <v>48.16222363</v>
      </c>
      <c r="F177" s="53">
        <v>17.14963939</v>
      </c>
      <c r="G177" s="54" t="s">
        <v>33</v>
      </c>
      <c r="H177" s="55" t="str">
        <f t="shared" si="12"/>
        <v>woenny</v>
      </c>
      <c r="I177" s="56" t="s">
        <v>207</v>
      </c>
      <c r="J177" s="57"/>
      <c r="K177" s="58" t="b">
        <v>1</v>
      </c>
      <c r="L177" s="59">
        <f t="shared" si="13"/>
        <v>0</v>
      </c>
      <c r="M177" s="59">
        <f t="shared" si="14"/>
        <v>0</v>
      </c>
      <c r="N177" s="59">
        <f t="shared" si="15"/>
        <v>0</v>
      </c>
      <c r="O177" s="60" t="str">
        <f t="shared" si="16"/>
        <v/>
      </c>
      <c r="P177" s="61" t="str">
        <f>IFERROR(__xludf.DUMMYFUNCTION("IF($N177=1,IFERROR(IMPORTXML($I177, ""//p[@class='status-date']""), ""Not Loading""),"""")"),"")</f>
        <v/>
      </c>
      <c r="Q177" s="64"/>
      <c r="R177" s="64"/>
      <c r="S177" s="64"/>
      <c r="T177" s="64"/>
      <c r="U177" s="62" t="str">
        <f t="shared" si="8"/>
        <v>woenny</v>
      </c>
      <c r="V177" s="63">
        <f>IFERROR(__xludf.DUMMYFUNCTION("iferror(VALUE(left(index(IMPORTXML(I179, ""//div[@class='col-lg-2 user-stat stat-green']""),2,1),len(index(IMPORTXML(I179, ""//div[@class='col-lg-2 user-stat stat-green']""),2,1))-8)),0)"),0.0)</f>
        <v>0</v>
      </c>
    </row>
    <row r="178" ht="15.0" customHeight="1">
      <c r="A178" s="50">
        <f t="shared" si="9"/>
        <v>171</v>
      </c>
      <c r="B178" s="51" t="str">
        <f t="shared" si="2"/>
        <v>Chilli 🌶️ Killer ☠️ #171 | R10 - C35</v>
      </c>
      <c r="C178" s="52">
        <v>10.0</v>
      </c>
      <c r="D178" s="52">
        <v>35.0</v>
      </c>
      <c r="E178" s="53">
        <v>48.16222362</v>
      </c>
      <c r="F178" s="53">
        <v>17.14985487</v>
      </c>
      <c r="G178" s="54" t="s">
        <v>73</v>
      </c>
      <c r="H178" s="55" t="str">
        <f t="shared" si="12"/>
        <v>29Februaris</v>
      </c>
      <c r="I178" s="56" t="s">
        <v>208</v>
      </c>
      <c r="J178" s="57"/>
      <c r="K178" s="58" t="b">
        <v>1</v>
      </c>
      <c r="L178" s="59">
        <f t="shared" si="13"/>
        <v>0</v>
      </c>
      <c r="M178" s="59">
        <f t="shared" si="14"/>
        <v>0</v>
      </c>
      <c r="N178" s="59">
        <f t="shared" si="15"/>
        <v>0</v>
      </c>
      <c r="O178" s="60" t="str">
        <f t="shared" si="16"/>
        <v/>
      </c>
      <c r="P178" s="61" t="str">
        <f>IFERROR(__xludf.DUMMYFUNCTION("IF($N178=1,IFERROR(IMPORTXML($I178, ""//p[@class='status-date']""), ""Not Loading""),"""")"),"")</f>
        <v/>
      </c>
      <c r="Q178" s="65"/>
      <c r="R178" s="65"/>
      <c r="S178" s="65"/>
      <c r="T178" s="65"/>
      <c r="U178" s="62" t="str">
        <f t="shared" si="8"/>
        <v>29Februaris</v>
      </c>
      <c r="V178" s="63">
        <f>IFERROR(__xludf.DUMMYFUNCTION("iferror(VALUE(left(index(IMPORTXML(I180, ""//div[@class='col-lg-2 user-stat stat-green']""),2,1),len(index(IMPORTXML(I180, ""//div[@class='col-lg-2 user-stat stat-green']""),2,1))-8)),0)"),0.0)</f>
        <v>0</v>
      </c>
    </row>
    <row r="179" ht="15.0" customHeight="1">
      <c r="A179" s="50">
        <f t="shared" si="9"/>
        <v>172</v>
      </c>
      <c r="B179" s="51" t="str">
        <f t="shared" si="2"/>
        <v>Chilli 🌶️ Killer ☠️ #172 | R10 - C36</v>
      </c>
      <c r="C179" s="52">
        <v>10.0</v>
      </c>
      <c r="D179" s="52">
        <v>36.0</v>
      </c>
      <c r="E179" s="53">
        <v>48.16222362</v>
      </c>
      <c r="F179" s="53">
        <v>17.15007035</v>
      </c>
      <c r="G179" s="54" t="s">
        <v>111</v>
      </c>
      <c r="H179" s="55" t="str">
        <f t="shared" si="12"/>
        <v>Neloras</v>
      </c>
      <c r="I179" s="56" t="s">
        <v>209</v>
      </c>
      <c r="J179" s="57"/>
      <c r="K179" s="58" t="b">
        <v>1</v>
      </c>
      <c r="L179" s="59">
        <f t="shared" si="13"/>
        <v>0</v>
      </c>
      <c r="M179" s="59">
        <f t="shared" si="14"/>
        <v>0</v>
      </c>
      <c r="N179" s="59">
        <f t="shared" si="15"/>
        <v>0</v>
      </c>
      <c r="O179" s="60" t="str">
        <f t="shared" si="16"/>
        <v/>
      </c>
      <c r="P179" s="61" t="str">
        <f>IFERROR(__xludf.DUMMYFUNCTION("IF($N179=1,IFERROR(IMPORTXML($I179, ""//p[@class='status-date']""), ""Not Loading""),"""")"),"")</f>
        <v/>
      </c>
      <c r="Q179" s="64"/>
      <c r="R179" s="64"/>
      <c r="S179" s="64"/>
      <c r="T179" s="64"/>
      <c r="U179" s="62" t="str">
        <f t="shared" si="8"/>
        <v>Neloras</v>
      </c>
      <c r="V179" s="63">
        <f>IFERROR(__xludf.DUMMYFUNCTION("iferror(VALUE(left(index(IMPORTXML(I181, ""//div[@class='col-lg-2 user-stat stat-green']""),2,1),len(index(IMPORTXML(I181, ""//div[@class='col-lg-2 user-stat stat-green']""),2,1))-8)),0)"),0.0)</f>
        <v>0</v>
      </c>
    </row>
    <row r="180" ht="15.0" customHeight="1">
      <c r="A180" s="50">
        <f t="shared" si="9"/>
        <v>173</v>
      </c>
      <c r="B180" s="51" t="str">
        <f t="shared" si="2"/>
        <v>Chilli 🌶️ Killer ☠️ #173 | R10 - C37</v>
      </c>
      <c r="C180" s="52">
        <v>10.0</v>
      </c>
      <c r="D180" s="52">
        <v>37.0</v>
      </c>
      <c r="E180" s="53">
        <v>48.16222362</v>
      </c>
      <c r="F180" s="53">
        <v>17.15028583</v>
      </c>
      <c r="G180" s="54" t="s">
        <v>33</v>
      </c>
      <c r="H180" s="55" t="str">
        <f t="shared" si="12"/>
        <v>and2470</v>
      </c>
      <c r="I180" s="56" t="s">
        <v>210</v>
      </c>
      <c r="J180" s="57"/>
      <c r="K180" s="58" t="b">
        <v>1</v>
      </c>
      <c r="L180" s="59">
        <f t="shared" si="13"/>
        <v>0</v>
      </c>
      <c r="M180" s="59">
        <f t="shared" si="14"/>
        <v>0</v>
      </c>
      <c r="N180" s="59">
        <f t="shared" si="15"/>
        <v>0</v>
      </c>
      <c r="O180" s="60" t="str">
        <f t="shared" si="16"/>
        <v/>
      </c>
      <c r="P180" s="61" t="str">
        <f>IFERROR(__xludf.DUMMYFUNCTION("IF($N180=1,IFERROR(IMPORTXML($I180, ""//p[@class='status-date']""), ""Not Loading""),"""")"),"")</f>
        <v/>
      </c>
      <c r="Q180" s="65"/>
      <c r="R180" s="65"/>
      <c r="S180" s="65"/>
      <c r="T180" s="65"/>
      <c r="U180" s="62" t="str">
        <f t="shared" si="8"/>
        <v>and2470</v>
      </c>
      <c r="V180" s="63">
        <f>IFERROR(__xludf.DUMMYFUNCTION("iferror(VALUE(left(index(IMPORTXML(I182, ""//div[@class='col-lg-2 user-stat stat-green']""),2,1),len(index(IMPORTXML(I182, ""//div[@class='col-lg-2 user-stat stat-green']""),2,1))-8)),0)"),0.0)</f>
        <v>0</v>
      </c>
    </row>
    <row r="181" ht="15.0" customHeight="1">
      <c r="A181" s="50">
        <f t="shared" si="9"/>
        <v>174</v>
      </c>
      <c r="B181" s="51" t="str">
        <f t="shared" si="2"/>
        <v>Chilli 🌶️ Killer ☠️ #174 | R11 - C10</v>
      </c>
      <c r="C181" s="52">
        <v>11.0</v>
      </c>
      <c r="D181" s="52">
        <v>10.0</v>
      </c>
      <c r="E181" s="53">
        <v>48.16209916</v>
      </c>
      <c r="F181" s="53">
        <v>17.14436012</v>
      </c>
      <c r="G181" s="54" t="s">
        <v>33</v>
      </c>
      <c r="H181" s="55" t="str">
        <f t="shared" si="12"/>
        <v>KarelVeliky</v>
      </c>
      <c r="I181" s="67" t="s">
        <v>211</v>
      </c>
      <c r="J181" s="57"/>
      <c r="K181" s="58" t="b">
        <v>1</v>
      </c>
      <c r="L181" s="59">
        <f t="shared" si="13"/>
        <v>0</v>
      </c>
      <c r="M181" s="59">
        <f t="shared" si="14"/>
        <v>0</v>
      </c>
      <c r="N181" s="59">
        <f t="shared" si="15"/>
        <v>0</v>
      </c>
      <c r="O181" s="60" t="str">
        <f t="shared" si="16"/>
        <v/>
      </c>
      <c r="P181" s="61" t="str">
        <f>IFERROR(__xludf.DUMMYFUNCTION("IF($N181=1,IFERROR(IMPORTXML($I181, ""//p[@class='status-date']""), ""Not Loading""),"""")"),"")</f>
        <v/>
      </c>
      <c r="Q181" s="64"/>
      <c r="R181" s="64"/>
      <c r="S181" s="64"/>
      <c r="T181" s="64"/>
      <c r="U181" s="62" t="str">
        <f t="shared" si="8"/>
        <v>KarelVeliky</v>
      </c>
      <c r="V181" s="63">
        <f>IFERROR(__xludf.DUMMYFUNCTION("iferror(VALUE(left(index(IMPORTXML(I183, ""//div[@class='col-lg-2 user-stat stat-green']""),2,1),len(index(IMPORTXML(I183, ""//div[@class='col-lg-2 user-stat stat-green']""),2,1))-8)),0)"),0.0)</f>
        <v>0</v>
      </c>
    </row>
    <row r="182" ht="15.0" customHeight="1">
      <c r="A182" s="50">
        <f t="shared" si="9"/>
        <v>175</v>
      </c>
      <c r="B182" s="51" t="str">
        <f t="shared" si="2"/>
        <v>Chilli 🌶️ Killer ☠️ #175 | R11 - C11</v>
      </c>
      <c r="C182" s="52">
        <v>11.0</v>
      </c>
      <c r="D182" s="52">
        <v>11.0</v>
      </c>
      <c r="E182" s="53">
        <v>48.16209916</v>
      </c>
      <c r="F182" s="53">
        <v>17.1445756</v>
      </c>
      <c r="G182" s="54" t="s">
        <v>33</v>
      </c>
      <c r="H182" s="55" t="str">
        <f t="shared" si="12"/>
        <v>woenny</v>
      </c>
      <c r="I182" s="56" t="s">
        <v>212</v>
      </c>
      <c r="J182" s="57"/>
      <c r="K182" s="58" t="b">
        <v>1</v>
      </c>
      <c r="L182" s="59">
        <f t="shared" si="13"/>
        <v>0</v>
      </c>
      <c r="M182" s="59">
        <f t="shared" si="14"/>
        <v>0</v>
      </c>
      <c r="N182" s="59">
        <f t="shared" si="15"/>
        <v>0</v>
      </c>
      <c r="O182" s="60" t="str">
        <f t="shared" si="16"/>
        <v/>
      </c>
      <c r="P182" s="61" t="str">
        <f>IFERROR(__xludf.DUMMYFUNCTION("IF($N182=1,IFERROR(IMPORTXML($I182, ""//p[@class='status-date']""), ""Not Loading""),"""")"),"")</f>
        <v/>
      </c>
      <c r="Q182" s="65"/>
      <c r="R182" s="65"/>
      <c r="S182" s="65"/>
      <c r="T182" s="65"/>
      <c r="U182" s="62" t="str">
        <f t="shared" si="8"/>
        <v>woenny</v>
      </c>
      <c r="V182" s="63">
        <f>IFERROR(__xludf.DUMMYFUNCTION("iferror(VALUE(left(index(IMPORTXML(I184, ""//div[@class='col-lg-2 user-stat stat-green']""),2,1),len(index(IMPORTXML(I184, ""//div[@class='col-lg-2 user-stat stat-green']""),2,1))-8)),0)"),0.0)</f>
        <v>0</v>
      </c>
    </row>
    <row r="183" ht="15.0" customHeight="1">
      <c r="A183" s="50">
        <f t="shared" si="9"/>
        <v>176</v>
      </c>
      <c r="B183" s="51" t="str">
        <f t="shared" si="2"/>
        <v>Chilli 🌶️ Killer ☠️ #176 | R11 - C12</v>
      </c>
      <c r="C183" s="52">
        <v>11.0</v>
      </c>
      <c r="D183" s="52">
        <v>12.0</v>
      </c>
      <c r="E183" s="53">
        <v>48.16209916</v>
      </c>
      <c r="F183" s="53">
        <v>17.14479108</v>
      </c>
      <c r="G183" s="54" t="s">
        <v>42</v>
      </c>
      <c r="H183" s="55" t="str">
        <f t="shared" si="12"/>
        <v>mathew611</v>
      </c>
      <c r="I183" s="56" t="s">
        <v>213</v>
      </c>
      <c r="J183" s="57"/>
      <c r="K183" s="58" t="b">
        <v>1</v>
      </c>
      <c r="L183" s="59">
        <f t="shared" si="13"/>
        <v>0</v>
      </c>
      <c r="M183" s="59">
        <f t="shared" si="14"/>
        <v>0</v>
      </c>
      <c r="N183" s="59">
        <f t="shared" si="15"/>
        <v>0</v>
      </c>
      <c r="O183" s="60" t="str">
        <f t="shared" si="16"/>
        <v/>
      </c>
      <c r="P183" s="61" t="str">
        <f>IFERROR(__xludf.DUMMYFUNCTION("IF($N183=1,IFERROR(IMPORTXML($I183, ""//p[@class='status-date']""), ""Not Loading""),"""")"),"")</f>
        <v/>
      </c>
      <c r="Q183" s="64"/>
      <c r="R183" s="64"/>
      <c r="S183" s="64"/>
      <c r="T183" s="64"/>
      <c r="U183" s="62" t="str">
        <f t="shared" si="8"/>
        <v>mathew611</v>
      </c>
      <c r="V183" s="63">
        <f>IFERROR(__xludf.DUMMYFUNCTION("iferror(VALUE(left(index(IMPORTXML(I185, ""//div[@class='col-lg-2 user-stat stat-green']""),2,1),len(index(IMPORTXML(I185, ""//div[@class='col-lg-2 user-stat stat-green']""),2,1))-8)),0)"),0.0)</f>
        <v>0</v>
      </c>
    </row>
    <row r="184" ht="15.0" customHeight="1">
      <c r="A184" s="50">
        <f t="shared" si="9"/>
        <v>177</v>
      </c>
      <c r="B184" s="51" t="str">
        <f t="shared" si="2"/>
        <v>Chilli 🌶️ Killer ☠️ #177 | R11 - C13</v>
      </c>
      <c r="C184" s="52">
        <v>11.0</v>
      </c>
      <c r="D184" s="52">
        <v>13.0</v>
      </c>
      <c r="E184" s="53">
        <v>48.16209916</v>
      </c>
      <c r="F184" s="53">
        <v>17.14500656</v>
      </c>
      <c r="G184" s="54" t="s">
        <v>42</v>
      </c>
      <c r="H184" s="55" t="str">
        <f t="shared" si="12"/>
        <v>Kapor24</v>
      </c>
      <c r="I184" s="56" t="s">
        <v>214</v>
      </c>
      <c r="J184" s="57"/>
      <c r="K184" s="58" t="b">
        <v>1</v>
      </c>
      <c r="L184" s="59">
        <f t="shared" si="13"/>
        <v>0</v>
      </c>
      <c r="M184" s="59">
        <f t="shared" si="14"/>
        <v>0</v>
      </c>
      <c r="N184" s="59">
        <f t="shared" si="15"/>
        <v>0</v>
      </c>
      <c r="O184" s="60" t="str">
        <f t="shared" si="16"/>
        <v/>
      </c>
      <c r="P184" s="61" t="str">
        <f>IFERROR(__xludf.DUMMYFUNCTION("IF($N184=1,IFERROR(IMPORTXML($I184, ""//p[@class='status-date']""), ""Not Loading""),"""")"),"")</f>
        <v/>
      </c>
      <c r="Q184" s="65"/>
      <c r="R184" s="65"/>
      <c r="S184" s="65"/>
      <c r="T184" s="65"/>
      <c r="U184" s="62" t="str">
        <f t="shared" si="8"/>
        <v>Kapor24</v>
      </c>
      <c r="V184" s="63">
        <f>IFERROR(__xludf.DUMMYFUNCTION("iferror(VALUE(left(index(IMPORTXML(I186, ""//div[@class='col-lg-2 user-stat stat-green']""),2,1),len(index(IMPORTXML(I186, ""//div[@class='col-lg-2 user-stat stat-green']""),2,1))-8)),0)"),0.0)</f>
        <v>0</v>
      </c>
    </row>
    <row r="185" ht="15.0" customHeight="1">
      <c r="A185" s="50">
        <f t="shared" si="9"/>
        <v>178</v>
      </c>
      <c r="B185" s="51" t="str">
        <f t="shared" si="2"/>
        <v>Chilli 🌶️ Killer ☠️ #178 | R11 - C14</v>
      </c>
      <c r="C185" s="52">
        <v>11.0</v>
      </c>
      <c r="D185" s="52">
        <v>14.0</v>
      </c>
      <c r="E185" s="53">
        <v>48.16209915</v>
      </c>
      <c r="F185" s="53">
        <v>17.14522204</v>
      </c>
      <c r="G185" s="54" t="s">
        <v>42</v>
      </c>
      <c r="H185" s="55" t="str">
        <f t="shared" si="12"/>
        <v>jurikvandspol</v>
      </c>
      <c r="I185" s="56" t="s">
        <v>215</v>
      </c>
      <c r="J185" s="57"/>
      <c r="K185" s="58" t="b">
        <v>1</v>
      </c>
      <c r="L185" s="59">
        <f t="shared" si="13"/>
        <v>0</v>
      </c>
      <c r="M185" s="59">
        <f t="shared" si="14"/>
        <v>0</v>
      </c>
      <c r="N185" s="59">
        <f t="shared" si="15"/>
        <v>0</v>
      </c>
      <c r="O185" s="60" t="str">
        <f t="shared" si="16"/>
        <v/>
      </c>
      <c r="P185" s="61" t="str">
        <f>IFERROR(__xludf.DUMMYFUNCTION("IF($N185=1,IFERROR(IMPORTXML($I185, ""//p[@class='status-date']""), ""Not Loading""),"""")"),"")</f>
        <v/>
      </c>
      <c r="Q185" s="64"/>
      <c r="R185" s="64"/>
      <c r="S185" s="64"/>
      <c r="T185" s="64"/>
      <c r="U185" s="62" t="str">
        <f t="shared" si="8"/>
        <v>jurikvandspol</v>
      </c>
      <c r="V185" s="63">
        <f>IFERROR(__xludf.DUMMYFUNCTION("iferror(VALUE(left(index(IMPORTXML(I187, ""//div[@class='col-lg-2 user-stat stat-green']""),2,1),len(index(IMPORTXML(I187, ""//div[@class='col-lg-2 user-stat stat-green']""),2,1))-8)),0)"),0.0)</f>
        <v>0</v>
      </c>
    </row>
    <row r="186" ht="15.0" customHeight="1">
      <c r="A186" s="50">
        <f t="shared" si="9"/>
        <v>179</v>
      </c>
      <c r="B186" s="51" t="str">
        <f t="shared" si="2"/>
        <v>Chilli 🌶️ Killer ☠️ #179 | R11 - C15</v>
      </c>
      <c r="C186" s="52">
        <v>11.0</v>
      </c>
      <c r="D186" s="52">
        <v>15.0</v>
      </c>
      <c r="E186" s="53">
        <v>48.16209915</v>
      </c>
      <c r="F186" s="53">
        <v>17.14543752</v>
      </c>
      <c r="G186" s="54" t="s">
        <v>42</v>
      </c>
      <c r="H186" s="55" t="str">
        <f t="shared" si="12"/>
        <v>Franske</v>
      </c>
      <c r="I186" s="56" t="s">
        <v>216</v>
      </c>
      <c r="J186" s="57"/>
      <c r="K186" s="58" t="b">
        <v>1</v>
      </c>
      <c r="L186" s="59">
        <f t="shared" si="13"/>
        <v>0</v>
      </c>
      <c r="M186" s="59">
        <f t="shared" si="14"/>
        <v>0</v>
      </c>
      <c r="N186" s="59">
        <f t="shared" si="15"/>
        <v>0</v>
      </c>
      <c r="O186" s="60" t="str">
        <f t="shared" si="16"/>
        <v/>
      </c>
      <c r="P186" s="61" t="str">
        <f>IFERROR(__xludf.DUMMYFUNCTION("IF($N186=1,IFERROR(IMPORTXML($I186, ""//p[@class='status-date']""), ""Not Loading""),"""")"),"")</f>
        <v/>
      </c>
      <c r="Q186" s="65"/>
      <c r="R186" s="65"/>
      <c r="S186" s="65"/>
      <c r="T186" s="65"/>
      <c r="U186" s="62" t="str">
        <f t="shared" si="8"/>
        <v>Franske</v>
      </c>
      <c r="V186" s="63">
        <f>IFERROR(__xludf.DUMMYFUNCTION("iferror(VALUE(left(index(IMPORTXML(I188, ""//div[@class='col-lg-2 user-stat stat-green']""),2,1),len(index(IMPORTXML(I188, ""//div[@class='col-lg-2 user-stat stat-green']""),2,1))-8)),0)"),0.0)</f>
        <v>0</v>
      </c>
    </row>
    <row r="187" ht="15.0" customHeight="1">
      <c r="A187" s="50">
        <f t="shared" si="9"/>
        <v>180</v>
      </c>
      <c r="B187" s="51" t="str">
        <f t="shared" si="2"/>
        <v>Chilli 🌶️ Killer ☠️ #180 | R11 - C16</v>
      </c>
      <c r="C187" s="52">
        <v>11.0</v>
      </c>
      <c r="D187" s="52">
        <v>16.0</v>
      </c>
      <c r="E187" s="53">
        <v>48.16209915</v>
      </c>
      <c r="F187" s="53">
        <v>17.145653</v>
      </c>
      <c r="G187" s="54" t="s">
        <v>42</v>
      </c>
      <c r="H187" s="55" t="str">
        <f t="shared" si="12"/>
        <v>teamsturms</v>
      </c>
      <c r="I187" s="56" t="s">
        <v>217</v>
      </c>
      <c r="J187" s="57"/>
      <c r="K187" s="58" t="b">
        <v>1</v>
      </c>
      <c r="L187" s="59">
        <f t="shared" si="13"/>
        <v>0</v>
      </c>
      <c r="M187" s="59">
        <f t="shared" si="14"/>
        <v>0</v>
      </c>
      <c r="N187" s="59">
        <f t="shared" si="15"/>
        <v>0</v>
      </c>
      <c r="O187" s="60" t="str">
        <f t="shared" si="16"/>
        <v/>
      </c>
      <c r="P187" s="61" t="str">
        <f>IFERROR(__xludf.DUMMYFUNCTION("IF($N187=1,IFERROR(IMPORTXML($I187, ""//p[@class='status-date']""), ""Not Loading""),"""")"),"")</f>
        <v/>
      </c>
      <c r="Q187" s="64"/>
      <c r="R187" s="64"/>
      <c r="S187" s="64"/>
      <c r="T187" s="64"/>
      <c r="U187" s="62" t="str">
        <f t="shared" si="8"/>
        <v>teamsturms</v>
      </c>
      <c r="V187" s="63">
        <f>IFERROR(__xludf.DUMMYFUNCTION("iferror(VALUE(left(index(IMPORTXML(I189, ""//div[@class='col-lg-2 user-stat stat-green']""),2,1),len(index(IMPORTXML(I189, ""//div[@class='col-lg-2 user-stat stat-green']""),2,1))-8)),0)"),0.0)</f>
        <v>0</v>
      </c>
    </row>
    <row r="188" ht="15.0" customHeight="1">
      <c r="A188" s="50">
        <f t="shared" si="9"/>
        <v>181</v>
      </c>
      <c r="B188" s="51" t="str">
        <f t="shared" si="2"/>
        <v>Chilli 🌶️ Killer ☠️ #181 | R11 - C17</v>
      </c>
      <c r="C188" s="52">
        <v>11.0</v>
      </c>
      <c r="D188" s="52">
        <v>17.0</v>
      </c>
      <c r="E188" s="53">
        <v>48.16209915</v>
      </c>
      <c r="F188" s="53">
        <v>17.14586848</v>
      </c>
      <c r="G188" s="54" t="s">
        <v>42</v>
      </c>
      <c r="H188" s="55" t="str">
        <f t="shared" si="12"/>
        <v>Aiden29</v>
      </c>
      <c r="I188" s="56" t="s">
        <v>218</v>
      </c>
      <c r="J188" s="57"/>
      <c r="K188" s="58" t="b">
        <v>1</v>
      </c>
      <c r="L188" s="59">
        <f t="shared" si="13"/>
        <v>0</v>
      </c>
      <c r="M188" s="59">
        <f t="shared" si="14"/>
        <v>0</v>
      </c>
      <c r="N188" s="59">
        <f t="shared" si="15"/>
        <v>0</v>
      </c>
      <c r="O188" s="60" t="str">
        <f t="shared" si="16"/>
        <v/>
      </c>
      <c r="P188" s="61" t="str">
        <f>IFERROR(__xludf.DUMMYFUNCTION("IF($N188=1,IFERROR(IMPORTXML($I188, ""//p[@class='status-date']""), ""Not Loading""),"""")"),"")</f>
        <v/>
      </c>
      <c r="Q188" s="65"/>
      <c r="R188" s="65"/>
      <c r="S188" s="65"/>
      <c r="T188" s="65"/>
      <c r="U188" s="62" t="str">
        <f t="shared" si="8"/>
        <v>Aiden29</v>
      </c>
      <c r="V188" s="63">
        <f>IFERROR(__xludf.DUMMYFUNCTION("iferror(VALUE(left(index(IMPORTXML(I190, ""//div[@class='col-lg-2 user-stat stat-green']""),2,1),len(index(IMPORTXML(I190, ""//div[@class='col-lg-2 user-stat stat-green']""),2,1))-8)),0)"),0.0)</f>
        <v>0</v>
      </c>
    </row>
    <row r="189" ht="15.0" customHeight="1">
      <c r="A189" s="50">
        <f t="shared" si="9"/>
        <v>182</v>
      </c>
      <c r="B189" s="51" t="str">
        <f t="shared" si="2"/>
        <v>Chilli 🌶️ Killer ☠️ #182 | R11 - C18</v>
      </c>
      <c r="C189" s="52">
        <v>11.0</v>
      </c>
      <c r="D189" s="52">
        <v>18.0</v>
      </c>
      <c r="E189" s="53">
        <v>48.16209915</v>
      </c>
      <c r="F189" s="53">
        <v>17.14608396</v>
      </c>
      <c r="G189" s="54" t="s">
        <v>42</v>
      </c>
      <c r="H189" s="55" t="str">
        <f t="shared" si="12"/>
        <v>Frikandelbroodjes</v>
      </c>
      <c r="I189" s="56" t="s">
        <v>219</v>
      </c>
      <c r="J189" s="57"/>
      <c r="K189" s="58" t="b">
        <v>1</v>
      </c>
      <c r="L189" s="59">
        <f t="shared" si="13"/>
        <v>0</v>
      </c>
      <c r="M189" s="59">
        <f t="shared" si="14"/>
        <v>0</v>
      </c>
      <c r="N189" s="59">
        <f t="shared" si="15"/>
        <v>0</v>
      </c>
      <c r="O189" s="60" t="str">
        <f t="shared" si="16"/>
        <v/>
      </c>
      <c r="P189" s="61" t="str">
        <f>IFERROR(__xludf.DUMMYFUNCTION("IF($N189=1,IFERROR(IMPORTXML($I189, ""//p[@class='status-date']""), ""Not Loading""),"""")"),"")</f>
        <v/>
      </c>
      <c r="Q189" s="64"/>
      <c r="R189" s="64"/>
      <c r="S189" s="64"/>
      <c r="T189" s="64"/>
      <c r="U189" s="62" t="str">
        <f t="shared" si="8"/>
        <v>Frikandelbroodjes</v>
      </c>
      <c r="V189" s="63">
        <f>IFERROR(__xludf.DUMMYFUNCTION("iferror(VALUE(left(index(IMPORTXML(I191, ""//div[@class='col-lg-2 user-stat stat-green']""),2,1),len(index(IMPORTXML(I191, ""//div[@class='col-lg-2 user-stat stat-green']""),2,1))-8)),0)"),0.0)</f>
        <v>0</v>
      </c>
    </row>
    <row r="190" ht="15.0" customHeight="1">
      <c r="A190" s="50">
        <f t="shared" si="9"/>
        <v>183</v>
      </c>
      <c r="B190" s="51" t="str">
        <f t="shared" si="2"/>
        <v>Chilli 🌶️ Killer ☠️ #183 | R11 - C19</v>
      </c>
      <c r="C190" s="52">
        <v>11.0</v>
      </c>
      <c r="D190" s="52">
        <v>19.0</v>
      </c>
      <c r="E190" s="53">
        <v>48.16209915</v>
      </c>
      <c r="F190" s="53">
        <v>17.14629944</v>
      </c>
      <c r="G190" s="54" t="s">
        <v>42</v>
      </c>
      <c r="H190" s="55" t="str">
        <f t="shared" si="12"/>
        <v>Neloras</v>
      </c>
      <c r="I190" s="56" t="s">
        <v>220</v>
      </c>
      <c r="J190" s="57"/>
      <c r="K190" s="58" t="b">
        <v>1</v>
      </c>
      <c r="L190" s="59">
        <f t="shared" si="13"/>
        <v>0</v>
      </c>
      <c r="M190" s="59">
        <f t="shared" si="14"/>
        <v>0</v>
      </c>
      <c r="N190" s="59">
        <f t="shared" si="15"/>
        <v>0</v>
      </c>
      <c r="O190" s="60" t="str">
        <f t="shared" si="16"/>
        <v/>
      </c>
      <c r="P190" s="61" t="str">
        <f>IFERROR(__xludf.DUMMYFUNCTION("IF($N190=1,IFERROR(IMPORTXML($I190, ""//p[@class='status-date']""), ""Not Loading""),"""")"),"")</f>
        <v/>
      </c>
      <c r="Q190" s="65"/>
      <c r="R190" s="65"/>
      <c r="S190" s="65"/>
      <c r="T190" s="65"/>
      <c r="U190" s="62" t="str">
        <f t="shared" si="8"/>
        <v>Neloras</v>
      </c>
      <c r="V190" s="63">
        <f>IFERROR(__xludf.DUMMYFUNCTION("iferror(VALUE(left(index(IMPORTXML(I192, ""//div[@class='col-lg-2 user-stat stat-green']""),2,1),len(index(IMPORTXML(I192, ""//div[@class='col-lg-2 user-stat stat-green']""),2,1))-8)),0)"),0.0)</f>
        <v>0</v>
      </c>
    </row>
    <row r="191" ht="15.0" customHeight="1">
      <c r="A191" s="50">
        <f t="shared" si="9"/>
        <v>184</v>
      </c>
      <c r="B191" s="51" t="str">
        <f t="shared" si="2"/>
        <v>Chilli 🌶️ Killer ☠️ #184 | R11 - C20</v>
      </c>
      <c r="C191" s="52">
        <v>11.0</v>
      </c>
      <c r="D191" s="52">
        <v>20.0</v>
      </c>
      <c r="E191" s="53">
        <v>48.16209915</v>
      </c>
      <c r="F191" s="53">
        <v>17.14651491</v>
      </c>
      <c r="G191" s="54" t="s">
        <v>42</v>
      </c>
      <c r="H191" s="55" t="str">
        <f t="shared" si="12"/>
        <v>Lorax1</v>
      </c>
      <c r="I191" s="56" t="s">
        <v>221</v>
      </c>
      <c r="J191" s="57"/>
      <c r="K191" s="58" t="b">
        <v>1</v>
      </c>
      <c r="L191" s="59">
        <f t="shared" si="13"/>
        <v>0</v>
      </c>
      <c r="M191" s="59">
        <f t="shared" si="14"/>
        <v>0</v>
      </c>
      <c r="N191" s="59">
        <f t="shared" si="15"/>
        <v>0</v>
      </c>
      <c r="O191" s="60" t="str">
        <f t="shared" si="16"/>
        <v/>
      </c>
      <c r="P191" s="61" t="str">
        <f>IFERROR(__xludf.DUMMYFUNCTION("IF($N191=1,IFERROR(IMPORTXML($I191, ""//p[@class='status-date']""), ""Not Loading""),"""")"),"")</f>
        <v/>
      </c>
      <c r="Q191" s="64"/>
      <c r="R191" s="64"/>
      <c r="S191" s="64"/>
      <c r="T191" s="64"/>
      <c r="U191" s="62" t="str">
        <f t="shared" si="8"/>
        <v>Lorax1</v>
      </c>
      <c r="V191" s="63">
        <f>IFERROR(__xludf.DUMMYFUNCTION("iferror(VALUE(left(index(IMPORTXML(I193, ""//div[@class='col-lg-2 user-stat stat-green']""),2,1),len(index(IMPORTXML(I193, ""//div[@class='col-lg-2 user-stat stat-green']""),2,1))-8)),0)"),0.0)</f>
        <v>0</v>
      </c>
    </row>
    <row r="192" ht="15.0" customHeight="1">
      <c r="A192" s="50">
        <f t="shared" si="9"/>
        <v>185</v>
      </c>
      <c r="B192" s="51" t="str">
        <f t="shared" si="2"/>
        <v>Chilli 🌶️ Killer ☠️ #185 | R11 - C21</v>
      </c>
      <c r="C192" s="52">
        <v>11.0</v>
      </c>
      <c r="D192" s="52">
        <v>21.0</v>
      </c>
      <c r="E192" s="53">
        <v>48.16209915</v>
      </c>
      <c r="F192" s="53">
        <v>17.14673039</v>
      </c>
      <c r="G192" s="54" t="s">
        <v>42</v>
      </c>
      <c r="H192" s="55" t="str">
        <f t="shared" si="12"/>
        <v>Kapor24</v>
      </c>
      <c r="I192" s="56" t="s">
        <v>222</v>
      </c>
      <c r="J192" s="57"/>
      <c r="K192" s="58" t="b">
        <v>1</v>
      </c>
      <c r="L192" s="59">
        <f t="shared" si="13"/>
        <v>0</v>
      </c>
      <c r="M192" s="59">
        <f t="shared" si="14"/>
        <v>0</v>
      </c>
      <c r="N192" s="59">
        <f t="shared" si="15"/>
        <v>0</v>
      </c>
      <c r="O192" s="60" t="str">
        <f t="shared" si="16"/>
        <v/>
      </c>
      <c r="P192" s="61" t="str">
        <f>IFERROR(__xludf.DUMMYFUNCTION("IF($N192=1,IFERROR(IMPORTXML($I192, ""//p[@class='status-date']""), ""Not Loading""),"""")"),"")</f>
        <v/>
      </c>
      <c r="Q192" s="65"/>
      <c r="R192" s="65"/>
      <c r="S192" s="65"/>
      <c r="T192" s="65"/>
      <c r="U192" s="62" t="str">
        <f t="shared" si="8"/>
        <v>Kapor24</v>
      </c>
      <c r="V192" s="63">
        <f>IFERROR(__xludf.DUMMYFUNCTION("iferror(VALUE(left(index(IMPORTXML(I194, ""//div[@class='col-lg-2 user-stat stat-green']""),2,1),len(index(IMPORTXML(I194, ""//div[@class='col-lg-2 user-stat stat-green']""),2,1))-8)),0)"),0.0)</f>
        <v>0</v>
      </c>
    </row>
    <row r="193" ht="15.0" customHeight="1">
      <c r="A193" s="50">
        <f t="shared" si="9"/>
        <v>186</v>
      </c>
      <c r="B193" s="51" t="str">
        <f t="shared" si="2"/>
        <v>Chilli 🌶️ Killer ☠️ #186 | R11 - C22</v>
      </c>
      <c r="C193" s="52">
        <v>11.0</v>
      </c>
      <c r="D193" s="52">
        <v>22.0</v>
      </c>
      <c r="E193" s="53">
        <v>48.16209915</v>
      </c>
      <c r="F193" s="53">
        <v>17.14694587</v>
      </c>
      <c r="G193" s="54" t="s">
        <v>42</v>
      </c>
      <c r="H193" s="55" t="str">
        <f t="shared" si="12"/>
        <v>mathew611</v>
      </c>
      <c r="I193" s="56" t="s">
        <v>223</v>
      </c>
      <c r="J193" s="57"/>
      <c r="K193" s="58" t="b">
        <v>1</v>
      </c>
      <c r="L193" s="59">
        <f t="shared" si="13"/>
        <v>0</v>
      </c>
      <c r="M193" s="59">
        <f t="shared" si="14"/>
        <v>0</v>
      </c>
      <c r="N193" s="59">
        <f t="shared" si="15"/>
        <v>0</v>
      </c>
      <c r="O193" s="60" t="str">
        <f t="shared" si="16"/>
        <v/>
      </c>
      <c r="P193" s="61" t="str">
        <f>IFERROR(__xludf.DUMMYFUNCTION("IF($N193=1,IFERROR(IMPORTXML($I193, ""//p[@class='status-date']""), ""Not Loading""),"""")"),"")</f>
        <v/>
      </c>
      <c r="Q193" s="64"/>
      <c r="R193" s="64"/>
      <c r="S193" s="64"/>
      <c r="T193" s="64"/>
      <c r="U193" s="62" t="str">
        <f t="shared" si="8"/>
        <v>mathew611</v>
      </c>
      <c r="V193" s="63">
        <f>IFERROR(__xludf.DUMMYFUNCTION("iferror(VALUE(left(index(IMPORTXML(I195, ""//div[@class='col-lg-2 user-stat stat-green']""),2,1),len(index(IMPORTXML(I195, ""//div[@class='col-lg-2 user-stat stat-green']""),2,1))-8)),0)"),0.0)</f>
        <v>0</v>
      </c>
    </row>
    <row r="194" ht="15.0" customHeight="1">
      <c r="A194" s="50">
        <f t="shared" si="9"/>
        <v>187</v>
      </c>
      <c r="B194" s="51" t="str">
        <f t="shared" si="2"/>
        <v>Chilli 🌶️ Killer ☠️ #187 | R11 - C23</v>
      </c>
      <c r="C194" s="52">
        <v>11.0</v>
      </c>
      <c r="D194" s="52">
        <v>23.0</v>
      </c>
      <c r="E194" s="53">
        <v>48.16209915</v>
      </c>
      <c r="F194" s="53">
        <v>17.14716135</v>
      </c>
      <c r="G194" s="54" t="s">
        <v>42</v>
      </c>
      <c r="H194" s="55" t="str">
        <f t="shared" si="12"/>
        <v>Neloras</v>
      </c>
      <c r="I194" s="56" t="s">
        <v>224</v>
      </c>
      <c r="J194" s="57"/>
      <c r="K194" s="58" t="b">
        <v>1</v>
      </c>
      <c r="L194" s="59">
        <f t="shared" si="13"/>
        <v>0</v>
      </c>
      <c r="M194" s="59">
        <f t="shared" si="14"/>
        <v>0</v>
      </c>
      <c r="N194" s="59">
        <f t="shared" si="15"/>
        <v>0</v>
      </c>
      <c r="O194" s="60" t="str">
        <f t="shared" si="16"/>
        <v/>
      </c>
      <c r="P194" s="61" t="str">
        <f>IFERROR(__xludf.DUMMYFUNCTION("IF($N194=1,IFERROR(IMPORTXML($I194, ""//p[@class='status-date']""), ""Not Loading""),"""")"),"")</f>
        <v/>
      </c>
      <c r="Q194" s="65"/>
      <c r="R194" s="65"/>
      <c r="S194" s="65"/>
      <c r="T194" s="65"/>
      <c r="U194" s="62" t="str">
        <f t="shared" si="8"/>
        <v>Neloras</v>
      </c>
      <c r="V194" s="63">
        <f>IFERROR(__xludf.DUMMYFUNCTION("iferror(VALUE(left(index(IMPORTXML(I196, ""//div[@class='col-lg-2 user-stat stat-green']""),2,1),len(index(IMPORTXML(I196, ""//div[@class='col-lg-2 user-stat stat-green']""),2,1))-8)),0)"),0.0)</f>
        <v>0</v>
      </c>
    </row>
    <row r="195" ht="15.0" customHeight="1">
      <c r="A195" s="50">
        <f t="shared" si="9"/>
        <v>188</v>
      </c>
      <c r="B195" s="51" t="str">
        <f t="shared" si="2"/>
        <v>Chilli 🌶️ Killer ☠️ #188 | R11 - C24</v>
      </c>
      <c r="C195" s="52">
        <v>11.0</v>
      </c>
      <c r="D195" s="52">
        <v>24.0</v>
      </c>
      <c r="E195" s="53">
        <v>48.16209915</v>
      </c>
      <c r="F195" s="53">
        <v>17.14737683</v>
      </c>
      <c r="G195" s="54" t="s">
        <v>42</v>
      </c>
      <c r="H195" s="55" t="str">
        <f t="shared" si="12"/>
        <v>Lorax1</v>
      </c>
      <c r="I195" s="56" t="s">
        <v>225</v>
      </c>
      <c r="J195" s="57"/>
      <c r="K195" s="58" t="b">
        <v>1</v>
      </c>
      <c r="L195" s="59">
        <f t="shared" si="13"/>
        <v>0</v>
      </c>
      <c r="M195" s="59">
        <f t="shared" si="14"/>
        <v>0</v>
      </c>
      <c r="N195" s="59">
        <f t="shared" si="15"/>
        <v>0</v>
      </c>
      <c r="O195" s="60" t="str">
        <f t="shared" si="16"/>
        <v/>
      </c>
      <c r="P195" s="61" t="str">
        <f>IFERROR(__xludf.DUMMYFUNCTION("IF($N195=1,IFERROR(IMPORTXML($I195, ""//p[@class='status-date']""), ""Not Loading""),"""")"),"")</f>
        <v/>
      </c>
      <c r="Q195" s="64"/>
      <c r="R195" s="64"/>
      <c r="S195" s="64"/>
      <c r="T195" s="64"/>
      <c r="U195" s="62" t="str">
        <f t="shared" si="8"/>
        <v>Lorax1</v>
      </c>
      <c r="V195" s="63">
        <f>IFERROR(__xludf.DUMMYFUNCTION("iferror(VALUE(left(index(IMPORTXML(I197, ""//div[@class='col-lg-2 user-stat stat-green']""),2,1),len(index(IMPORTXML(I197, ""//div[@class='col-lg-2 user-stat stat-green']""),2,1))-8)),0)"),0.0)</f>
        <v>0</v>
      </c>
    </row>
    <row r="196" ht="15.0" customHeight="1">
      <c r="A196" s="50">
        <f t="shared" si="9"/>
        <v>189</v>
      </c>
      <c r="B196" s="51" t="str">
        <f t="shared" si="2"/>
        <v>Chilli 🌶️ Killer ☠️ #189 | R11 - C25</v>
      </c>
      <c r="C196" s="52">
        <v>11.0</v>
      </c>
      <c r="D196" s="52">
        <v>25.0</v>
      </c>
      <c r="E196" s="53">
        <v>48.16209915</v>
      </c>
      <c r="F196" s="53">
        <v>17.14759231</v>
      </c>
      <c r="G196" s="54" t="s">
        <v>42</v>
      </c>
      <c r="H196" s="55" t="str">
        <f t="shared" si="12"/>
        <v>NikitaStolk</v>
      </c>
      <c r="I196" s="56" t="s">
        <v>226</v>
      </c>
      <c r="J196" s="57"/>
      <c r="K196" s="58" t="b">
        <v>1</v>
      </c>
      <c r="L196" s="59">
        <f t="shared" si="13"/>
        <v>0</v>
      </c>
      <c r="M196" s="59">
        <f t="shared" si="14"/>
        <v>0</v>
      </c>
      <c r="N196" s="59">
        <f t="shared" si="15"/>
        <v>0</v>
      </c>
      <c r="O196" s="60" t="str">
        <f t="shared" si="16"/>
        <v/>
      </c>
      <c r="P196" s="61" t="str">
        <f>IFERROR(__xludf.DUMMYFUNCTION("IF($N196=1,IFERROR(IMPORTXML($I196, ""//p[@class='status-date']""), ""Not Loading""),"""")"),"")</f>
        <v/>
      </c>
      <c r="Q196" s="65"/>
      <c r="R196" s="65"/>
      <c r="S196" s="65"/>
      <c r="T196" s="65"/>
      <c r="U196" s="62" t="str">
        <f t="shared" si="8"/>
        <v>NikitaStolk</v>
      </c>
      <c r="V196" s="63">
        <f>IFERROR(__xludf.DUMMYFUNCTION("iferror(VALUE(left(index(IMPORTXML(I198, ""//div[@class='col-lg-2 user-stat stat-green']""),2,1),len(index(IMPORTXML(I198, ""//div[@class='col-lg-2 user-stat stat-green']""),2,1))-8)),0)"),0.0)</f>
        <v>0</v>
      </c>
    </row>
    <row r="197" ht="15.0" customHeight="1">
      <c r="A197" s="50">
        <f t="shared" si="9"/>
        <v>190</v>
      </c>
      <c r="B197" s="51" t="str">
        <f t="shared" si="2"/>
        <v>Chilli 🌶️ Killer ☠️ #190 | R11 - C26</v>
      </c>
      <c r="C197" s="52">
        <v>11.0</v>
      </c>
      <c r="D197" s="52">
        <v>26.0</v>
      </c>
      <c r="E197" s="53">
        <v>48.16209915</v>
      </c>
      <c r="F197" s="53">
        <v>17.14780779</v>
      </c>
      <c r="G197" s="54" t="s">
        <v>42</v>
      </c>
      <c r="H197" s="55" t="str">
        <f t="shared" si="12"/>
        <v>Neloras</v>
      </c>
      <c r="I197" s="56" t="s">
        <v>227</v>
      </c>
      <c r="J197" s="57"/>
      <c r="K197" s="58" t="b">
        <v>1</v>
      </c>
      <c r="L197" s="59">
        <f t="shared" si="13"/>
        <v>0</v>
      </c>
      <c r="M197" s="59">
        <f t="shared" si="14"/>
        <v>0</v>
      </c>
      <c r="N197" s="59">
        <f t="shared" si="15"/>
        <v>0</v>
      </c>
      <c r="O197" s="60" t="str">
        <f t="shared" si="16"/>
        <v/>
      </c>
      <c r="P197" s="61" t="str">
        <f>IFERROR(__xludf.DUMMYFUNCTION("IF($N197=1,IFERROR(IMPORTXML($I197, ""//p[@class='status-date']""), ""Not Loading""),"""")"),"")</f>
        <v/>
      </c>
      <c r="Q197" s="64"/>
      <c r="R197" s="64"/>
      <c r="S197" s="64"/>
      <c r="T197" s="64"/>
      <c r="U197" s="62" t="str">
        <f t="shared" si="8"/>
        <v>Neloras</v>
      </c>
      <c r="V197" s="63">
        <f>IFERROR(__xludf.DUMMYFUNCTION("iferror(VALUE(left(index(IMPORTXML(I199, ""//div[@class='col-lg-2 user-stat stat-green']""),2,1),len(index(IMPORTXML(I199, ""//div[@class='col-lg-2 user-stat stat-green']""),2,1))-8)),0)"),0.0)</f>
        <v>0</v>
      </c>
    </row>
    <row r="198" ht="15.0" customHeight="1">
      <c r="A198" s="50">
        <f t="shared" si="9"/>
        <v>191</v>
      </c>
      <c r="B198" s="51" t="str">
        <f t="shared" si="2"/>
        <v>Chilli 🌶️ Killer ☠️ #191 | R11 - C27</v>
      </c>
      <c r="C198" s="52">
        <v>11.0</v>
      </c>
      <c r="D198" s="52">
        <v>27.0</v>
      </c>
      <c r="E198" s="53">
        <v>48.16209915</v>
      </c>
      <c r="F198" s="53">
        <v>17.14802327</v>
      </c>
      <c r="G198" s="54" t="s">
        <v>42</v>
      </c>
      <c r="H198" s="55" t="str">
        <f t="shared" si="12"/>
        <v>Nicolet</v>
      </c>
      <c r="I198" s="56" t="s">
        <v>228</v>
      </c>
      <c r="J198" s="57"/>
      <c r="K198" s="58" t="b">
        <v>1</v>
      </c>
      <c r="L198" s="59">
        <f t="shared" si="13"/>
        <v>0</v>
      </c>
      <c r="M198" s="59">
        <f t="shared" si="14"/>
        <v>0</v>
      </c>
      <c r="N198" s="59">
        <f t="shared" si="15"/>
        <v>0</v>
      </c>
      <c r="O198" s="60" t="str">
        <f t="shared" si="16"/>
        <v/>
      </c>
      <c r="P198" s="61" t="str">
        <f>IFERROR(__xludf.DUMMYFUNCTION("IF($N198=1,IFERROR(IMPORTXML($I198, ""//p[@class='status-date']""), ""Not Loading""),"""")"),"")</f>
        <v/>
      </c>
      <c r="Q198" s="65"/>
      <c r="R198" s="65"/>
      <c r="S198" s="65"/>
      <c r="T198" s="65"/>
      <c r="U198" s="62" t="str">
        <f t="shared" si="8"/>
        <v>Nicolet</v>
      </c>
      <c r="V198" s="63">
        <f>IFERROR(__xludf.DUMMYFUNCTION("iferror(VALUE(left(index(IMPORTXML(I200, ""//div[@class='col-lg-2 user-stat stat-green']""),2,1),len(index(IMPORTXML(I200, ""//div[@class='col-lg-2 user-stat stat-green']""),2,1))-8)),0)"),0.0)</f>
        <v>0</v>
      </c>
    </row>
    <row r="199" ht="15.0" customHeight="1">
      <c r="A199" s="50">
        <f t="shared" si="9"/>
        <v>192</v>
      </c>
      <c r="B199" s="51" t="str">
        <f t="shared" si="2"/>
        <v>Chilli 🌶️ Killer ☠️ #192 | R11 - C28</v>
      </c>
      <c r="C199" s="52">
        <v>11.0</v>
      </c>
      <c r="D199" s="52">
        <v>28.0</v>
      </c>
      <c r="E199" s="53">
        <v>48.16209915</v>
      </c>
      <c r="F199" s="53">
        <v>17.14823875</v>
      </c>
      <c r="G199" s="54" t="s">
        <v>42</v>
      </c>
      <c r="H199" s="55" t="str">
        <f t="shared" si="12"/>
        <v>Kapor24</v>
      </c>
      <c r="I199" s="56" t="s">
        <v>229</v>
      </c>
      <c r="J199" s="57"/>
      <c r="K199" s="58" t="b">
        <v>1</v>
      </c>
      <c r="L199" s="59">
        <f t="shared" si="13"/>
        <v>0</v>
      </c>
      <c r="M199" s="59">
        <f t="shared" si="14"/>
        <v>0</v>
      </c>
      <c r="N199" s="59">
        <f t="shared" si="15"/>
        <v>0</v>
      </c>
      <c r="O199" s="60" t="str">
        <f t="shared" si="16"/>
        <v/>
      </c>
      <c r="P199" s="61" t="str">
        <f>IFERROR(__xludf.DUMMYFUNCTION("IF($N199=1,IFERROR(IMPORTXML($I199, ""//p[@class='status-date']""), ""Not Loading""),"""")"),"")</f>
        <v/>
      </c>
      <c r="Q199" s="64"/>
      <c r="R199" s="64"/>
      <c r="S199" s="64"/>
      <c r="T199" s="64"/>
      <c r="U199" s="62" t="str">
        <f t="shared" si="8"/>
        <v>Kapor24</v>
      </c>
      <c r="V199" s="63">
        <f>IFERROR(__xludf.DUMMYFUNCTION("iferror(VALUE(left(index(IMPORTXML(I201, ""//div[@class='col-lg-2 user-stat stat-green']""),2,1),len(index(IMPORTXML(I201, ""//div[@class='col-lg-2 user-stat stat-green']""),2,1))-8)),0)"),0.0)</f>
        <v>0</v>
      </c>
    </row>
    <row r="200" ht="15.0" customHeight="1">
      <c r="A200" s="50">
        <f t="shared" si="9"/>
        <v>193</v>
      </c>
      <c r="B200" s="51" t="str">
        <f t="shared" si="2"/>
        <v>Chilli 🌶️ Killer ☠️ #193 | R11 - C29</v>
      </c>
      <c r="C200" s="52">
        <v>11.0</v>
      </c>
      <c r="D200" s="52">
        <v>29.0</v>
      </c>
      <c r="E200" s="53">
        <v>48.16209915</v>
      </c>
      <c r="F200" s="53">
        <v>17.14845423</v>
      </c>
      <c r="G200" s="54" t="s">
        <v>33</v>
      </c>
      <c r="H200" s="55" t="str">
        <f t="shared" si="12"/>
        <v>woenny</v>
      </c>
      <c r="I200" s="56" t="s">
        <v>230</v>
      </c>
      <c r="J200" s="57"/>
      <c r="K200" s="58" t="b">
        <v>1</v>
      </c>
      <c r="L200" s="59">
        <f t="shared" si="13"/>
        <v>0</v>
      </c>
      <c r="M200" s="59">
        <f t="shared" si="14"/>
        <v>0</v>
      </c>
      <c r="N200" s="59">
        <f t="shared" si="15"/>
        <v>0</v>
      </c>
      <c r="O200" s="60" t="str">
        <f t="shared" si="16"/>
        <v/>
      </c>
      <c r="P200" s="61" t="str">
        <f>IFERROR(__xludf.DUMMYFUNCTION("IF($N200=1,IFERROR(IMPORTXML($I200, ""//p[@class='status-date']""), ""Not Loading""),"""")"),"")</f>
        <v/>
      </c>
      <c r="Q200" s="65"/>
      <c r="R200" s="65"/>
      <c r="S200" s="65"/>
      <c r="T200" s="65"/>
      <c r="U200" s="62" t="str">
        <f t="shared" si="8"/>
        <v>woenny</v>
      </c>
      <c r="V200" s="63">
        <f>IFERROR(__xludf.DUMMYFUNCTION("iferror(VALUE(left(index(IMPORTXML(I202, ""//div[@class='col-lg-2 user-stat stat-green']""),2,1),len(index(IMPORTXML(I202, ""//div[@class='col-lg-2 user-stat stat-green']""),2,1))-8)),0)"),0.0)</f>
        <v>0</v>
      </c>
    </row>
    <row r="201" ht="15.0" customHeight="1">
      <c r="A201" s="50">
        <f t="shared" si="9"/>
        <v>194</v>
      </c>
      <c r="B201" s="51" t="str">
        <f t="shared" si="2"/>
        <v>Chilli 🌶️ Killer ☠️ #194 | R11 - C31</v>
      </c>
      <c r="C201" s="52">
        <v>11.0</v>
      </c>
      <c r="D201" s="52">
        <v>31.0</v>
      </c>
      <c r="E201" s="53">
        <v>48.16209915</v>
      </c>
      <c r="F201" s="53">
        <v>17.14888519</v>
      </c>
      <c r="G201" s="54" t="s">
        <v>33</v>
      </c>
      <c r="H201" s="55" t="str">
        <f t="shared" si="12"/>
        <v>Insert URL ▶</v>
      </c>
      <c r="I201" s="56"/>
      <c r="J201" s="57"/>
      <c r="K201" s="58" t="b">
        <v>0</v>
      </c>
      <c r="L201" s="59">
        <f t="shared" si="13"/>
        <v>1</v>
      </c>
      <c r="M201" s="59">
        <f t="shared" si="14"/>
        <v>0</v>
      </c>
      <c r="N201" s="59">
        <f t="shared" si="15"/>
        <v>0</v>
      </c>
      <c r="O201" s="60" t="str">
        <f t="shared" si="16"/>
        <v/>
      </c>
      <c r="P201" s="61" t="str">
        <f>IFERROR(__xludf.DUMMYFUNCTION("IF($N201=1,IFERROR(IMPORTXML($I201, ""//p[@class='status-date']""), ""Not Loading""),"""")"),"")</f>
        <v/>
      </c>
      <c r="Q201" s="64"/>
      <c r="R201" s="64"/>
      <c r="S201" s="64"/>
      <c r="T201" s="64"/>
      <c r="U201" s="62" t="str">
        <f t="shared" si="8"/>
        <v/>
      </c>
      <c r="V201" s="63">
        <f>IFERROR(__xludf.DUMMYFUNCTION("iferror(VALUE(left(index(IMPORTXML(I203, ""//div[@class='col-lg-2 user-stat stat-green']""),2,1),len(index(IMPORTXML(I203, ""//div[@class='col-lg-2 user-stat stat-green']""),2,1))-8)),0)"),0.0)</f>
        <v>0</v>
      </c>
    </row>
    <row r="202" ht="15.0" customHeight="1">
      <c r="A202" s="50">
        <f t="shared" si="9"/>
        <v>195</v>
      </c>
      <c r="B202" s="51" t="str">
        <f t="shared" si="2"/>
        <v>Chilli 🌶️ Killer ☠️ #195 | R11 - C32</v>
      </c>
      <c r="C202" s="52">
        <v>11.0</v>
      </c>
      <c r="D202" s="52">
        <v>32.0</v>
      </c>
      <c r="E202" s="53">
        <v>48.16209915</v>
      </c>
      <c r="F202" s="53">
        <v>17.14910067</v>
      </c>
      <c r="G202" s="54" t="s">
        <v>33</v>
      </c>
      <c r="H202" s="55" t="str">
        <f t="shared" si="12"/>
        <v>Insert URL ▶</v>
      </c>
      <c r="I202" s="56"/>
      <c r="J202" s="57"/>
      <c r="K202" s="58" t="b">
        <v>0</v>
      </c>
      <c r="L202" s="59">
        <f t="shared" si="13"/>
        <v>1</v>
      </c>
      <c r="M202" s="59">
        <f t="shared" si="14"/>
        <v>0</v>
      </c>
      <c r="N202" s="59">
        <f t="shared" si="15"/>
        <v>0</v>
      </c>
      <c r="O202" s="60" t="str">
        <f t="shared" si="16"/>
        <v/>
      </c>
      <c r="P202" s="61" t="str">
        <f>IFERROR(__xludf.DUMMYFUNCTION("IF($N202=1,IFERROR(IMPORTXML($I202, ""//p[@class='status-date']""), ""Not Loading""),"""")"),"")</f>
        <v/>
      </c>
      <c r="Q202" s="65"/>
      <c r="R202" s="65"/>
      <c r="S202" s="65"/>
      <c r="T202" s="65"/>
      <c r="U202" s="62" t="str">
        <f t="shared" si="8"/>
        <v/>
      </c>
      <c r="V202" s="63">
        <f>IFERROR(__xludf.DUMMYFUNCTION("iferror(VALUE(left(index(IMPORTXML(I204, ""//div[@class='col-lg-2 user-stat stat-green']""),2,1),len(index(IMPORTXML(I204, ""//div[@class='col-lg-2 user-stat stat-green']""),2,1))-8)),0)"),0.0)</f>
        <v>0</v>
      </c>
    </row>
    <row r="203" ht="15.0" customHeight="1">
      <c r="A203" s="50">
        <f t="shared" si="9"/>
        <v>196</v>
      </c>
      <c r="B203" s="51" t="str">
        <f t="shared" si="2"/>
        <v>Chilli 🌶️ Killer ☠️ #196 | R11 - C34</v>
      </c>
      <c r="C203" s="52">
        <v>11.0</v>
      </c>
      <c r="D203" s="52">
        <v>34.0</v>
      </c>
      <c r="E203" s="53">
        <v>48.16209915</v>
      </c>
      <c r="F203" s="53">
        <v>17.14953163</v>
      </c>
      <c r="G203" s="54" t="s">
        <v>33</v>
      </c>
      <c r="H203" s="55" t="str">
        <f t="shared" si="12"/>
        <v>Insert URL ▶</v>
      </c>
      <c r="I203" s="56"/>
      <c r="J203" s="57"/>
      <c r="K203" s="58" t="b">
        <v>0</v>
      </c>
      <c r="L203" s="59">
        <f t="shared" si="13"/>
        <v>1</v>
      </c>
      <c r="M203" s="59">
        <f t="shared" si="14"/>
        <v>0</v>
      </c>
      <c r="N203" s="59">
        <f t="shared" si="15"/>
        <v>0</v>
      </c>
      <c r="O203" s="60" t="str">
        <f t="shared" si="16"/>
        <v/>
      </c>
      <c r="P203" s="61" t="str">
        <f>IFERROR(__xludf.DUMMYFUNCTION("IF($N203=1,IFERROR(IMPORTXML($I203, ""//p[@class='status-date']""), ""Not Loading""),"""")"),"")</f>
        <v/>
      </c>
      <c r="Q203" s="64"/>
      <c r="R203" s="64"/>
      <c r="S203" s="64"/>
      <c r="T203" s="64"/>
      <c r="U203" s="62" t="str">
        <f t="shared" si="8"/>
        <v/>
      </c>
      <c r="V203" s="63">
        <f>IFERROR(__xludf.DUMMYFUNCTION("iferror(VALUE(left(index(IMPORTXML(I205, ""//div[@class='col-lg-2 user-stat stat-green']""),2,1),len(index(IMPORTXML(I205, ""//div[@class='col-lg-2 user-stat stat-green']""),2,1))-8)),0)"),0.0)</f>
        <v>0</v>
      </c>
    </row>
    <row r="204" ht="15.0" customHeight="1">
      <c r="A204" s="50">
        <f t="shared" si="9"/>
        <v>197</v>
      </c>
      <c r="B204" s="51" t="str">
        <f t="shared" si="2"/>
        <v>Chilli 🌶️ Killer ☠️ #197 | R11 - C35</v>
      </c>
      <c r="C204" s="52">
        <v>11.0</v>
      </c>
      <c r="D204" s="52">
        <v>35.0</v>
      </c>
      <c r="E204" s="53">
        <v>48.16209915</v>
      </c>
      <c r="F204" s="53">
        <v>17.14974711</v>
      </c>
      <c r="G204" s="54" t="s">
        <v>73</v>
      </c>
      <c r="H204" s="55" t="str">
        <f t="shared" si="12"/>
        <v>Nicolet</v>
      </c>
      <c r="I204" s="56" t="s">
        <v>231</v>
      </c>
      <c r="J204" s="57"/>
      <c r="K204" s="58" t="b">
        <v>1</v>
      </c>
      <c r="L204" s="59">
        <f t="shared" si="13"/>
        <v>0</v>
      </c>
      <c r="M204" s="59">
        <f t="shared" si="14"/>
        <v>0</v>
      </c>
      <c r="N204" s="59">
        <f t="shared" si="15"/>
        <v>0</v>
      </c>
      <c r="O204" s="60" t="str">
        <f t="shared" si="16"/>
        <v/>
      </c>
      <c r="P204" s="61" t="str">
        <f>IFERROR(__xludf.DUMMYFUNCTION("IF($N204=1,IFERROR(IMPORTXML($I204, ""//p[@class='status-date']""), ""Not Loading""),"""")"),"")</f>
        <v/>
      </c>
      <c r="Q204" s="65"/>
      <c r="R204" s="65"/>
      <c r="S204" s="65"/>
      <c r="T204" s="65"/>
      <c r="U204" s="62" t="str">
        <f t="shared" si="8"/>
        <v>Nicolet</v>
      </c>
      <c r="V204" s="63">
        <f>IFERROR(__xludf.DUMMYFUNCTION("iferror(VALUE(left(index(IMPORTXML(I206, ""//div[@class='col-lg-2 user-stat stat-green']""),2,1),len(index(IMPORTXML(I206, ""//div[@class='col-lg-2 user-stat stat-green']""),2,1))-8)),0)"),0.0)</f>
        <v>0</v>
      </c>
    </row>
    <row r="205" ht="15.0" customHeight="1">
      <c r="A205" s="50">
        <f t="shared" si="9"/>
        <v>198</v>
      </c>
      <c r="B205" s="51" t="str">
        <f t="shared" si="2"/>
        <v>Chilli 🌶️ Killer ☠️ #198 | R11 - C36</v>
      </c>
      <c r="C205" s="52">
        <v>11.0</v>
      </c>
      <c r="D205" s="52">
        <v>36.0</v>
      </c>
      <c r="E205" s="53">
        <v>48.16209915</v>
      </c>
      <c r="F205" s="53">
        <v>17.14996259</v>
      </c>
      <c r="G205" s="54" t="s">
        <v>111</v>
      </c>
      <c r="H205" s="55" t="str">
        <f t="shared" si="12"/>
        <v>scarlettdragon</v>
      </c>
      <c r="I205" s="56" t="s">
        <v>232</v>
      </c>
      <c r="J205" s="57"/>
      <c r="K205" s="58" t="b">
        <v>1</v>
      </c>
      <c r="L205" s="59">
        <f t="shared" si="13"/>
        <v>0</v>
      </c>
      <c r="M205" s="59">
        <f t="shared" si="14"/>
        <v>0</v>
      </c>
      <c r="N205" s="59">
        <f t="shared" si="15"/>
        <v>0</v>
      </c>
      <c r="O205" s="60" t="str">
        <f t="shared" si="16"/>
        <v/>
      </c>
      <c r="P205" s="61" t="str">
        <f>IFERROR(__xludf.DUMMYFUNCTION("IF($N205=1,IFERROR(IMPORTXML($I205, ""//p[@class='status-date']""), ""Not Loading""),"""")"),"")</f>
        <v/>
      </c>
      <c r="Q205" s="64"/>
      <c r="R205" s="64"/>
      <c r="S205" s="64"/>
      <c r="T205" s="64"/>
      <c r="U205" s="62" t="str">
        <f t="shared" si="8"/>
        <v>scarlettdragon</v>
      </c>
      <c r="V205" s="63">
        <f>IFERROR(__xludf.DUMMYFUNCTION("iferror(VALUE(left(index(IMPORTXML(I207, ""//div[@class='col-lg-2 user-stat stat-green']""),2,1),len(index(IMPORTXML(I207, ""//div[@class='col-lg-2 user-stat stat-green']""),2,1))-8)),0)"),0.0)</f>
        <v>0</v>
      </c>
    </row>
    <row r="206" ht="15.0" customHeight="1">
      <c r="A206" s="50">
        <f t="shared" si="9"/>
        <v>199</v>
      </c>
      <c r="B206" s="51" t="str">
        <f t="shared" si="2"/>
        <v>Chilli 🌶️ Killer ☠️ #199 | R11 - C37</v>
      </c>
      <c r="C206" s="52">
        <v>11.0</v>
      </c>
      <c r="D206" s="52">
        <v>37.0</v>
      </c>
      <c r="E206" s="53">
        <v>48.16209915</v>
      </c>
      <c r="F206" s="53">
        <v>17.15017807</v>
      </c>
      <c r="G206" s="54" t="s">
        <v>33</v>
      </c>
      <c r="H206" s="55" t="str">
        <f t="shared" si="12"/>
        <v>Insert URL ▶</v>
      </c>
      <c r="I206" s="56"/>
      <c r="J206" s="57"/>
      <c r="K206" s="58" t="b">
        <v>0</v>
      </c>
      <c r="L206" s="59">
        <f t="shared" si="13"/>
        <v>1</v>
      </c>
      <c r="M206" s="59">
        <f t="shared" si="14"/>
        <v>0</v>
      </c>
      <c r="N206" s="59">
        <f t="shared" si="15"/>
        <v>0</v>
      </c>
      <c r="O206" s="60" t="str">
        <f t="shared" si="16"/>
        <v/>
      </c>
      <c r="P206" s="61" t="str">
        <f>IFERROR(__xludf.DUMMYFUNCTION("IF($N206=1,IFERROR(IMPORTXML($I206, ""//p[@class='status-date']""), ""Not Loading""),"""")"),"")</f>
        <v/>
      </c>
      <c r="Q206" s="65"/>
      <c r="R206" s="65"/>
      <c r="S206" s="65"/>
      <c r="T206" s="65"/>
      <c r="U206" s="62" t="str">
        <f t="shared" si="8"/>
        <v/>
      </c>
      <c r="V206" s="63">
        <f>IFERROR(__xludf.DUMMYFUNCTION("iferror(VALUE(left(index(IMPORTXML(I208, ""//div[@class='col-lg-2 user-stat stat-green']""),2,1),len(index(IMPORTXML(I208, ""//div[@class='col-lg-2 user-stat stat-green']""),2,1))-8)),0)"),0.0)</f>
        <v>0</v>
      </c>
    </row>
    <row r="207" ht="15.0" customHeight="1">
      <c r="A207" s="50">
        <f t="shared" si="9"/>
        <v>200</v>
      </c>
      <c r="B207" s="51" t="str">
        <f t="shared" si="2"/>
        <v>Chilli 🌶️ Killer ☠️ #200 | R12 - C9</v>
      </c>
      <c r="C207" s="52">
        <v>12.0</v>
      </c>
      <c r="D207" s="52">
        <v>9.0</v>
      </c>
      <c r="E207" s="53">
        <v>48.16197468</v>
      </c>
      <c r="F207" s="53">
        <v>17.14425237</v>
      </c>
      <c r="G207" s="54" t="s">
        <v>33</v>
      </c>
      <c r="H207" s="55" t="str">
        <f t="shared" si="12"/>
        <v>Charonovci</v>
      </c>
      <c r="I207" s="56" t="s">
        <v>233</v>
      </c>
      <c r="J207" s="57"/>
      <c r="K207" s="58" t="b">
        <v>1</v>
      </c>
      <c r="L207" s="59">
        <f t="shared" si="13"/>
        <v>0</v>
      </c>
      <c r="M207" s="59">
        <f t="shared" si="14"/>
        <v>0</v>
      </c>
      <c r="N207" s="59">
        <f t="shared" si="15"/>
        <v>0</v>
      </c>
      <c r="O207" s="60" t="str">
        <f t="shared" si="16"/>
        <v/>
      </c>
      <c r="P207" s="61" t="str">
        <f>IFERROR(__xludf.DUMMYFUNCTION("IF($N207=1,IFERROR(IMPORTXML($I207, ""//p[@class='status-date']""), ""Not Loading""),"""")"),"")</f>
        <v/>
      </c>
      <c r="Q207" s="64"/>
      <c r="R207" s="64"/>
      <c r="S207" s="64"/>
      <c r="T207" s="64"/>
      <c r="U207" s="62" t="str">
        <f t="shared" si="8"/>
        <v>Charonovci</v>
      </c>
      <c r="V207" s="63">
        <f>IFERROR(__xludf.DUMMYFUNCTION("iferror(VALUE(left(index(IMPORTXML(I209, ""//div[@class='col-lg-2 user-stat stat-green']""),2,1),len(index(IMPORTXML(I209, ""//div[@class='col-lg-2 user-stat stat-green']""),2,1))-8)),0)"),0.0)</f>
        <v>0</v>
      </c>
    </row>
    <row r="208" ht="15.0" customHeight="1">
      <c r="A208" s="50">
        <f t="shared" si="9"/>
        <v>201</v>
      </c>
      <c r="B208" s="51" t="str">
        <f t="shared" si="2"/>
        <v>Chilli 🌶️ Killer ☠️ #201 | R12 - C10</v>
      </c>
      <c r="C208" s="52">
        <v>12.0</v>
      </c>
      <c r="D208" s="52">
        <v>10.0</v>
      </c>
      <c r="E208" s="53">
        <v>48.16197468</v>
      </c>
      <c r="F208" s="53">
        <v>17.14446785</v>
      </c>
      <c r="G208" s="54" t="s">
        <v>42</v>
      </c>
      <c r="H208" s="55" t="str">
        <f t="shared" si="12"/>
        <v>Neloras</v>
      </c>
      <c r="I208" s="56" t="s">
        <v>234</v>
      </c>
      <c r="J208" s="57"/>
      <c r="K208" s="58" t="b">
        <v>1</v>
      </c>
      <c r="L208" s="59">
        <f t="shared" si="13"/>
        <v>0</v>
      </c>
      <c r="M208" s="59">
        <f t="shared" si="14"/>
        <v>0</v>
      </c>
      <c r="N208" s="59">
        <f t="shared" si="15"/>
        <v>0</v>
      </c>
      <c r="O208" s="60" t="str">
        <f t="shared" si="16"/>
        <v/>
      </c>
      <c r="P208" s="61" t="str">
        <f>IFERROR(__xludf.DUMMYFUNCTION("IF($N208=1,IFERROR(IMPORTXML($I208, ""//p[@class='status-date']""), ""Not Loading""),"""")"),"")</f>
        <v/>
      </c>
      <c r="Q208" s="65"/>
      <c r="R208" s="65"/>
      <c r="S208" s="65"/>
      <c r="T208" s="65"/>
      <c r="U208" s="62" t="str">
        <f t="shared" si="8"/>
        <v>Neloras</v>
      </c>
      <c r="V208" s="63">
        <f>IFERROR(__xludf.DUMMYFUNCTION("iferror(VALUE(left(index(IMPORTXML(I210, ""//div[@class='col-lg-2 user-stat stat-green']""),2,1),len(index(IMPORTXML(I210, ""//div[@class='col-lg-2 user-stat stat-green']""),2,1))-8)),0)"),0.0)</f>
        <v>0</v>
      </c>
    </row>
    <row r="209" ht="15.0" customHeight="1">
      <c r="A209" s="50">
        <f t="shared" si="9"/>
        <v>202</v>
      </c>
      <c r="B209" s="51" t="str">
        <f t="shared" si="2"/>
        <v>Chilli 🌶️ Killer ☠️ #202 | R12 - C11</v>
      </c>
      <c r="C209" s="52">
        <v>12.0</v>
      </c>
      <c r="D209" s="52">
        <v>11.0</v>
      </c>
      <c r="E209" s="53">
        <v>48.16197468</v>
      </c>
      <c r="F209" s="53">
        <v>17.14468333</v>
      </c>
      <c r="G209" s="54" t="s">
        <v>42</v>
      </c>
      <c r="H209" s="55" t="str">
        <f t="shared" si="12"/>
        <v>Nicolet</v>
      </c>
      <c r="I209" s="56" t="s">
        <v>235</v>
      </c>
      <c r="J209" s="57"/>
      <c r="K209" s="58" t="b">
        <v>1</v>
      </c>
      <c r="L209" s="59">
        <f t="shared" si="13"/>
        <v>0</v>
      </c>
      <c r="M209" s="59">
        <f t="shared" si="14"/>
        <v>0</v>
      </c>
      <c r="N209" s="59">
        <f t="shared" si="15"/>
        <v>0</v>
      </c>
      <c r="O209" s="60" t="str">
        <f t="shared" si="16"/>
        <v/>
      </c>
      <c r="P209" s="61" t="str">
        <f>IFERROR(__xludf.DUMMYFUNCTION("IF($N209=1,IFERROR(IMPORTXML($I209, ""//p[@class='status-date']""), ""Not Loading""),"""")"),"")</f>
        <v/>
      </c>
      <c r="Q209" s="64"/>
      <c r="R209" s="64"/>
      <c r="S209" s="64"/>
      <c r="T209" s="64"/>
      <c r="U209" s="62" t="str">
        <f t="shared" si="8"/>
        <v>Nicolet</v>
      </c>
      <c r="V209" s="63">
        <f>IFERROR(__xludf.DUMMYFUNCTION("iferror(VALUE(left(index(IMPORTXML(I211, ""//div[@class='col-lg-2 user-stat stat-green']""),2,1),len(index(IMPORTXML(I211, ""//div[@class='col-lg-2 user-stat stat-green']""),2,1))-8)),0)"),0.0)</f>
        <v>0</v>
      </c>
    </row>
    <row r="210" ht="15.0" customHeight="1">
      <c r="A210" s="50">
        <f t="shared" si="9"/>
        <v>203</v>
      </c>
      <c r="B210" s="51" t="str">
        <f t="shared" si="2"/>
        <v>Chilli 🌶️ Killer ☠️ #203 | R12 - C12</v>
      </c>
      <c r="C210" s="52">
        <v>12.0</v>
      </c>
      <c r="D210" s="52">
        <v>12.0</v>
      </c>
      <c r="E210" s="53">
        <v>48.16197468</v>
      </c>
      <c r="F210" s="53">
        <v>17.14489881</v>
      </c>
      <c r="G210" s="54" t="s">
        <v>42</v>
      </c>
      <c r="H210" s="55" t="str">
        <f t="shared" si="12"/>
        <v>29Februaris</v>
      </c>
      <c r="I210" s="56" t="s">
        <v>236</v>
      </c>
      <c r="J210" s="57"/>
      <c r="K210" s="58" t="b">
        <v>1</v>
      </c>
      <c r="L210" s="59">
        <f t="shared" si="13"/>
        <v>0</v>
      </c>
      <c r="M210" s="59">
        <f t="shared" si="14"/>
        <v>0</v>
      </c>
      <c r="N210" s="59">
        <f t="shared" si="15"/>
        <v>0</v>
      </c>
      <c r="O210" s="60" t="str">
        <f t="shared" si="16"/>
        <v/>
      </c>
      <c r="P210" s="61" t="str">
        <f>IFERROR(__xludf.DUMMYFUNCTION("IF($N210=1,IFERROR(IMPORTXML($I210, ""//p[@class='status-date']""), ""Not Loading""),"""")"),"")</f>
        <v/>
      </c>
      <c r="Q210" s="65"/>
      <c r="R210" s="65"/>
      <c r="S210" s="65"/>
      <c r="T210" s="65"/>
      <c r="U210" s="62" t="str">
        <f t="shared" si="8"/>
        <v>29Februaris</v>
      </c>
      <c r="V210" s="63">
        <f>IFERROR(__xludf.DUMMYFUNCTION("iferror(VALUE(left(index(IMPORTXML(I212, ""//div[@class='col-lg-2 user-stat stat-green']""),2,1),len(index(IMPORTXML(I212, ""//div[@class='col-lg-2 user-stat stat-green']""),2,1))-8)),0)"),0.0)</f>
        <v>0</v>
      </c>
    </row>
    <row r="211" ht="15.0" customHeight="1">
      <c r="A211" s="50">
        <f t="shared" si="9"/>
        <v>204</v>
      </c>
      <c r="B211" s="51" t="str">
        <f t="shared" si="2"/>
        <v>Chilli 🌶️ Killer ☠️ #204 | R12 - C13</v>
      </c>
      <c r="C211" s="52">
        <v>12.0</v>
      </c>
      <c r="D211" s="52">
        <v>13.0</v>
      </c>
      <c r="E211" s="53">
        <v>48.16197468</v>
      </c>
      <c r="F211" s="53">
        <v>17.14511428</v>
      </c>
      <c r="G211" s="54" t="s">
        <v>42</v>
      </c>
      <c r="H211" s="55" t="str">
        <f t="shared" si="12"/>
        <v>Charonovci</v>
      </c>
      <c r="I211" s="56" t="s">
        <v>237</v>
      </c>
      <c r="J211" s="57"/>
      <c r="K211" s="58" t="b">
        <v>1</v>
      </c>
      <c r="L211" s="59">
        <f t="shared" si="13"/>
        <v>0</v>
      </c>
      <c r="M211" s="59">
        <f t="shared" si="14"/>
        <v>0</v>
      </c>
      <c r="N211" s="59">
        <f t="shared" si="15"/>
        <v>0</v>
      </c>
      <c r="O211" s="60" t="str">
        <f t="shared" si="16"/>
        <v/>
      </c>
      <c r="P211" s="61" t="str">
        <f>IFERROR(__xludf.DUMMYFUNCTION("IF($N211=1,IFERROR(IMPORTXML($I211, ""//p[@class='status-date']""), ""Not Loading""),"""")"),"")</f>
        <v/>
      </c>
      <c r="Q211" s="64"/>
      <c r="R211" s="64"/>
      <c r="S211" s="64"/>
      <c r="T211" s="64"/>
      <c r="U211" s="62" t="str">
        <f t="shared" si="8"/>
        <v>Charonovci</v>
      </c>
      <c r="V211" s="63">
        <f>IFERROR(__xludf.DUMMYFUNCTION("iferror(VALUE(left(index(IMPORTXML(I213, ""//div[@class='col-lg-2 user-stat stat-green']""),2,1),len(index(IMPORTXML(I213, ""//div[@class='col-lg-2 user-stat stat-green']""),2,1))-8)),0)"),0.0)</f>
        <v>0</v>
      </c>
    </row>
    <row r="212" ht="15.0" customHeight="1">
      <c r="A212" s="50">
        <f t="shared" si="9"/>
        <v>205</v>
      </c>
      <c r="B212" s="51" t="str">
        <f t="shared" si="2"/>
        <v>Chilli 🌶️ Killer ☠️ #205 | R12 - C14</v>
      </c>
      <c r="C212" s="52">
        <v>12.0</v>
      </c>
      <c r="D212" s="52">
        <v>14.0</v>
      </c>
      <c r="E212" s="53">
        <v>48.16197468</v>
      </c>
      <c r="F212" s="53">
        <v>17.14532976</v>
      </c>
      <c r="G212" s="54" t="s">
        <v>42</v>
      </c>
      <c r="H212" s="55" t="str">
        <f t="shared" si="12"/>
        <v>CopperWings</v>
      </c>
      <c r="I212" s="56" t="s">
        <v>238</v>
      </c>
      <c r="J212" s="57"/>
      <c r="K212" s="58" t="b">
        <v>1</v>
      </c>
      <c r="L212" s="59">
        <f t="shared" si="13"/>
        <v>0</v>
      </c>
      <c r="M212" s="59">
        <f t="shared" si="14"/>
        <v>0</v>
      </c>
      <c r="N212" s="59">
        <f t="shared" si="15"/>
        <v>0</v>
      </c>
      <c r="O212" s="60" t="str">
        <f t="shared" si="16"/>
        <v/>
      </c>
      <c r="P212" s="61" t="str">
        <f>IFERROR(__xludf.DUMMYFUNCTION("IF($N212=1,IFERROR(IMPORTXML($I212, ""//p[@class='status-date']""), ""Not Loading""),"""")"),"")</f>
        <v/>
      </c>
      <c r="Q212" s="65"/>
      <c r="R212" s="65"/>
      <c r="S212" s="65"/>
      <c r="T212" s="65"/>
      <c r="U212" s="62" t="str">
        <f t="shared" si="8"/>
        <v>CopperWings</v>
      </c>
      <c r="V212" s="63">
        <f>IFERROR(__xludf.DUMMYFUNCTION("iferror(VALUE(left(index(IMPORTXML(I214, ""//div[@class='col-lg-2 user-stat stat-green']""),2,1),len(index(IMPORTXML(I214, ""//div[@class='col-lg-2 user-stat stat-green']""),2,1))-8)),0)"),0.0)</f>
        <v>0</v>
      </c>
    </row>
    <row r="213" ht="15.0" customHeight="1">
      <c r="A213" s="50">
        <f t="shared" si="9"/>
        <v>206</v>
      </c>
      <c r="B213" s="51" t="str">
        <f t="shared" si="2"/>
        <v>Chilli 🌶️ Killer ☠️ #206 | R12 - C15</v>
      </c>
      <c r="C213" s="52">
        <v>12.0</v>
      </c>
      <c r="D213" s="52">
        <v>15.0</v>
      </c>
      <c r="E213" s="53">
        <v>48.16197468</v>
      </c>
      <c r="F213" s="53">
        <v>17.14554524</v>
      </c>
      <c r="G213" s="54" t="s">
        <v>42</v>
      </c>
      <c r="H213" s="55" t="str">
        <f t="shared" si="12"/>
        <v>mathew611</v>
      </c>
      <c r="I213" s="56" t="s">
        <v>239</v>
      </c>
      <c r="J213" s="57"/>
      <c r="K213" s="58" t="b">
        <v>1</v>
      </c>
      <c r="L213" s="59">
        <f t="shared" si="13"/>
        <v>0</v>
      </c>
      <c r="M213" s="59">
        <f t="shared" si="14"/>
        <v>0</v>
      </c>
      <c r="N213" s="59">
        <f t="shared" si="15"/>
        <v>0</v>
      </c>
      <c r="O213" s="60" t="str">
        <f t="shared" si="16"/>
        <v/>
      </c>
      <c r="P213" s="61" t="str">
        <f>IFERROR(__xludf.DUMMYFUNCTION("IF($N213=1,IFERROR(IMPORTXML($I213, ""//p[@class='status-date']""), ""Not Loading""),"""")"),"")</f>
        <v/>
      </c>
      <c r="Q213" s="64"/>
      <c r="R213" s="64"/>
      <c r="S213" s="64"/>
      <c r="T213" s="64"/>
      <c r="U213" s="62" t="str">
        <f t="shared" si="8"/>
        <v>mathew611</v>
      </c>
      <c r="V213" s="63">
        <f>IFERROR(__xludf.DUMMYFUNCTION("iferror(VALUE(left(index(IMPORTXML(I215, ""//div[@class='col-lg-2 user-stat stat-green']""),2,1),len(index(IMPORTXML(I215, ""//div[@class='col-lg-2 user-stat stat-green']""),2,1))-8)),0)"),0.0)</f>
        <v>0</v>
      </c>
    </row>
    <row r="214" ht="15.0" customHeight="1">
      <c r="A214" s="50">
        <f t="shared" si="9"/>
        <v>207</v>
      </c>
      <c r="B214" s="51" t="str">
        <f t="shared" si="2"/>
        <v>Chilli 🌶️ Killer ☠️ #207 | R12 - C16</v>
      </c>
      <c r="C214" s="52">
        <v>12.0</v>
      </c>
      <c r="D214" s="52">
        <v>16.0</v>
      </c>
      <c r="E214" s="53">
        <v>48.16197468</v>
      </c>
      <c r="F214" s="53">
        <v>17.14576072</v>
      </c>
      <c r="G214" s="54" t="s">
        <v>42</v>
      </c>
      <c r="H214" s="55" t="str">
        <f t="shared" si="12"/>
        <v>Lorax1</v>
      </c>
      <c r="I214" s="56" t="s">
        <v>240</v>
      </c>
      <c r="J214" s="57"/>
      <c r="K214" s="58" t="b">
        <v>1</v>
      </c>
      <c r="L214" s="59">
        <f t="shared" si="13"/>
        <v>0</v>
      </c>
      <c r="M214" s="59">
        <f t="shared" si="14"/>
        <v>0</v>
      </c>
      <c r="N214" s="59">
        <f t="shared" si="15"/>
        <v>0</v>
      </c>
      <c r="O214" s="60" t="str">
        <f t="shared" si="16"/>
        <v/>
      </c>
      <c r="P214" s="61" t="str">
        <f>IFERROR(__xludf.DUMMYFUNCTION("IF($N214=1,IFERROR(IMPORTXML($I214, ""//p[@class='status-date']""), ""Not Loading""),"""")"),"")</f>
        <v/>
      </c>
      <c r="Q214" s="65"/>
      <c r="R214" s="65"/>
      <c r="S214" s="65"/>
      <c r="T214" s="65"/>
      <c r="U214" s="62" t="str">
        <f t="shared" si="8"/>
        <v>Lorax1</v>
      </c>
      <c r="V214" s="63">
        <f>IFERROR(__xludf.DUMMYFUNCTION("iferror(VALUE(left(index(IMPORTXML(I216, ""//div[@class='col-lg-2 user-stat stat-green']""),2,1),len(index(IMPORTXML(I216, ""//div[@class='col-lg-2 user-stat stat-green']""),2,1))-8)),0)"),0.0)</f>
        <v>0</v>
      </c>
    </row>
    <row r="215" ht="15.0" customHeight="1">
      <c r="A215" s="50">
        <f t="shared" si="9"/>
        <v>208</v>
      </c>
      <c r="B215" s="51" t="str">
        <f t="shared" si="2"/>
        <v>Chilli 🌶️ Killer ☠️ #208 | R12 - C17</v>
      </c>
      <c r="C215" s="52">
        <v>12.0</v>
      </c>
      <c r="D215" s="52">
        <v>17.0</v>
      </c>
      <c r="E215" s="53">
        <v>48.16197468</v>
      </c>
      <c r="F215" s="53">
        <v>17.1459762</v>
      </c>
      <c r="G215" s="54" t="s">
        <v>42</v>
      </c>
      <c r="H215" s="55" t="str">
        <f t="shared" si="12"/>
        <v>Kapor24</v>
      </c>
      <c r="I215" s="56" t="s">
        <v>241</v>
      </c>
      <c r="J215" s="57"/>
      <c r="K215" s="58" t="b">
        <v>1</v>
      </c>
      <c r="L215" s="59">
        <f t="shared" si="13"/>
        <v>0</v>
      </c>
      <c r="M215" s="59">
        <f t="shared" si="14"/>
        <v>0</v>
      </c>
      <c r="N215" s="59">
        <f t="shared" si="15"/>
        <v>0</v>
      </c>
      <c r="O215" s="60" t="str">
        <f t="shared" si="16"/>
        <v/>
      </c>
      <c r="P215" s="61" t="str">
        <f>IFERROR(__xludf.DUMMYFUNCTION("IF($N215=1,IFERROR(IMPORTXML($I215, ""//p[@class='status-date']""), ""Not Loading""),"""")"),"")</f>
        <v/>
      </c>
      <c r="Q215" s="64"/>
      <c r="R215" s="64"/>
      <c r="S215" s="64"/>
      <c r="T215" s="64"/>
      <c r="U215" s="62" t="str">
        <f t="shared" si="8"/>
        <v>Kapor24</v>
      </c>
      <c r="V215" s="63">
        <f>IFERROR(__xludf.DUMMYFUNCTION("iferror(VALUE(left(index(IMPORTXML(I217, ""//div[@class='col-lg-2 user-stat stat-green']""),2,1),len(index(IMPORTXML(I217, ""//div[@class='col-lg-2 user-stat stat-green']""),2,1))-8)),0)"),0.0)</f>
        <v>0</v>
      </c>
    </row>
    <row r="216" ht="15.0" customHeight="1">
      <c r="A216" s="50">
        <f t="shared" si="9"/>
        <v>209</v>
      </c>
      <c r="B216" s="51" t="str">
        <f t="shared" si="2"/>
        <v>Chilli 🌶️ Killer ☠️ #209 | R12 - C18</v>
      </c>
      <c r="C216" s="52">
        <v>12.0</v>
      </c>
      <c r="D216" s="52">
        <v>18.0</v>
      </c>
      <c r="E216" s="53">
        <v>48.16197468</v>
      </c>
      <c r="F216" s="53">
        <v>17.14619168</v>
      </c>
      <c r="G216" s="54" t="s">
        <v>42</v>
      </c>
      <c r="H216" s="55" t="str">
        <f t="shared" si="12"/>
        <v>mathew611</v>
      </c>
      <c r="I216" s="56" t="s">
        <v>242</v>
      </c>
      <c r="J216" s="57"/>
      <c r="K216" s="58" t="b">
        <v>1</v>
      </c>
      <c r="L216" s="59">
        <f t="shared" si="13"/>
        <v>0</v>
      </c>
      <c r="M216" s="59">
        <f t="shared" si="14"/>
        <v>0</v>
      </c>
      <c r="N216" s="59">
        <f t="shared" si="15"/>
        <v>0</v>
      </c>
      <c r="O216" s="60" t="str">
        <f t="shared" si="16"/>
        <v/>
      </c>
      <c r="P216" s="61" t="str">
        <f>IFERROR(__xludf.DUMMYFUNCTION("IF($N216=1,IFERROR(IMPORTXML($I216, ""//p[@class='status-date']""), ""Not Loading""),"""")"),"")</f>
        <v/>
      </c>
      <c r="Q216" s="65"/>
      <c r="R216" s="65"/>
      <c r="S216" s="65"/>
      <c r="T216" s="65"/>
      <c r="U216" s="62" t="str">
        <f t="shared" si="8"/>
        <v>mathew611</v>
      </c>
      <c r="V216" s="63">
        <f>IFERROR(__xludf.DUMMYFUNCTION("iferror(VALUE(left(index(IMPORTXML(I218, ""//div[@class='col-lg-2 user-stat stat-green']""),2,1),len(index(IMPORTXML(I218, ""//div[@class='col-lg-2 user-stat stat-green']""),2,1))-8)),0)"),0.0)</f>
        <v>0</v>
      </c>
    </row>
    <row r="217" ht="15.0" customHeight="1">
      <c r="A217" s="50">
        <f t="shared" si="9"/>
        <v>210</v>
      </c>
      <c r="B217" s="51" t="str">
        <f t="shared" si="2"/>
        <v>Chilli 🌶️ Killer ☠️ #210 | R12 - C19</v>
      </c>
      <c r="C217" s="52">
        <v>12.0</v>
      </c>
      <c r="D217" s="52">
        <v>19.0</v>
      </c>
      <c r="E217" s="53">
        <v>48.16197468</v>
      </c>
      <c r="F217" s="53">
        <v>17.14640716</v>
      </c>
      <c r="G217" s="54" t="s">
        <v>42</v>
      </c>
      <c r="H217" s="55" t="str">
        <f t="shared" si="12"/>
        <v>jurikvandspol</v>
      </c>
      <c r="I217" s="56" t="s">
        <v>243</v>
      </c>
      <c r="J217" s="57"/>
      <c r="K217" s="58" t="b">
        <v>1</v>
      </c>
      <c r="L217" s="59">
        <f t="shared" si="13"/>
        <v>0</v>
      </c>
      <c r="M217" s="59">
        <f t="shared" si="14"/>
        <v>0</v>
      </c>
      <c r="N217" s="59">
        <f t="shared" si="15"/>
        <v>0</v>
      </c>
      <c r="O217" s="60" t="str">
        <f t="shared" si="16"/>
        <v/>
      </c>
      <c r="P217" s="61" t="str">
        <f>IFERROR(__xludf.DUMMYFUNCTION("IF($N217=1,IFERROR(IMPORTXML($I217, ""//p[@class='status-date']""), ""Not Loading""),"""")"),"")</f>
        <v/>
      </c>
      <c r="Q217" s="64"/>
      <c r="R217" s="64"/>
      <c r="S217" s="64"/>
      <c r="T217" s="64"/>
      <c r="U217" s="62" t="str">
        <f t="shared" si="8"/>
        <v>jurikvandspol</v>
      </c>
      <c r="V217" s="63">
        <f>IFERROR(__xludf.DUMMYFUNCTION("iferror(VALUE(left(index(IMPORTXML(I219, ""//div[@class='col-lg-2 user-stat stat-green']""),2,1),len(index(IMPORTXML(I219, ""//div[@class='col-lg-2 user-stat stat-green']""),2,1))-8)),0)"),0.0)</f>
        <v>0</v>
      </c>
    </row>
    <row r="218" ht="15.0" customHeight="1">
      <c r="A218" s="50">
        <f t="shared" si="9"/>
        <v>211</v>
      </c>
      <c r="B218" s="51" t="str">
        <f t="shared" si="2"/>
        <v>Chilli 🌶️ Killer ☠️ #211 | R12 - C20</v>
      </c>
      <c r="C218" s="52">
        <v>12.0</v>
      </c>
      <c r="D218" s="52">
        <v>20.0</v>
      </c>
      <c r="E218" s="53">
        <v>48.16197468</v>
      </c>
      <c r="F218" s="53">
        <v>17.14662264</v>
      </c>
      <c r="G218" s="54" t="s">
        <v>33</v>
      </c>
      <c r="H218" s="55" t="str">
        <f t="shared" si="12"/>
        <v>Rikitan</v>
      </c>
      <c r="I218" s="56" t="s">
        <v>244</v>
      </c>
      <c r="J218" s="57"/>
      <c r="K218" s="58" t="b">
        <v>1</v>
      </c>
      <c r="L218" s="59">
        <f t="shared" si="13"/>
        <v>0</v>
      </c>
      <c r="M218" s="59">
        <f t="shared" si="14"/>
        <v>0</v>
      </c>
      <c r="N218" s="59">
        <f t="shared" si="15"/>
        <v>0</v>
      </c>
      <c r="O218" s="60" t="str">
        <f t="shared" si="16"/>
        <v/>
      </c>
      <c r="P218" s="61" t="str">
        <f>IFERROR(__xludf.DUMMYFUNCTION("IF($N218=1,IFERROR(IMPORTXML($I218, ""//p[@class='status-date']""), ""Not Loading""),"""")"),"")</f>
        <v/>
      </c>
      <c r="Q218" s="65"/>
      <c r="R218" s="65"/>
      <c r="S218" s="65"/>
      <c r="T218" s="65"/>
      <c r="U218" s="62" t="str">
        <f t="shared" si="8"/>
        <v>Rikitan</v>
      </c>
      <c r="V218" s="63">
        <f>IFERROR(__xludf.DUMMYFUNCTION("iferror(VALUE(left(index(IMPORTXML(I220, ""//div[@class='col-lg-2 user-stat stat-green']""),2,1),len(index(IMPORTXML(I220, ""//div[@class='col-lg-2 user-stat stat-green']""),2,1))-8)),0)"),0.0)</f>
        <v>0</v>
      </c>
    </row>
    <row r="219" ht="15.0" customHeight="1">
      <c r="A219" s="50">
        <f t="shared" si="9"/>
        <v>212</v>
      </c>
      <c r="B219" s="51" t="str">
        <f t="shared" si="2"/>
        <v>Chilli 🌶️ Killer ☠️ #212 | R12 - C21</v>
      </c>
      <c r="C219" s="52">
        <v>12.0</v>
      </c>
      <c r="D219" s="52">
        <v>21.0</v>
      </c>
      <c r="E219" s="53">
        <v>48.16197468</v>
      </c>
      <c r="F219" s="53">
        <v>17.14683812</v>
      </c>
      <c r="G219" s="54" t="s">
        <v>33</v>
      </c>
      <c r="H219" s="55" t="str">
        <f t="shared" si="12"/>
        <v>Insert URL ▶</v>
      </c>
      <c r="I219" s="56"/>
      <c r="J219" s="57"/>
      <c r="K219" s="58" t="b">
        <v>0</v>
      </c>
      <c r="L219" s="59">
        <f t="shared" si="13"/>
        <v>1</v>
      </c>
      <c r="M219" s="59">
        <f t="shared" si="14"/>
        <v>0</v>
      </c>
      <c r="N219" s="59">
        <f t="shared" si="15"/>
        <v>0</v>
      </c>
      <c r="O219" s="60" t="str">
        <f t="shared" si="16"/>
        <v/>
      </c>
      <c r="P219" s="61" t="str">
        <f>IFERROR(__xludf.DUMMYFUNCTION("IF($N219=1,IFERROR(IMPORTXML($I219, ""//p[@class='status-date']""), ""Not Loading""),"""")"),"")</f>
        <v/>
      </c>
      <c r="Q219" s="64"/>
      <c r="R219" s="64"/>
      <c r="S219" s="64"/>
      <c r="T219" s="64"/>
      <c r="U219" s="62" t="str">
        <f t="shared" si="8"/>
        <v/>
      </c>
      <c r="V219" s="63">
        <f>IFERROR(__xludf.DUMMYFUNCTION("iferror(VALUE(left(index(IMPORTXML(I221, ""//div[@class='col-lg-2 user-stat stat-green']""),2,1),len(index(IMPORTXML(I221, ""//div[@class='col-lg-2 user-stat stat-green']""),2,1))-8)),0)"),0.0)</f>
        <v>0</v>
      </c>
    </row>
    <row r="220" ht="15.0" customHeight="1">
      <c r="A220" s="50">
        <f t="shared" si="9"/>
        <v>213</v>
      </c>
      <c r="B220" s="51" t="str">
        <f t="shared" si="2"/>
        <v>Chilli 🌶️ Killer ☠️ #213 | R12 - C22</v>
      </c>
      <c r="C220" s="52">
        <v>12.0</v>
      </c>
      <c r="D220" s="52">
        <v>22.0</v>
      </c>
      <c r="E220" s="53">
        <v>48.16197468</v>
      </c>
      <c r="F220" s="53">
        <v>17.1470536</v>
      </c>
      <c r="G220" s="54" t="s">
        <v>33</v>
      </c>
      <c r="H220" s="55" t="str">
        <f t="shared" si="12"/>
        <v>Insert URL ▶</v>
      </c>
      <c r="I220" s="56"/>
      <c r="J220" s="57"/>
      <c r="K220" s="58" t="b">
        <v>0</v>
      </c>
      <c r="L220" s="59">
        <f t="shared" si="13"/>
        <v>1</v>
      </c>
      <c r="M220" s="59">
        <f t="shared" si="14"/>
        <v>0</v>
      </c>
      <c r="N220" s="59">
        <f t="shared" si="15"/>
        <v>0</v>
      </c>
      <c r="O220" s="60" t="str">
        <f t="shared" si="16"/>
        <v/>
      </c>
      <c r="P220" s="61" t="str">
        <f>IFERROR(__xludf.DUMMYFUNCTION("IF($N220=1,IFERROR(IMPORTXML($I220, ""//p[@class='status-date']""), ""Not Loading""),"""")"),"")</f>
        <v/>
      </c>
      <c r="Q220" s="65"/>
      <c r="R220" s="65"/>
      <c r="S220" s="65"/>
      <c r="T220" s="65"/>
      <c r="U220" s="62" t="str">
        <f t="shared" si="8"/>
        <v/>
      </c>
      <c r="V220" s="63">
        <f>IFERROR(__xludf.DUMMYFUNCTION("iferror(VALUE(left(index(IMPORTXML(I222, ""//div[@class='col-lg-2 user-stat stat-green']""),2,1),len(index(IMPORTXML(I222, ""//div[@class='col-lg-2 user-stat stat-green']""),2,1))-8)),0)"),0.0)</f>
        <v>0</v>
      </c>
    </row>
    <row r="221" ht="15.0" customHeight="1">
      <c r="A221" s="50">
        <f t="shared" si="9"/>
        <v>214</v>
      </c>
      <c r="B221" s="51" t="str">
        <f t="shared" si="2"/>
        <v>Chilli 🌶️ Killer ☠️ #214 | R12 - C23</v>
      </c>
      <c r="C221" s="52">
        <v>12.0</v>
      </c>
      <c r="D221" s="52">
        <v>23.0</v>
      </c>
      <c r="E221" s="53">
        <v>48.16197468</v>
      </c>
      <c r="F221" s="53">
        <v>17.14726908</v>
      </c>
      <c r="G221" s="54" t="s">
        <v>42</v>
      </c>
      <c r="H221" s="55" t="str">
        <f t="shared" si="12"/>
        <v>ponu</v>
      </c>
      <c r="I221" s="56" t="s">
        <v>245</v>
      </c>
      <c r="J221" s="57"/>
      <c r="K221" s="58" t="b">
        <v>1</v>
      </c>
      <c r="L221" s="59">
        <f t="shared" si="13"/>
        <v>0</v>
      </c>
      <c r="M221" s="59">
        <f t="shared" si="14"/>
        <v>0</v>
      </c>
      <c r="N221" s="59">
        <f t="shared" si="15"/>
        <v>0</v>
      </c>
      <c r="O221" s="60" t="str">
        <f t="shared" si="16"/>
        <v/>
      </c>
      <c r="P221" s="61" t="str">
        <f>IFERROR(__xludf.DUMMYFUNCTION("IF($N221=1,IFERROR(IMPORTXML($I221, ""//p[@class='status-date']""), ""Not Loading""),"""")"),"")</f>
        <v/>
      </c>
      <c r="Q221" s="64"/>
      <c r="R221" s="64"/>
      <c r="S221" s="64"/>
      <c r="T221" s="64"/>
      <c r="U221" s="62" t="str">
        <f t="shared" si="8"/>
        <v>ponu</v>
      </c>
      <c r="V221" s="63">
        <f>IFERROR(__xludf.DUMMYFUNCTION("iferror(VALUE(left(index(IMPORTXML(I223, ""//div[@class='col-lg-2 user-stat stat-green']""),2,1),len(index(IMPORTXML(I223, ""//div[@class='col-lg-2 user-stat stat-green']""),2,1))-8)),0)"),0.0)</f>
        <v>0</v>
      </c>
    </row>
    <row r="222" ht="15.0" customHeight="1">
      <c r="A222" s="50">
        <f t="shared" si="9"/>
        <v>215</v>
      </c>
      <c r="B222" s="51" t="str">
        <f t="shared" si="2"/>
        <v>Chilli 🌶️ Killer ☠️ #215 | R12 - C24</v>
      </c>
      <c r="C222" s="52">
        <v>12.0</v>
      </c>
      <c r="D222" s="52">
        <v>24.0</v>
      </c>
      <c r="E222" s="53">
        <v>48.16197468</v>
      </c>
      <c r="F222" s="53">
        <v>17.14748456</v>
      </c>
      <c r="G222" s="54" t="s">
        <v>42</v>
      </c>
      <c r="H222" s="55" t="str">
        <f t="shared" si="12"/>
        <v>Kapor24</v>
      </c>
      <c r="I222" s="56" t="s">
        <v>246</v>
      </c>
      <c r="J222" s="57"/>
      <c r="K222" s="58" t="b">
        <v>1</v>
      </c>
      <c r="L222" s="59">
        <f t="shared" si="13"/>
        <v>0</v>
      </c>
      <c r="M222" s="59">
        <f t="shared" si="14"/>
        <v>0</v>
      </c>
      <c r="N222" s="59">
        <f t="shared" si="15"/>
        <v>0</v>
      </c>
      <c r="O222" s="60" t="str">
        <f t="shared" si="16"/>
        <v/>
      </c>
      <c r="P222" s="61" t="str">
        <f>IFERROR(__xludf.DUMMYFUNCTION("IF($N222=1,IFERROR(IMPORTXML($I222, ""//p[@class='status-date']""), ""Not Loading""),"""")"),"")</f>
        <v/>
      </c>
      <c r="Q222" s="65"/>
      <c r="R222" s="65"/>
      <c r="S222" s="65"/>
      <c r="T222" s="65"/>
      <c r="U222" s="62" t="str">
        <f t="shared" si="8"/>
        <v>Kapor24</v>
      </c>
      <c r="V222" s="63">
        <f>IFERROR(__xludf.DUMMYFUNCTION("iferror(VALUE(left(index(IMPORTXML(I224, ""//div[@class='col-lg-2 user-stat stat-green']""),2,1),len(index(IMPORTXML(I224, ""//div[@class='col-lg-2 user-stat stat-green']""),2,1))-8)),0)"),0.0)</f>
        <v>0</v>
      </c>
    </row>
    <row r="223" ht="15.0" customHeight="1">
      <c r="A223" s="50">
        <f t="shared" si="9"/>
        <v>216</v>
      </c>
      <c r="B223" s="51" t="str">
        <f t="shared" si="2"/>
        <v>Chilli 🌶️ Killer ☠️ #216 | R12 - C25</v>
      </c>
      <c r="C223" s="52">
        <v>12.0</v>
      </c>
      <c r="D223" s="52">
        <v>25.0</v>
      </c>
      <c r="E223" s="53">
        <v>48.16197468</v>
      </c>
      <c r="F223" s="53">
        <v>17.14770003</v>
      </c>
      <c r="G223" s="54" t="s">
        <v>42</v>
      </c>
      <c r="H223" s="55" t="str">
        <f t="shared" si="12"/>
        <v>mathew611</v>
      </c>
      <c r="I223" s="56" t="s">
        <v>247</v>
      </c>
      <c r="J223" s="57"/>
      <c r="K223" s="58" t="b">
        <v>1</v>
      </c>
      <c r="L223" s="59">
        <f t="shared" si="13"/>
        <v>0</v>
      </c>
      <c r="M223" s="59">
        <f t="shared" si="14"/>
        <v>0</v>
      </c>
      <c r="N223" s="59">
        <f t="shared" si="15"/>
        <v>0</v>
      </c>
      <c r="O223" s="60" t="str">
        <f t="shared" si="16"/>
        <v/>
      </c>
      <c r="P223" s="61" t="str">
        <f>IFERROR(__xludf.DUMMYFUNCTION("IF($N223=1,IFERROR(IMPORTXML($I223, ""//p[@class='status-date']""), ""Not Loading""),"""")"),"")</f>
        <v/>
      </c>
      <c r="Q223" s="64"/>
      <c r="R223" s="64"/>
      <c r="S223" s="64"/>
      <c r="T223" s="64"/>
      <c r="U223" s="62" t="str">
        <f t="shared" si="8"/>
        <v>mathew611</v>
      </c>
      <c r="V223" s="63">
        <f>IFERROR(__xludf.DUMMYFUNCTION("iferror(VALUE(left(index(IMPORTXML(I225, ""//div[@class='col-lg-2 user-stat stat-green']""),2,1),len(index(IMPORTXML(I225, ""//div[@class='col-lg-2 user-stat stat-green']""),2,1))-8)),0)"),0.0)</f>
        <v>0</v>
      </c>
    </row>
    <row r="224" ht="15.0" customHeight="1">
      <c r="A224" s="50">
        <f t="shared" si="9"/>
        <v>217</v>
      </c>
      <c r="B224" s="51" t="str">
        <f t="shared" si="2"/>
        <v>Chilli 🌶️ Killer ☠️ #217 | R12 - C26</v>
      </c>
      <c r="C224" s="52">
        <v>12.0</v>
      </c>
      <c r="D224" s="52">
        <v>26.0</v>
      </c>
      <c r="E224" s="53">
        <v>48.16197468</v>
      </c>
      <c r="F224" s="53">
        <v>17.14791551</v>
      </c>
      <c r="G224" s="54" t="s">
        <v>42</v>
      </c>
      <c r="H224" s="55" t="str">
        <f t="shared" si="12"/>
        <v>Charonovci</v>
      </c>
      <c r="I224" s="56" t="s">
        <v>248</v>
      </c>
      <c r="J224" s="57"/>
      <c r="K224" s="58" t="b">
        <v>1</v>
      </c>
      <c r="L224" s="59">
        <f t="shared" si="13"/>
        <v>0</v>
      </c>
      <c r="M224" s="59">
        <f t="shared" si="14"/>
        <v>0</v>
      </c>
      <c r="N224" s="59">
        <f t="shared" si="15"/>
        <v>0</v>
      </c>
      <c r="O224" s="60" t="str">
        <f t="shared" si="16"/>
        <v/>
      </c>
      <c r="P224" s="61" t="str">
        <f>IFERROR(__xludf.DUMMYFUNCTION("IF($N224=1,IFERROR(IMPORTXML($I224, ""//p[@class='status-date']""), ""Not Loading""),"""")"),"")</f>
        <v/>
      </c>
      <c r="Q224" s="65"/>
      <c r="R224" s="65"/>
      <c r="S224" s="65"/>
      <c r="T224" s="65"/>
      <c r="U224" s="62" t="str">
        <f t="shared" si="8"/>
        <v>Charonovci</v>
      </c>
      <c r="V224" s="63">
        <f>IFERROR(__xludf.DUMMYFUNCTION("iferror(VALUE(left(index(IMPORTXML(I226, ""//div[@class='col-lg-2 user-stat stat-green']""),2,1),len(index(IMPORTXML(I226, ""//div[@class='col-lg-2 user-stat stat-green']""),2,1))-8)),0)"),0.0)</f>
        <v>0</v>
      </c>
    </row>
    <row r="225" ht="15.0" customHeight="1">
      <c r="A225" s="50">
        <f t="shared" si="9"/>
        <v>218</v>
      </c>
      <c r="B225" s="51" t="str">
        <f t="shared" si="2"/>
        <v>Chilli 🌶️ Killer ☠️ #218 | R12 - C27</v>
      </c>
      <c r="C225" s="52">
        <v>12.0</v>
      </c>
      <c r="D225" s="52">
        <v>27.0</v>
      </c>
      <c r="E225" s="53">
        <v>48.16197468</v>
      </c>
      <c r="F225" s="53">
        <v>17.14813099</v>
      </c>
      <c r="G225" s="54" t="s">
        <v>33</v>
      </c>
      <c r="H225" s="55" t="str">
        <f t="shared" si="12"/>
        <v>Insert URL ▶</v>
      </c>
      <c r="I225" s="56"/>
      <c r="J225" s="57"/>
      <c r="K225" s="58" t="b">
        <v>0</v>
      </c>
      <c r="L225" s="59">
        <f t="shared" si="13"/>
        <v>1</v>
      </c>
      <c r="M225" s="59">
        <f t="shared" si="14"/>
        <v>0</v>
      </c>
      <c r="N225" s="59">
        <f t="shared" si="15"/>
        <v>0</v>
      </c>
      <c r="O225" s="60" t="str">
        <f t="shared" si="16"/>
        <v/>
      </c>
      <c r="P225" s="61" t="str">
        <f>IFERROR(__xludf.DUMMYFUNCTION("IF($N225=1,IFERROR(IMPORTXML($I225, ""//p[@class='status-date']""), ""Not Loading""),"""")"),"")</f>
        <v/>
      </c>
      <c r="Q225" s="64"/>
      <c r="R225" s="64"/>
      <c r="S225" s="64"/>
      <c r="T225" s="64"/>
      <c r="U225" s="62" t="str">
        <f t="shared" si="8"/>
        <v/>
      </c>
      <c r="V225" s="63">
        <f>IFERROR(__xludf.DUMMYFUNCTION("iferror(VALUE(left(index(IMPORTXML(I227, ""//div[@class='col-lg-2 user-stat stat-green']""),2,1),len(index(IMPORTXML(I227, ""//div[@class='col-lg-2 user-stat stat-green']""),2,1))-8)),0)"),0.0)</f>
        <v>0</v>
      </c>
    </row>
    <row r="226" ht="15.0" customHeight="1">
      <c r="A226" s="50">
        <f t="shared" si="9"/>
        <v>219</v>
      </c>
      <c r="B226" s="51" t="str">
        <f t="shared" si="2"/>
        <v>Chilli 🌶️ Killer ☠️ #219 | R12 - C28</v>
      </c>
      <c r="C226" s="52">
        <v>12.0</v>
      </c>
      <c r="D226" s="52">
        <v>28.0</v>
      </c>
      <c r="E226" s="53">
        <v>48.16197468</v>
      </c>
      <c r="F226" s="53">
        <v>17.14834647</v>
      </c>
      <c r="G226" s="54" t="s">
        <v>33</v>
      </c>
      <c r="H226" s="55" t="str">
        <f t="shared" si="12"/>
        <v>Insert URL ▶</v>
      </c>
      <c r="I226" s="56"/>
      <c r="J226" s="57"/>
      <c r="K226" s="58" t="b">
        <v>0</v>
      </c>
      <c r="L226" s="59">
        <f t="shared" si="13"/>
        <v>1</v>
      </c>
      <c r="M226" s="59">
        <f t="shared" si="14"/>
        <v>0</v>
      </c>
      <c r="N226" s="59">
        <f t="shared" si="15"/>
        <v>0</v>
      </c>
      <c r="O226" s="60" t="str">
        <f t="shared" si="16"/>
        <v/>
      </c>
      <c r="P226" s="61" t="str">
        <f>IFERROR(__xludf.DUMMYFUNCTION("IF($N226=1,IFERROR(IMPORTXML($I226, ""//p[@class='status-date']""), ""Not Loading""),"""")"),"")</f>
        <v/>
      </c>
      <c r="Q226" s="65"/>
      <c r="R226" s="65"/>
      <c r="S226" s="65"/>
      <c r="T226" s="65"/>
      <c r="U226" s="62" t="str">
        <f t="shared" si="8"/>
        <v/>
      </c>
      <c r="V226" s="63">
        <f>IFERROR(__xludf.DUMMYFUNCTION("iferror(VALUE(left(index(IMPORTXML(I228, ""//div[@class='col-lg-2 user-stat stat-green']""),2,1),len(index(IMPORTXML(I228, ""//div[@class='col-lg-2 user-stat stat-green']""),2,1))-8)),0)"),0.0)</f>
        <v>0</v>
      </c>
    </row>
    <row r="227" ht="15.0" customHeight="1">
      <c r="A227" s="50">
        <f t="shared" si="9"/>
        <v>220</v>
      </c>
      <c r="B227" s="51" t="str">
        <f t="shared" si="2"/>
        <v>Chilli 🌶️ Killer ☠️ #220 | R12 - C30</v>
      </c>
      <c r="C227" s="52">
        <v>12.0</v>
      </c>
      <c r="D227" s="52">
        <v>30.0</v>
      </c>
      <c r="E227" s="53">
        <v>48.16197468</v>
      </c>
      <c r="F227" s="53">
        <v>17.14877743</v>
      </c>
      <c r="G227" s="54" t="s">
        <v>33</v>
      </c>
      <c r="H227" s="55" t="str">
        <f t="shared" si="12"/>
        <v>Insert URL ▶</v>
      </c>
      <c r="I227" s="56"/>
      <c r="J227" s="57"/>
      <c r="K227" s="58" t="b">
        <v>0</v>
      </c>
      <c r="L227" s="59">
        <f t="shared" si="13"/>
        <v>1</v>
      </c>
      <c r="M227" s="59">
        <f t="shared" si="14"/>
        <v>0</v>
      </c>
      <c r="N227" s="59">
        <f t="shared" si="15"/>
        <v>0</v>
      </c>
      <c r="O227" s="60" t="str">
        <f t="shared" si="16"/>
        <v/>
      </c>
      <c r="P227" s="61" t="str">
        <f>IFERROR(__xludf.DUMMYFUNCTION("IF($N227=1,IFERROR(IMPORTXML($I227, ""//p[@class='status-date']""), ""Not Loading""),"""")"),"")</f>
        <v/>
      </c>
      <c r="Q227" s="64"/>
      <c r="R227" s="64"/>
      <c r="S227" s="64"/>
      <c r="T227" s="64"/>
      <c r="U227" s="62" t="str">
        <f t="shared" si="8"/>
        <v/>
      </c>
      <c r="V227" s="63">
        <f>IFERROR(__xludf.DUMMYFUNCTION("iferror(VALUE(left(index(IMPORTXML(I229, ""//div[@class='col-lg-2 user-stat stat-green']""),2,1),len(index(IMPORTXML(I229, ""//div[@class='col-lg-2 user-stat stat-green']""),2,1))-8)),0)"),0.0)</f>
        <v>0</v>
      </c>
    </row>
    <row r="228" ht="15.0" customHeight="1">
      <c r="A228" s="50">
        <f t="shared" si="9"/>
        <v>221</v>
      </c>
      <c r="B228" s="51" t="str">
        <f t="shared" si="2"/>
        <v>Chilli 🌶️ Killer ☠️ #221 | R12 - C31</v>
      </c>
      <c r="C228" s="52">
        <v>12.0</v>
      </c>
      <c r="D228" s="52">
        <v>31.0</v>
      </c>
      <c r="E228" s="53">
        <v>48.16197468</v>
      </c>
      <c r="F228" s="53">
        <v>17.14899291</v>
      </c>
      <c r="G228" s="54" t="s">
        <v>73</v>
      </c>
      <c r="H228" s="55" t="str">
        <f t="shared" si="12"/>
        <v>Neloras</v>
      </c>
      <c r="I228" s="56" t="s">
        <v>249</v>
      </c>
      <c r="J228" s="57"/>
      <c r="K228" s="58" t="b">
        <v>1</v>
      </c>
      <c r="L228" s="59">
        <f t="shared" si="13"/>
        <v>0</v>
      </c>
      <c r="M228" s="59">
        <f t="shared" si="14"/>
        <v>0</v>
      </c>
      <c r="N228" s="59">
        <f t="shared" si="15"/>
        <v>0</v>
      </c>
      <c r="O228" s="60" t="str">
        <f t="shared" si="16"/>
        <v/>
      </c>
      <c r="P228" s="61" t="str">
        <f>IFERROR(__xludf.DUMMYFUNCTION("IF($N228=1,IFERROR(IMPORTXML($I228, ""//p[@class='status-date']""), ""Not Loading""),"""")"),"")</f>
        <v/>
      </c>
      <c r="Q228" s="65"/>
      <c r="R228" s="65"/>
      <c r="S228" s="65"/>
      <c r="T228" s="65"/>
      <c r="U228" s="62" t="str">
        <f t="shared" si="8"/>
        <v>Neloras</v>
      </c>
      <c r="V228" s="63">
        <f>IFERROR(__xludf.DUMMYFUNCTION("iferror(VALUE(left(index(IMPORTXML(I230, ""//div[@class='col-lg-2 user-stat stat-green']""),2,1),len(index(IMPORTXML(I230, ""//div[@class='col-lg-2 user-stat stat-green']""),2,1))-8)),0)"),0.0)</f>
        <v>0</v>
      </c>
    </row>
    <row r="229" ht="15.0" customHeight="1">
      <c r="A229" s="50">
        <f t="shared" si="9"/>
        <v>222</v>
      </c>
      <c r="B229" s="51" t="str">
        <f t="shared" si="2"/>
        <v>Chilli 🌶️ Killer ☠️ #222 | R12 - C32</v>
      </c>
      <c r="C229" s="52">
        <v>12.0</v>
      </c>
      <c r="D229" s="52">
        <v>32.0</v>
      </c>
      <c r="E229" s="53">
        <v>48.16197468</v>
      </c>
      <c r="F229" s="53">
        <v>17.14920839</v>
      </c>
      <c r="G229" s="54" t="s">
        <v>33</v>
      </c>
      <c r="H229" s="55" t="str">
        <f t="shared" si="12"/>
        <v>Charonovci</v>
      </c>
      <c r="I229" s="56" t="s">
        <v>250</v>
      </c>
      <c r="J229" s="57"/>
      <c r="K229" s="58" t="b">
        <v>1</v>
      </c>
      <c r="L229" s="59">
        <f t="shared" si="13"/>
        <v>0</v>
      </c>
      <c r="M229" s="59">
        <f t="shared" si="14"/>
        <v>0</v>
      </c>
      <c r="N229" s="59">
        <f t="shared" si="15"/>
        <v>0</v>
      </c>
      <c r="O229" s="60" t="str">
        <f t="shared" si="16"/>
        <v/>
      </c>
      <c r="P229" s="61" t="str">
        <f>IFERROR(__xludf.DUMMYFUNCTION("IF($N229=1,IFERROR(IMPORTXML($I229, ""//p[@class='status-date']""), ""Not Loading""),"""")"),"")</f>
        <v/>
      </c>
      <c r="Q229" s="64"/>
      <c r="R229" s="64"/>
      <c r="S229" s="64"/>
      <c r="T229" s="64"/>
      <c r="U229" s="62" t="str">
        <f t="shared" si="8"/>
        <v>Charonovci</v>
      </c>
      <c r="V229" s="63">
        <f>IFERROR(__xludf.DUMMYFUNCTION("iferror(VALUE(left(index(IMPORTXML(I231, ""//div[@class='col-lg-2 user-stat stat-green']""),2,1),len(index(IMPORTXML(I231, ""//div[@class='col-lg-2 user-stat stat-green']""),2,1))-8)),0)"),0.0)</f>
        <v>0</v>
      </c>
    </row>
    <row r="230" ht="15.0" customHeight="1">
      <c r="A230" s="50">
        <f t="shared" si="9"/>
        <v>223</v>
      </c>
      <c r="B230" s="51" t="str">
        <f t="shared" si="2"/>
        <v>Chilli 🌶️ Killer ☠️ #223 | R12 - C33</v>
      </c>
      <c r="C230" s="52">
        <v>12.0</v>
      </c>
      <c r="D230" s="52">
        <v>33.0</v>
      </c>
      <c r="E230" s="53">
        <v>48.16197468</v>
      </c>
      <c r="F230" s="53">
        <v>17.14942387</v>
      </c>
      <c r="G230" s="54" t="s">
        <v>33</v>
      </c>
      <c r="H230" s="55" t="str">
        <f t="shared" si="12"/>
        <v>Insert URL ▶</v>
      </c>
      <c r="I230" s="56"/>
      <c r="J230" s="57"/>
      <c r="K230" s="58" t="b">
        <v>0</v>
      </c>
      <c r="L230" s="59">
        <f t="shared" si="13"/>
        <v>1</v>
      </c>
      <c r="M230" s="59">
        <f t="shared" si="14"/>
        <v>0</v>
      </c>
      <c r="N230" s="59">
        <f t="shared" si="15"/>
        <v>0</v>
      </c>
      <c r="O230" s="60" t="str">
        <f t="shared" si="16"/>
        <v/>
      </c>
      <c r="P230" s="61" t="str">
        <f>IFERROR(__xludf.DUMMYFUNCTION("IF($N230=1,IFERROR(IMPORTXML($I230, ""//p[@class='status-date']""), ""Not Loading""),"""")"),"")</f>
        <v/>
      </c>
      <c r="Q230" s="65"/>
      <c r="R230" s="65"/>
      <c r="S230" s="65"/>
      <c r="T230" s="65"/>
      <c r="U230" s="62" t="str">
        <f t="shared" si="8"/>
        <v/>
      </c>
      <c r="V230" s="63">
        <f>IFERROR(__xludf.DUMMYFUNCTION("iferror(VALUE(left(index(IMPORTXML(I232, ""//div[@class='col-lg-2 user-stat stat-green']""),2,1),len(index(IMPORTXML(I232, ""//div[@class='col-lg-2 user-stat stat-green']""),2,1))-8)),0)"),0.0)</f>
        <v>0</v>
      </c>
    </row>
    <row r="231" ht="15.0" customHeight="1">
      <c r="A231" s="50">
        <f t="shared" si="9"/>
        <v>224</v>
      </c>
      <c r="B231" s="51" t="str">
        <f t="shared" si="2"/>
        <v>Chilli 🌶️ Killer ☠️ #224 | R12 - C34</v>
      </c>
      <c r="C231" s="52">
        <v>12.0</v>
      </c>
      <c r="D231" s="52">
        <v>34.0</v>
      </c>
      <c r="E231" s="53">
        <v>48.16197468</v>
      </c>
      <c r="F231" s="53">
        <v>17.14963935</v>
      </c>
      <c r="G231" s="54" t="s">
        <v>73</v>
      </c>
      <c r="H231" s="55" t="str">
        <f t="shared" si="12"/>
        <v>mathew611</v>
      </c>
      <c r="I231" s="56" t="s">
        <v>251</v>
      </c>
      <c r="J231" s="57"/>
      <c r="K231" s="58" t="b">
        <v>1</v>
      </c>
      <c r="L231" s="59">
        <f t="shared" si="13"/>
        <v>0</v>
      </c>
      <c r="M231" s="59">
        <f t="shared" si="14"/>
        <v>0</v>
      </c>
      <c r="N231" s="59">
        <f t="shared" si="15"/>
        <v>0</v>
      </c>
      <c r="O231" s="60" t="str">
        <f t="shared" si="16"/>
        <v/>
      </c>
      <c r="P231" s="61" t="str">
        <f>IFERROR(__xludf.DUMMYFUNCTION("IF($N231=1,IFERROR(IMPORTXML($I231, ""//p[@class='status-date']""), ""Not Loading""),"""")"),"")</f>
        <v/>
      </c>
      <c r="Q231" s="64"/>
      <c r="R231" s="64"/>
      <c r="S231" s="64"/>
      <c r="T231" s="64"/>
      <c r="U231" s="62" t="str">
        <f t="shared" si="8"/>
        <v>mathew611</v>
      </c>
      <c r="V231" s="63">
        <f>IFERROR(__xludf.DUMMYFUNCTION("iferror(VALUE(left(index(IMPORTXML(I233, ""//div[@class='col-lg-2 user-stat stat-green']""),2,1),len(index(IMPORTXML(I233, ""//div[@class='col-lg-2 user-stat stat-green']""),2,1))-8)),0)"),0.0)</f>
        <v>0</v>
      </c>
    </row>
    <row r="232" ht="15.0" customHeight="1">
      <c r="A232" s="50">
        <f t="shared" si="9"/>
        <v>225</v>
      </c>
      <c r="B232" s="51" t="str">
        <f t="shared" si="2"/>
        <v>Chilli 🌶️ Killer ☠️ #225 | R12 - C35</v>
      </c>
      <c r="C232" s="52">
        <v>12.0</v>
      </c>
      <c r="D232" s="52">
        <v>35.0</v>
      </c>
      <c r="E232" s="53">
        <v>48.16197468</v>
      </c>
      <c r="F232" s="53">
        <v>17.14985483</v>
      </c>
      <c r="G232" s="54" t="s">
        <v>111</v>
      </c>
      <c r="H232" s="55" t="str">
        <f t="shared" si="12"/>
        <v>KarelVeliky</v>
      </c>
      <c r="I232" s="56" t="s">
        <v>252</v>
      </c>
      <c r="J232" s="57"/>
      <c r="K232" s="58" t="b">
        <v>1</v>
      </c>
      <c r="L232" s="59">
        <f t="shared" si="13"/>
        <v>0</v>
      </c>
      <c r="M232" s="59">
        <f t="shared" si="14"/>
        <v>0</v>
      </c>
      <c r="N232" s="59">
        <f t="shared" si="15"/>
        <v>0</v>
      </c>
      <c r="O232" s="60" t="str">
        <f t="shared" si="16"/>
        <v/>
      </c>
      <c r="P232" s="61" t="str">
        <f>IFERROR(__xludf.DUMMYFUNCTION("IF($N232=1,IFERROR(IMPORTXML($I232, ""//p[@class='status-date']""), ""Not Loading""),"""")"),"")</f>
        <v/>
      </c>
      <c r="Q232" s="65"/>
      <c r="R232" s="65"/>
      <c r="S232" s="65"/>
      <c r="T232" s="65"/>
      <c r="U232" s="62" t="str">
        <f t="shared" si="8"/>
        <v>KarelVeliky</v>
      </c>
      <c r="V232" s="63">
        <f>IFERROR(__xludf.DUMMYFUNCTION("iferror(VALUE(left(index(IMPORTXML(I234, ""//div[@class='col-lg-2 user-stat stat-green']""),2,1),len(index(IMPORTXML(I234, ""//div[@class='col-lg-2 user-stat stat-green']""),2,1))-8)),0)"),0.0)</f>
        <v>0</v>
      </c>
    </row>
    <row r="233" ht="15.0" customHeight="1">
      <c r="A233" s="50">
        <f t="shared" si="9"/>
        <v>226</v>
      </c>
      <c r="B233" s="51" t="str">
        <f t="shared" si="2"/>
        <v>Chilli 🌶️ Killer ☠️ #226 | R12 - C36</v>
      </c>
      <c r="C233" s="52">
        <v>12.0</v>
      </c>
      <c r="D233" s="52">
        <v>36.0</v>
      </c>
      <c r="E233" s="53">
        <v>48.16197468</v>
      </c>
      <c r="F233" s="53">
        <v>17.15007031</v>
      </c>
      <c r="G233" s="54" t="s">
        <v>33</v>
      </c>
      <c r="H233" s="55" t="str">
        <f t="shared" si="12"/>
        <v>Insert URL ▶</v>
      </c>
      <c r="I233" s="56"/>
      <c r="J233" s="57"/>
      <c r="K233" s="58" t="b">
        <v>0</v>
      </c>
      <c r="L233" s="59">
        <f t="shared" si="13"/>
        <v>1</v>
      </c>
      <c r="M233" s="59">
        <f t="shared" si="14"/>
        <v>0</v>
      </c>
      <c r="N233" s="59">
        <f t="shared" si="15"/>
        <v>0</v>
      </c>
      <c r="O233" s="60" t="str">
        <f t="shared" si="16"/>
        <v/>
      </c>
      <c r="P233" s="61" t="str">
        <f>IFERROR(__xludf.DUMMYFUNCTION("IF($N233=1,IFERROR(IMPORTXML($I233, ""//p[@class='status-date']""), ""Not Loading""),"""")"),"")</f>
        <v/>
      </c>
      <c r="Q233" s="64"/>
      <c r="R233" s="64"/>
      <c r="S233" s="64"/>
      <c r="T233" s="64"/>
      <c r="U233" s="62" t="str">
        <f t="shared" si="8"/>
        <v/>
      </c>
      <c r="V233" s="63">
        <f>IFERROR(__xludf.DUMMYFUNCTION("iferror(VALUE(left(index(IMPORTXML(I235, ""//div[@class='col-lg-2 user-stat stat-green']""),2,1),len(index(IMPORTXML(I235, ""//div[@class='col-lg-2 user-stat stat-green']""),2,1))-8)),0)"),0.0)</f>
        <v>0</v>
      </c>
    </row>
    <row r="234" ht="15.0" customHeight="1">
      <c r="A234" s="50">
        <f t="shared" si="9"/>
        <v>227</v>
      </c>
      <c r="B234" s="51" t="str">
        <f t="shared" si="2"/>
        <v>Chilli 🌶️ Killer ☠️ #227 | R13 - C8</v>
      </c>
      <c r="C234" s="52">
        <v>13.0</v>
      </c>
      <c r="D234" s="52">
        <v>8.0</v>
      </c>
      <c r="E234" s="53">
        <v>48.16185021</v>
      </c>
      <c r="F234" s="53">
        <v>17.14392914</v>
      </c>
      <c r="G234" s="54" t="s">
        <v>33</v>
      </c>
      <c r="H234" s="55" t="str">
        <f t="shared" si="12"/>
        <v>Insert URL ▶</v>
      </c>
      <c r="I234" s="56"/>
      <c r="J234" s="57"/>
      <c r="K234" s="58" t="b">
        <v>0</v>
      </c>
      <c r="L234" s="59">
        <f t="shared" si="13"/>
        <v>1</v>
      </c>
      <c r="M234" s="59">
        <f t="shared" si="14"/>
        <v>0</v>
      </c>
      <c r="N234" s="59">
        <f t="shared" si="15"/>
        <v>0</v>
      </c>
      <c r="O234" s="60" t="str">
        <f t="shared" si="16"/>
        <v/>
      </c>
      <c r="P234" s="61" t="str">
        <f>IFERROR(__xludf.DUMMYFUNCTION("IF($N234=1,IFERROR(IMPORTXML($I234, ""//p[@class='status-date']""), ""Not Loading""),"""")"),"")</f>
        <v/>
      </c>
      <c r="Q234" s="65"/>
      <c r="R234" s="65"/>
      <c r="S234" s="65"/>
      <c r="T234" s="65"/>
      <c r="U234" s="62" t="str">
        <f t="shared" si="8"/>
        <v/>
      </c>
      <c r="V234" s="63">
        <f>IFERROR(__xludf.DUMMYFUNCTION("iferror(VALUE(left(index(IMPORTXML(I236, ""//div[@class='col-lg-2 user-stat stat-green']""),2,1),len(index(IMPORTXML(I236, ""//div[@class='col-lg-2 user-stat stat-green']""),2,1))-8)),0)"),27.0)</f>
        <v>27</v>
      </c>
    </row>
    <row r="235" ht="15.0" customHeight="1">
      <c r="A235" s="50">
        <f t="shared" si="9"/>
        <v>228</v>
      </c>
      <c r="B235" s="51" t="str">
        <f t="shared" si="2"/>
        <v>Chilli 🌶️ Killer ☠️ #228 | R13 - C9</v>
      </c>
      <c r="C235" s="52">
        <v>13.0</v>
      </c>
      <c r="D235" s="52">
        <v>9.0</v>
      </c>
      <c r="E235" s="53">
        <v>48.16185021</v>
      </c>
      <c r="F235" s="53">
        <v>17.14414462</v>
      </c>
      <c r="G235" s="54" t="s">
        <v>33</v>
      </c>
      <c r="H235" s="55" t="str">
        <f t="shared" si="12"/>
        <v>Insert URL ▶</v>
      </c>
      <c r="I235" s="56"/>
      <c r="J235" s="57"/>
      <c r="K235" s="58" t="b">
        <v>0</v>
      </c>
      <c r="L235" s="59">
        <f t="shared" si="13"/>
        <v>1</v>
      </c>
      <c r="M235" s="59">
        <f t="shared" si="14"/>
        <v>0</v>
      </c>
      <c r="N235" s="59">
        <f t="shared" si="15"/>
        <v>0</v>
      </c>
      <c r="O235" s="60" t="str">
        <f t="shared" si="16"/>
        <v/>
      </c>
      <c r="P235" s="61" t="str">
        <f>IFERROR(__xludf.DUMMYFUNCTION("IF($N235=1,IFERROR(IMPORTXML($I235, ""//p[@class='status-date']""), ""Not Loading""),"""")"),"")</f>
        <v/>
      </c>
      <c r="Q235" s="64"/>
      <c r="R235" s="64"/>
      <c r="S235" s="64"/>
      <c r="T235" s="64"/>
      <c r="U235" s="62" t="str">
        <f t="shared" si="8"/>
        <v/>
      </c>
      <c r="V235" s="63">
        <f>IFERROR(__xludf.DUMMYFUNCTION("iferror(VALUE(left(index(IMPORTXML(I237, ""//div[@class='col-lg-2 user-stat stat-green']""),2,1),len(index(IMPORTXML(I237, ""//div[@class='col-lg-2 user-stat stat-green']""),2,1))-8)),0)"),0.0)</f>
        <v>0</v>
      </c>
    </row>
    <row r="236" ht="15.0" customHeight="1">
      <c r="A236" s="50">
        <f t="shared" si="9"/>
        <v>229</v>
      </c>
      <c r="B236" s="51" t="str">
        <f t="shared" si="2"/>
        <v>Chilli 🌶️ Killer ☠️ #229 | R13 - C10</v>
      </c>
      <c r="C236" s="52">
        <v>13.0</v>
      </c>
      <c r="D236" s="52">
        <v>10.0</v>
      </c>
      <c r="E236" s="53">
        <v>48.16185021</v>
      </c>
      <c r="F236" s="53">
        <v>17.1443601</v>
      </c>
      <c r="G236" s="54" t="s">
        <v>42</v>
      </c>
      <c r="H236" s="55" t="str">
        <f t="shared" si="12"/>
        <v>Lonni</v>
      </c>
      <c r="I236" s="56" t="s">
        <v>253</v>
      </c>
      <c r="J236" s="57"/>
      <c r="K236" s="58" t="b">
        <v>1</v>
      </c>
      <c r="L236" s="59">
        <f t="shared" si="13"/>
        <v>0</v>
      </c>
      <c r="M236" s="59">
        <f t="shared" si="14"/>
        <v>0</v>
      </c>
      <c r="N236" s="59">
        <f t="shared" si="15"/>
        <v>0</v>
      </c>
      <c r="O236" s="60" t="str">
        <f t="shared" si="16"/>
        <v/>
      </c>
      <c r="P236" s="61" t="str">
        <f>IFERROR(__xludf.DUMMYFUNCTION("IF($N236=1,IFERROR(IMPORTXML($I236, ""//p[@class='status-date']""), ""Not Loading""),"""")"),"")</f>
        <v/>
      </c>
      <c r="Q236" s="65"/>
      <c r="R236" s="65"/>
      <c r="S236" s="65"/>
      <c r="T236" s="65"/>
      <c r="U236" s="62" t="str">
        <f t="shared" si="8"/>
        <v>Lonni</v>
      </c>
      <c r="V236" s="63">
        <f>IFERROR(__xludf.DUMMYFUNCTION("iferror(VALUE(left(index(IMPORTXML(I238, ""//div[@class='col-lg-2 user-stat stat-green']""),2,1),len(index(IMPORTXML(I238, ""//div[@class='col-lg-2 user-stat stat-green']""),2,1))-8)),0)"),0.0)</f>
        <v>0</v>
      </c>
    </row>
    <row r="237" ht="15.0" customHeight="1">
      <c r="A237" s="50">
        <f t="shared" si="9"/>
        <v>230</v>
      </c>
      <c r="B237" s="51" t="str">
        <f t="shared" si="2"/>
        <v>Chilli 🌶️ Killer ☠️ #230 | R13 - C11</v>
      </c>
      <c r="C237" s="52">
        <v>13.0</v>
      </c>
      <c r="D237" s="52">
        <v>11.0</v>
      </c>
      <c r="E237" s="53">
        <v>48.16185021</v>
      </c>
      <c r="F237" s="53">
        <v>17.14457558</v>
      </c>
      <c r="G237" s="54" t="s">
        <v>42</v>
      </c>
      <c r="H237" s="55" t="str">
        <f t="shared" si="12"/>
        <v>EeveeFox</v>
      </c>
      <c r="I237" s="56" t="s">
        <v>254</v>
      </c>
      <c r="J237" s="57"/>
      <c r="K237" s="58" t="b">
        <v>1</v>
      </c>
      <c r="L237" s="59">
        <f t="shared" si="13"/>
        <v>0</v>
      </c>
      <c r="M237" s="59">
        <f t="shared" si="14"/>
        <v>0</v>
      </c>
      <c r="N237" s="59">
        <f t="shared" si="15"/>
        <v>0</v>
      </c>
      <c r="O237" s="60" t="str">
        <f t="shared" si="16"/>
        <v/>
      </c>
      <c r="P237" s="61" t="str">
        <f>IFERROR(__xludf.DUMMYFUNCTION("IF($N237=1,IFERROR(IMPORTXML($I237, ""//p[@class='status-date']""), ""Not Loading""),"""")"),"")</f>
        <v/>
      </c>
      <c r="Q237" s="64"/>
      <c r="R237" s="64"/>
      <c r="S237" s="64"/>
      <c r="T237" s="64"/>
      <c r="U237" s="62" t="str">
        <f t="shared" si="8"/>
        <v>EeveeFox</v>
      </c>
      <c r="V237" s="63">
        <f>IFERROR(__xludf.DUMMYFUNCTION("iferror(VALUE(left(index(IMPORTXML(I239, ""//div[@class='col-lg-2 user-stat stat-green']""),2,1),len(index(IMPORTXML(I239, ""//div[@class='col-lg-2 user-stat stat-green']""),2,1))-8)),0)"),0.0)</f>
        <v>0</v>
      </c>
    </row>
    <row r="238" ht="15.0" customHeight="1">
      <c r="A238" s="50">
        <f t="shared" si="9"/>
        <v>231</v>
      </c>
      <c r="B238" s="51" t="str">
        <f t="shared" si="2"/>
        <v>Chilli 🌶️ Killer ☠️ #231 | R13 - C12</v>
      </c>
      <c r="C238" s="52">
        <v>13.0</v>
      </c>
      <c r="D238" s="52">
        <v>12.0</v>
      </c>
      <c r="E238" s="53">
        <v>48.16185021</v>
      </c>
      <c r="F238" s="53">
        <v>17.14479105</v>
      </c>
      <c r="G238" s="54" t="s">
        <v>42</v>
      </c>
      <c r="H238" s="55" t="str">
        <f t="shared" si="12"/>
        <v>MacickaLizza</v>
      </c>
      <c r="I238" s="56" t="s">
        <v>255</v>
      </c>
      <c r="J238" s="57"/>
      <c r="K238" s="58" t="b">
        <v>1</v>
      </c>
      <c r="L238" s="59">
        <f t="shared" si="13"/>
        <v>0</v>
      </c>
      <c r="M238" s="59">
        <f t="shared" si="14"/>
        <v>0</v>
      </c>
      <c r="N238" s="59">
        <f t="shared" si="15"/>
        <v>0</v>
      </c>
      <c r="O238" s="60" t="str">
        <f t="shared" si="16"/>
        <v/>
      </c>
      <c r="P238" s="61" t="str">
        <f>IFERROR(__xludf.DUMMYFUNCTION("IF($N238=1,IFERROR(IMPORTXML($I238, ""//p[@class='status-date']""), ""Not Loading""),"""")"),"")</f>
        <v/>
      </c>
      <c r="Q238" s="65"/>
      <c r="R238" s="65"/>
      <c r="S238" s="65"/>
      <c r="T238" s="65"/>
      <c r="U238" s="62" t="str">
        <f t="shared" si="8"/>
        <v>MacickaLizza</v>
      </c>
      <c r="V238" s="63">
        <f>IFERROR(__xludf.DUMMYFUNCTION("iferror(VALUE(left(index(IMPORTXML(I240, ""//div[@class='col-lg-2 user-stat stat-green']""),2,1),len(index(IMPORTXML(I240, ""//div[@class='col-lg-2 user-stat stat-green']""),2,1))-8)),0)"),0.0)</f>
        <v>0</v>
      </c>
    </row>
    <row r="239" ht="15.0" customHeight="1">
      <c r="A239" s="50">
        <f t="shared" si="9"/>
        <v>232</v>
      </c>
      <c r="B239" s="51" t="str">
        <f t="shared" si="2"/>
        <v>Chilli 🌶️ Killer ☠️ #232 | R13 - C13</v>
      </c>
      <c r="C239" s="52">
        <v>13.0</v>
      </c>
      <c r="D239" s="52">
        <v>13.0</v>
      </c>
      <c r="E239" s="53">
        <v>48.16185021</v>
      </c>
      <c r="F239" s="53">
        <v>17.14500653</v>
      </c>
      <c r="G239" s="54" t="s">
        <v>42</v>
      </c>
      <c r="H239" s="55" t="str">
        <f t="shared" si="12"/>
        <v>chaosmanor</v>
      </c>
      <c r="I239" s="56" t="s">
        <v>256</v>
      </c>
      <c r="J239" s="57"/>
      <c r="K239" s="58" t="b">
        <v>1</v>
      </c>
      <c r="L239" s="59">
        <f t="shared" si="13"/>
        <v>0</v>
      </c>
      <c r="M239" s="59">
        <f t="shared" si="14"/>
        <v>0</v>
      </c>
      <c r="N239" s="59">
        <f t="shared" si="15"/>
        <v>0</v>
      </c>
      <c r="O239" s="60" t="str">
        <f t="shared" si="16"/>
        <v/>
      </c>
      <c r="P239" s="61" t="str">
        <f>IFERROR(__xludf.DUMMYFUNCTION("IF($N239=1,IFERROR(IMPORTXML($I239, ""//p[@class='status-date']""), ""Not Loading""),"""")"),"")</f>
        <v/>
      </c>
      <c r="Q239" s="64"/>
      <c r="R239" s="64"/>
      <c r="S239" s="64"/>
      <c r="T239" s="64"/>
      <c r="U239" s="62" t="str">
        <f t="shared" si="8"/>
        <v>chaosmanor</v>
      </c>
      <c r="V239" s="63">
        <f>IFERROR(__xludf.DUMMYFUNCTION("iferror(VALUE(left(index(IMPORTXML(I241, ""//div[@class='col-lg-2 user-stat stat-green']""),2,1),len(index(IMPORTXML(I241, ""//div[@class='col-lg-2 user-stat stat-green']""),2,1))-8)),0)"),0.0)</f>
        <v>0</v>
      </c>
    </row>
    <row r="240" ht="15.0" customHeight="1">
      <c r="A240" s="50">
        <f t="shared" si="9"/>
        <v>233</v>
      </c>
      <c r="B240" s="51" t="str">
        <f t="shared" si="2"/>
        <v>Chilli 🌶️ Killer ☠️ #233 | R13 - C14</v>
      </c>
      <c r="C240" s="52">
        <v>13.0</v>
      </c>
      <c r="D240" s="52">
        <v>14.0</v>
      </c>
      <c r="E240" s="53">
        <v>48.16185021</v>
      </c>
      <c r="F240" s="53">
        <v>17.14522201</v>
      </c>
      <c r="G240" s="54" t="s">
        <v>42</v>
      </c>
      <c r="H240" s="55" t="str">
        <f t="shared" si="12"/>
        <v>EeveeFox</v>
      </c>
      <c r="I240" s="56" t="s">
        <v>257</v>
      </c>
      <c r="J240" s="57"/>
      <c r="K240" s="58" t="b">
        <v>1</v>
      </c>
      <c r="L240" s="59">
        <f t="shared" si="13"/>
        <v>0</v>
      </c>
      <c r="M240" s="59">
        <f t="shared" si="14"/>
        <v>0</v>
      </c>
      <c r="N240" s="59">
        <f t="shared" si="15"/>
        <v>0</v>
      </c>
      <c r="O240" s="60" t="str">
        <f t="shared" si="16"/>
        <v/>
      </c>
      <c r="P240" s="61" t="str">
        <f>IFERROR(__xludf.DUMMYFUNCTION("IF($N240=1,IFERROR(IMPORTXML($I240, ""//p[@class='status-date']""), ""Not Loading""),"""")"),"")</f>
        <v/>
      </c>
      <c r="Q240" s="65"/>
      <c r="R240" s="65"/>
      <c r="S240" s="65"/>
      <c r="T240" s="65"/>
      <c r="U240" s="62" t="str">
        <f t="shared" si="8"/>
        <v>EeveeFox</v>
      </c>
      <c r="V240" s="63">
        <f>IFERROR(__xludf.DUMMYFUNCTION("iferror(VALUE(left(index(IMPORTXML(I242, ""//div[@class='col-lg-2 user-stat stat-green']""),2,1),len(index(IMPORTXML(I242, ""//div[@class='col-lg-2 user-stat stat-green']""),2,1))-8)),0)"),0.0)</f>
        <v>0</v>
      </c>
    </row>
    <row r="241" ht="15.0" customHeight="1">
      <c r="A241" s="50">
        <f t="shared" si="9"/>
        <v>234</v>
      </c>
      <c r="B241" s="51" t="str">
        <f t="shared" si="2"/>
        <v>Chilli 🌶️ Killer ☠️ #234 | R13 - C15</v>
      </c>
      <c r="C241" s="52">
        <v>13.0</v>
      </c>
      <c r="D241" s="52">
        <v>15.0</v>
      </c>
      <c r="E241" s="53">
        <v>48.16185021</v>
      </c>
      <c r="F241" s="53">
        <v>17.14543749</v>
      </c>
      <c r="G241" s="54" t="s">
        <v>42</v>
      </c>
      <c r="H241" s="55" t="str">
        <f t="shared" si="12"/>
        <v>MacickaLizza</v>
      </c>
      <c r="I241" s="56" t="s">
        <v>258</v>
      </c>
      <c r="J241" s="57"/>
      <c r="K241" s="58" t="b">
        <v>1</v>
      </c>
      <c r="L241" s="59">
        <f t="shared" si="13"/>
        <v>0</v>
      </c>
      <c r="M241" s="59">
        <f t="shared" si="14"/>
        <v>0</v>
      </c>
      <c r="N241" s="59">
        <f t="shared" si="15"/>
        <v>0</v>
      </c>
      <c r="O241" s="60" t="str">
        <f t="shared" si="16"/>
        <v/>
      </c>
      <c r="P241" s="61" t="str">
        <f>IFERROR(__xludf.DUMMYFUNCTION("IF($N241=1,IFERROR(IMPORTXML($I241, ""//p[@class='status-date']""), ""Not Loading""),"""")"),"")</f>
        <v/>
      </c>
      <c r="Q241" s="64"/>
      <c r="R241" s="64"/>
      <c r="S241" s="64"/>
      <c r="T241" s="64"/>
      <c r="U241" s="62" t="str">
        <f t="shared" si="8"/>
        <v>MacickaLizza</v>
      </c>
      <c r="V241" s="63">
        <f>IFERROR(__xludf.DUMMYFUNCTION("iferror(VALUE(left(index(IMPORTXML(I243, ""//div[@class='col-lg-2 user-stat stat-green']""),2,1),len(index(IMPORTXML(I243, ""//div[@class='col-lg-2 user-stat stat-green']""),2,1))-8)),0)"),0.0)</f>
        <v>0</v>
      </c>
    </row>
    <row r="242" ht="15.0" customHeight="1">
      <c r="A242" s="50">
        <f t="shared" si="9"/>
        <v>235</v>
      </c>
      <c r="B242" s="51" t="str">
        <f t="shared" si="2"/>
        <v>Chilli 🌶️ Killer ☠️ #235 | R13 - C16</v>
      </c>
      <c r="C242" s="52">
        <v>13.0</v>
      </c>
      <c r="D242" s="52">
        <v>16.0</v>
      </c>
      <c r="E242" s="53">
        <v>48.16185021</v>
      </c>
      <c r="F242" s="53">
        <v>17.14565297</v>
      </c>
      <c r="G242" s="54" t="s">
        <v>42</v>
      </c>
      <c r="H242" s="55" t="str">
        <f t="shared" si="12"/>
        <v>Neloras</v>
      </c>
      <c r="I242" s="56" t="s">
        <v>259</v>
      </c>
      <c r="J242" s="57"/>
      <c r="K242" s="58" t="b">
        <v>1</v>
      </c>
      <c r="L242" s="59">
        <f t="shared" si="13"/>
        <v>0</v>
      </c>
      <c r="M242" s="59">
        <f t="shared" si="14"/>
        <v>0</v>
      </c>
      <c r="N242" s="59">
        <f t="shared" si="15"/>
        <v>0</v>
      </c>
      <c r="O242" s="60" t="str">
        <f t="shared" si="16"/>
        <v/>
      </c>
      <c r="P242" s="61" t="str">
        <f>IFERROR(__xludf.DUMMYFUNCTION("IF($N242=1,IFERROR(IMPORTXML($I242, ""//p[@class='status-date']""), ""Not Loading""),"""")"),"")</f>
        <v/>
      </c>
      <c r="Q242" s="65"/>
      <c r="R242" s="65"/>
      <c r="S242" s="65"/>
      <c r="T242" s="65"/>
      <c r="U242" s="62" t="str">
        <f t="shared" si="8"/>
        <v>Neloras</v>
      </c>
      <c r="V242" s="63">
        <f>IFERROR(__xludf.DUMMYFUNCTION("iferror(VALUE(left(index(IMPORTXML(I244, ""//div[@class='col-lg-2 user-stat stat-green']""),2,1),len(index(IMPORTXML(I244, ""//div[@class='col-lg-2 user-stat stat-green']""),2,1))-8)),0)"),0.0)</f>
        <v>0</v>
      </c>
    </row>
    <row r="243" ht="15.0" customHeight="1">
      <c r="A243" s="50">
        <f t="shared" si="9"/>
        <v>236</v>
      </c>
      <c r="B243" s="51" t="str">
        <f t="shared" si="2"/>
        <v>Chilli 🌶️ Killer ☠️ #236 | R13 - C17</v>
      </c>
      <c r="C243" s="52">
        <v>13.0</v>
      </c>
      <c r="D243" s="52">
        <v>17.0</v>
      </c>
      <c r="E243" s="53">
        <v>48.16185021</v>
      </c>
      <c r="F243" s="53">
        <v>17.14586845</v>
      </c>
      <c r="G243" s="54" t="s">
        <v>42</v>
      </c>
      <c r="H243" s="55" t="str">
        <f t="shared" si="12"/>
        <v>Nicolet</v>
      </c>
      <c r="I243" s="56" t="s">
        <v>260</v>
      </c>
      <c r="J243" s="57"/>
      <c r="K243" s="58" t="b">
        <v>1</v>
      </c>
      <c r="L243" s="59">
        <f t="shared" si="13"/>
        <v>0</v>
      </c>
      <c r="M243" s="59">
        <f t="shared" si="14"/>
        <v>0</v>
      </c>
      <c r="N243" s="59">
        <f t="shared" si="15"/>
        <v>0</v>
      </c>
      <c r="O243" s="60" t="str">
        <f t="shared" si="16"/>
        <v/>
      </c>
      <c r="P243" s="61" t="str">
        <f>IFERROR(__xludf.DUMMYFUNCTION("IF($N243=1,IFERROR(IMPORTXML($I243, ""//p[@class='status-date']""), ""Not Loading""),"""")"),"")</f>
        <v/>
      </c>
      <c r="Q243" s="64"/>
      <c r="R243" s="64"/>
      <c r="S243" s="64"/>
      <c r="T243" s="64"/>
      <c r="U243" s="62" t="str">
        <f t="shared" si="8"/>
        <v>Nicolet</v>
      </c>
      <c r="V243" s="63">
        <f>IFERROR(__xludf.DUMMYFUNCTION("iferror(VALUE(left(index(IMPORTXML(I245, ""//div[@class='col-lg-2 user-stat stat-green']""),2,1),len(index(IMPORTXML(I245, ""//div[@class='col-lg-2 user-stat stat-green']""),2,1))-8)),0)"),0.0)</f>
        <v>0</v>
      </c>
    </row>
    <row r="244" ht="15.0" customHeight="1">
      <c r="A244" s="50">
        <f t="shared" si="9"/>
        <v>237</v>
      </c>
      <c r="B244" s="51" t="str">
        <f t="shared" si="2"/>
        <v>Chilli 🌶️ Killer ☠️ #237 | R13 - C18</v>
      </c>
      <c r="C244" s="52">
        <v>13.0</v>
      </c>
      <c r="D244" s="52">
        <v>18.0</v>
      </c>
      <c r="E244" s="53">
        <v>48.16185021</v>
      </c>
      <c r="F244" s="53">
        <v>17.14608393</v>
      </c>
      <c r="G244" s="54" t="s">
        <v>33</v>
      </c>
      <c r="H244" s="55" t="str">
        <f t="shared" si="12"/>
        <v>KarelVeliky</v>
      </c>
      <c r="I244" s="68" t="s">
        <v>261</v>
      </c>
      <c r="J244" s="57"/>
      <c r="K244" s="58" t="b">
        <v>1</v>
      </c>
      <c r="L244" s="59">
        <f t="shared" si="13"/>
        <v>0</v>
      </c>
      <c r="M244" s="59">
        <f t="shared" si="14"/>
        <v>0</v>
      </c>
      <c r="N244" s="59">
        <f t="shared" si="15"/>
        <v>0</v>
      </c>
      <c r="O244" s="60" t="str">
        <f t="shared" si="16"/>
        <v/>
      </c>
      <c r="P244" s="61" t="str">
        <f>IFERROR(__xludf.DUMMYFUNCTION("IF($N244=1,IFERROR(IMPORTXML($I244, ""//p[@class='status-date']""), ""Not Loading""),"""")"),"")</f>
        <v/>
      </c>
      <c r="Q244" s="65"/>
      <c r="R244" s="65"/>
      <c r="S244" s="65"/>
      <c r="T244" s="65"/>
      <c r="U244" s="62" t="str">
        <f t="shared" si="8"/>
        <v>KarelVeliky</v>
      </c>
      <c r="V244" s="63">
        <f>IFERROR(__xludf.DUMMYFUNCTION("iferror(VALUE(left(index(IMPORTXML(I246, ""//div[@class='col-lg-2 user-stat stat-green']""),2,1),len(index(IMPORTXML(I246, ""//div[@class='col-lg-2 user-stat stat-green']""),2,1))-8)),0)"),0.0)</f>
        <v>0</v>
      </c>
    </row>
    <row r="245" ht="15.0" customHeight="1">
      <c r="A245" s="50">
        <f t="shared" si="9"/>
        <v>238</v>
      </c>
      <c r="B245" s="51" t="str">
        <f t="shared" si="2"/>
        <v>Chilli 🌶️ Killer ☠️ #238 | R13 - C19</v>
      </c>
      <c r="C245" s="52">
        <v>13.0</v>
      </c>
      <c r="D245" s="52">
        <v>19.0</v>
      </c>
      <c r="E245" s="53">
        <v>48.16185021</v>
      </c>
      <c r="F245" s="53">
        <v>17.1462994</v>
      </c>
      <c r="G245" s="54" t="s">
        <v>33</v>
      </c>
      <c r="H245" s="55" t="str">
        <f t="shared" si="12"/>
        <v>Insert URL ▶</v>
      </c>
      <c r="I245" s="56"/>
      <c r="J245" s="57"/>
      <c r="K245" s="58" t="b">
        <v>0</v>
      </c>
      <c r="L245" s="59">
        <f t="shared" si="13"/>
        <v>1</v>
      </c>
      <c r="M245" s="59">
        <f t="shared" si="14"/>
        <v>0</v>
      </c>
      <c r="N245" s="59">
        <f t="shared" si="15"/>
        <v>0</v>
      </c>
      <c r="O245" s="60" t="str">
        <f t="shared" si="16"/>
        <v/>
      </c>
      <c r="P245" s="61" t="str">
        <f>IFERROR(__xludf.DUMMYFUNCTION("IF($N245=1,IFERROR(IMPORTXML($I245, ""//p[@class='status-date']""), ""Not Loading""),"""")"),"")</f>
        <v/>
      </c>
      <c r="Q245" s="64"/>
      <c r="R245" s="64"/>
      <c r="S245" s="64"/>
      <c r="T245" s="64"/>
      <c r="U245" s="62" t="str">
        <f t="shared" si="8"/>
        <v/>
      </c>
      <c r="V245" s="63">
        <f>IFERROR(__xludf.DUMMYFUNCTION("iferror(VALUE(left(index(IMPORTXML(I247, ""//div[@class='col-lg-2 user-stat stat-green']""),2,1),len(index(IMPORTXML(I247, ""//div[@class='col-lg-2 user-stat stat-green']""),2,1))-8)),0)"),0.0)</f>
        <v>0</v>
      </c>
    </row>
    <row r="246" ht="15.0" customHeight="1">
      <c r="A246" s="50">
        <f t="shared" si="9"/>
        <v>239</v>
      </c>
      <c r="B246" s="51" t="str">
        <f t="shared" si="2"/>
        <v>Chilli 🌶️ Killer ☠️ #239 | R13 - C20</v>
      </c>
      <c r="C246" s="52">
        <v>13.0</v>
      </c>
      <c r="D246" s="52">
        <v>20.0</v>
      </c>
      <c r="E246" s="53">
        <v>48.16185021</v>
      </c>
      <c r="F246" s="53">
        <v>17.14651488</v>
      </c>
      <c r="G246" s="54" t="s">
        <v>33</v>
      </c>
      <c r="H246" s="55" t="str">
        <f t="shared" si="12"/>
        <v>Nicolet</v>
      </c>
      <c r="I246" s="56" t="s">
        <v>262</v>
      </c>
      <c r="J246" s="57"/>
      <c r="K246" s="58" t="b">
        <v>1</v>
      </c>
      <c r="L246" s="59">
        <f t="shared" si="13"/>
        <v>0</v>
      </c>
      <c r="M246" s="59">
        <f t="shared" si="14"/>
        <v>0</v>
      </c>
      <c r="N246" s="59">
        <f t="shared" si="15"/>
        <v>0</v>
      </c>
      <c r="O246" s="60" t="str">
        <f t="shared" si="16"/>
        <v/>
      </c>
      <c r="P246" s="61" t="str">
        <f>IFERROR(__xludf.DUMMYFUNCTION("IF($N246=1,IFERROR(IMPORTXML($I246, ""//p[@class='status-date']""), ""Not Loading""),"""")"),"")</f>
        <v/>
      </c>
      <c r="Q246" s="65"/>
      <c r="R246" s="65"/>
      <c r="S246" s="65"/>
      <c r="T246" s="65"/>
      <c r="U246" s="62" t="str">
        <f t="shared" si="8"/>
        <v>Nicolet</v>
      </c>
      <c r="V246" s="63">
        <f>IFERROR(__xludf.DUMMYFUNCTION("iferror(VALUE(left(index(IMPORTXML(I248, ""//div[@class='col-lg-2 user-stat stat-green']""),2,1),len(index(IMPORTXML(I248, ""//div[@class='col-lg-2 user-stat stat-green']""),2,1))-8)),0)"),0.0)</f>
        <v>0</v>
      </c>
    </row>
    <row r="247" ht="15.0" customHeight="1">
      <c r="A247" s="50">
        <f t="shared" si="9"/>
        <v>240</v>
      </c>
      <c r="B247" s="51" t="str">
        <f t="shared" si="2"/>
        <v>Chilli 🌶️ Killer ☠️ #240 | R13 - C23</v>
      </c>
      <c r="C247" s="52">
        <v>13.0</v>
      </c>
      <c r="D247" s="52">
        <v>23.0</v>
      </c>
      <c r="E247" s="53">
        <v>48.1618502</v>
      </c>
      <c r="F247" s="53">
        <v>17.14716132</v>
      </c>
      <c r="G247" s="54" t="s">
        <v>33</v>
      </c>
      <c r="H247" s="55" t="str">
        <f t="shared" si="12"/>
        <v>Insert URL ▶</v>
      </c>
      <c r="I247" s="56"/>
      <c r="J247" s="57"/>
      <c r="K247" s="58" t="b">
        <v>0</v>
      </c>
      <c r="L247" s="59">
        <f t="shared" si="13"/>
        <v>1</v>
      </c>
      <c r="M247" s="59">
        <f t="shared" si="14"/>
        <v>0</v>
      </c>
      <c r="N247" s="59">
        <f t="shared" si="15"/>
        <v>0</v>
      </c>
      <c r="O247" s="60" t="str">
        <f t="shared" si="16"/>
        <v/>
      </c>
      <c r="P247" s="61" t="str">
        <f>IFERROR(__xludf.DUMMYFUNCTION("IF($N247=1,IFERROR(IMPORTXML($I247, ""//p[@class='status-date']""), ""Not Loading""),"""")"),"")</f>
        <v/>
      </c>
      <c r="Q247" s="64"/>
      <c r="R247" s="64"/>
      <c r="S247" s="64"/>
      <c r="T247" s="64"/>
      <c r="U247" s="62" t="str">
        <f t="shared" si="8"/>
        <v/>
      </c>
      <c r="V247" s="63">
        <f>IFERROR(__xludf.DUMMYFUNCTION("iferror(VALUE(left(index(IMPORTXML(I249, ""//div[@class='col-lg-2 user-stat stat-green']""),2,1),len(index(IMPORTXML(I249, ""//div[@class='col-lg-2 user-stat stat-green']""),2,1))-8)),0)"),0.0)</f>
        <v>0</v>
      </c>
    </row>
    <row r="248" ht="15.0" customHeight="1">
      <c r="A248" s="50">
        <f t="shared" si="9"/>
        <v>241</v>
      </c>
      <c r="B248" s="51" t="str">
        <f t="shared" si="2"/>
        <v>Chilli 🌶️ Killer ☠️ #241 | R13 - C24</v>
      </c>
      <c r="C248" s="52">
        <v>13.0</v>
      </c>
      <c r="D248" s="52">
        <v>24.0</v>
      </c>
      <c r="E248" s="53">
        <v>48.1618502</v>
      </c>
      <c r="F248" s="53">
        <v>17.1473768</v>
      </c>
      <c r="G248" s="54" t="s">
        <v>33</v>
      </c>
      <c r="H248" s="55" t="str">
        <f t="shared" si="12"/>
        <v>Insert URL ▶</v>
      </c>
      <c r="I248" s="56"/>
      <c r="J248" s="57" t="s">
        <v>263</v>
      </c>
      <c r="K248" s="58" t="b">
        <v>0</v>
      </c>
      <c r="L248" s="59">
        <f t="shared" si="13"/>
        <v>1</v>
      </c>
      <c r="M248" s="59">
        <f t="shared" si="14"/>
        <v>0</v>
      </c>
      <c r="N248" s="59">
        <f t="shared" si="15"/>
        <v>0</v>
      </c>
      <c r="O248" s="60" t="str">
        <f t="shared" si="16"/>
        <v/>
      </c>
      <c r="P248" s="61" t="str">
        <f>IFERROR(__xludf.DUMMYFUNCTION("IF($N248=1,IFERROR(IMPORTXML($I248, ""//p[@class='status-date']""), ""Not Loading""),"""")"),"")</f>
        <v/>
      </c>
      <c r="Q248" s="65"/>
      <c r="R248" s="65"/>
      <c r="S248" s="65"/>
      <c r="T248" s="65"/>
      <c r="U248" s="62" t="str">
        <f t="shared" si="8"/>
        <v/>
      </c>
      <c r="V248" s="63">
        <f>IFERROR(__xludf.DUMMYFUNCTION("iferror(VALUE(left(index(IMPORTXML(I250, ""//div[@class='col-lg-2 user-stat stat-green']""),2,1),len(index(IMPORTXML(I250, ""//div[@class='col-lg-2 user-stat stat-green']""),2,1))-8)),0)"),0.0)</f>
        <v>0</v>
      </c>
    </row>
    <row r="249" ht="15.0" customHeight="1">
      <c r="A249" s="50">
        <f t="shared" si="9"/>
        <v>242</v>
      </c>
      <c r="B249" s="51" t="str">
        <f t="shared" si="2"/>
        <v>Chilli 🌶️ Killer ☠️ #242 | R13 - C25</v>
      </c>
      <c r="C249" s="52">
        <v>13.0</v>
      </c>
      <c r="D249" s="52">
        <v>25.0</v>
      </c>
      <c r="E249" s="53">
        <v>48.1618502</v>
      </c>
      <c r="F249" s="53">
        <v>17.14759228</v>
      </c>
      <c r="G249" s="54" t="s">
        <v>33</v>
      </c>
      <c r="H249" s="55" t="str">
        <f t="shared" si="12"/>
        <v>KarelVeliky</v>
      </c>
      <c r="I249" s="68" t="s">
        <v>264</v>
      </c>
      <c r="J249" s="57"/>
      <c r="K249" s="58" t="b">
        <v>0</v>
      </c>
      <c r="L249" s="59">
        <f t="shared" si="13"/>
        <v>0</v>
      </c>
      <c r="M249" s="59">
        <f t="shared" si="14"/>
        <v>0</v>
      </c>
      <c r="N249" s="59">
        <f t="shared" si="15"/>
        <v>1</v>
      </c>
      <c r="O249" s="69" t="str">
        <f t="shared" si="16"/>
        <v>Munzee</v>
      </c>
      <c r="P249" s="61" t="str">
        <f>IFERROR(__xludf.DUMMYFUNCTION("IF($N249=1,IFERROR(IMPORTXML($I249, ""//p[@class='status-date']""), ""Not Loading""),"""")"),"Not Loading")</f>
        <v>Not Loading</v>
      </c>
      <c r="Q249" s="64"/>
      <c r="R249" s="64"/>
      <c r="S249" s="64"/>
      <c r="T249" s="64"/>
      <c r="U249" s="62" t="str">
        <f t="shared" si="8"/>
        <v>KarelVeliky</v>
      </c>
      <c r="V249" s="63">
        <f>IFERROR(__xludf.DUMMYFUNCTION("iferror(VALUE(left(index(IMPORTXML(I251, ""//div[@class='col-lg-2 user-stat stat-green']""),2,1),len(index(IMPORTXML(I251, ""//div[@class='col-lg-2 user-stat stat-green']""),2,1))-8)),0)"),0.0)</f>
        <v>0</v>
      </c>
    </row>
    <row r="250" ht="15.0" customHeight="1">
      <c r="A250" s="50">
        <f t="shared" si="9"/>
        <v>243</v>
      </c>
      <c r="B250" s="51" t="str">
        <f t="shared" si="2"/>
        <v>Chilli 🌶️ Killer ☠️ #243 | R13 - C26</v>
      </c>
      <c r="C250" s="52">
        <v>13.0</v>
      </c>
      <c r="D250" s="52">
        <v>26.0</v>
      </c>
      <c r="E250" s="53">
        <v>48.1618502</v>
      </c>
      <c r="F250" s="53">
        <v>17.14780776</v>
      </c>
      <c r="G250" s="54" t="s">
        <v>33</v>
      </c>
      <c r="H250" s="55" t="str">
        <f t="shared" si="12"/>
        <v>Insert URL ▶</v>
      </c>
      <c r="I250" s="56"/>
      <c r="J250" s="57"/>
      <c r="K250" s="58" t="b">
        <v>0</v>
      </c>
      <c r="L250" s="59">
        <f t="shared" si="13"/>
        <v>1</v>
      </c>
      <c r="M250" s="59">
        <f t="shared" si="14"/>
        <v>0</v>
      </c>
      <c r="N250" s="59">
        <f t="shared" si="15"/>
        <v>0</v>
      </c>
      <c r="O250" s="60" t="str">
        <f t="shared" si="16"/>
        <v/>
      </c>
      <c r="P250" s="61" t="str">
        <f>IFERROR(__xludf.DUMMYFUNCTION("IF($N250=1,IFERROR(IMPORTXML($I250, ""//p[@class='status-date']""), ""Not Loading""),"""")"),"")</f>
        <v/>
      </c>
      <c r="Q250" s="65"/>
      <c r="R250" s="65"/>
      <c r="S250" s="65"/>
      <c r="T250" s="65"/>
      <c r="U250" s="62" t="str">
        <f t="shared" si="8"/>
        <v/>
      </c>
      <c r="V250" s="63">
        <f>IFERROR(__xludf.DUMMYFUNCTION("iferror(VALUE(left(index(IMPORTXML(I252, ""//div[@class='col-lg-2 user-stat stat-green']""),2,1),len(index(IMPORTXML(I252, ""//div[@class='col-lg-2 user-stat stat-green']""),2,1))-8)),0)"),0.0)</f>
        <v>0</v>
      </c>
    </row>
    <row r="251" ht="15.0" customHeight="1">
      <c r="A251" s="50">
        <f t="shared" si="9"/>
        <v>244</v>
      </c>
      <c r="B251" s="51" t="str">
        <f t="shared" si="2"/>
        <v>Chilli 🌶️ Killer ☠️ #244 | R13 - C27</v>
      </c>
      <c r="C251" s="52">
        <v>13.0</v>
      </c>
      <c r="D251" s="52">
        <v>27.0</v>
      </c>
      <c r="E251" s="53">
        <v>48.1618502</v>
      </c>
      <c r="F251" s="53">
        <v>17.14802323</v>
      </c>
      <c r="G251" s="54" t="s">
        <v>33</v>
      </c>
      <c r="H251" s="55" t="str">
        <f t="shared" si="12"/>
        <v>chaosmanor</v>
      </c>
      <c r="I251" s="56" t="s">
        <v>265</v>
      </c>
      <c r="J251" s="57"/>
      <c r="K251" s="58" t="b">
        <v>1</v>
      </c>
      <c r="L251" s="59">
        <f t="shared" si="13"/>
        <v>0</v>
      </c>
      <c r="M251" s="59">
        <f t="shared" si="14"/>
        <v>0</v>
      </c>
      <c r="N251" s="59">
        <f t="shared" si="15"/>
        <v>0</v>
      </c>
      <c r="O251" s="60" t="str">
        <f t="shared" si="16"/>
        <v/>
      </c>
      <c r="P251" s="61" t="str">
        <f>IFERROR(__xludf.DUMMYFUNCTION("IF($N251=1,IFERROR(IMPORTXML($I251, ""//p[@class='status-date']""), ""Not Loading""),"""")"),"")</f>
        <v/>
      </c>
      <c r="Q251" s="64"/>
      <c r="R251" s="64"/>
      <c r="S251" s="64"/>
      <c r="T251" s="64"/>
      <c r="U251" s="62" t="str">
        <f t="shared" si="8"/>
        <v>chaosmanor</v>
      </c>
      <c r="V251" s="63">
        <f>IFERROR(__xludf.DUMMYFUNCTION("iferror(VALUE(left(index(IMPORTXML(I253, ""//div[@class='col-lg-2 user-stat stat-green']""),2,1),len(index(IMPORTXML(I253, ""//div[@class='col-lg-2 user-stat stat-green']""),2,1))-8)),0)"),0.0)</f>
        <v>0</v>
      </c>
    </row>
    <row r="252" ht="15.0" customHeight="1">
      <c r="A252" s="50">
        <f t="shared" si="9"/>
        <v>245</v>
      </c>
      <c r="B252" s="51" t="str">
        <f t="shared" si="2"/>
        <v>Chilli 🌶️ Killer ☠️ #245 | R13 - C31</v>
      </c>
      <c r="C252" s="52">
        <v>13.0</v>
      </c>
      <c r="D252" s="52">
        <v>31.0</v>
      </c>
      <c r="E252" s="53">
        <v>48.1618502</v>
      </c>
      <c r="F252" s="53">
        <v>17.14888515</v>
      </c>
      <c r="G252" s="54" t="s">
        <v>33</v>
      </c>
      <c r="H252" s="55" t="str">
        <f t="shared" si="12"/>
        <v>Insert URL ▶</v>
      </c>
      <c r="I252" s="56"/>
      <c r="J252" s="57"/>
      <c r="K252" s="58" t="b">
        <v>0</v>
      </c>
      <c r="L252" s="59">
        <f t="shared" si="13"/>
        <v>1</v>
      </c>
      <c r="M252" s="59">
        <f t="shared" si="14"/>
        <v>0</v>
      </c>
      <c r="N252" s="59">
        <f t="shared" si="15"/>
        <v>0</v>
      </c>
      <c r="O252" s="60" t="str">
        <f t="shared" si="16"/>
        <v/>
      </c>
      <c r="P252" s="61" t="str">
        <f>IFERROR(__xludf.DUMMYFUNCTION("IF($N252=1,IFERROR(IMPORTXML($I252, ""//p[@class='status-date']""), ""Not Loading""),"""")"),"")</f>
        <v/>
      </c>
      <c r="Q252" s="65"/>
      <c r="R252" s="65"/>
      <c r="S252" s="65"/>
      <c r="T252" s="65"/>
      <c r="U252" s="62" t="str">
        <f t="shared" si="8"/>
        <v/>
      </c>
      <c r="V252" s="63">
        <f>IFERROR(__xludf.DUMMYFUNCTION("iferror(VALUE(left(index(IMPORTXML(I254, ""//div[@class='col-lg-2 user-stat stat-green']""),2,1),len(index(IMPORTXML(I254, ""//div[@class='col-lg-2 user-stat stat-green']""),2,1))-8)),0)"),0.0)</f>
        <v>0</v>
      </c>
    </row>
    <row r="253" ht="15.0" customHeight="1">
      <c r="A253" s="50">
        <f t="shared" si="9"/>
        <v>246</v>
      </c>
      <c r="B253" s="51" t="str">
        <f t="shared" si="2"/>
        <v>Chilli 🌶️ Killer ☠️ #246 | R13 - C32</v>
      </c>
      <c r="C253" s="52">
        <v>13.0</v>
      </c>
      <c r="D253" s="52">
        <v>32.0</v>
      </c>
      <c r="E253" s="53">
        <v>48.1618502</v>
      </c>
      <c r="F253" s="53">
        <v>17.14910063</v>
      </c>
      <c r="G253" s="54" t="s">
        <v>73</v>
      </c>
      <c r="H253" s="55" t="str">
        <f t="shared" si="12"/>
        <v>Nicolet</v>
      </c>
      <c r="I253" s="56" t="s">
        <v>266</v>
      </c>
      <c r="J253" s="57"/>
      <c r="K253" s="58" t="b">
        <v>1</v>
      </c>
      <c r="L253" s="59">
        <f t="shared" si="13"/>
        <v>0</v>
      </c>
      <c r="M253" s="59">
        <f t="shared" si="14"/>
        <v>0</v>
      </c>
      <c r="N253" s="59">
        <f t="shared" si="15"/>
        <v>0</v>
      </c>
      <c r="O253" s="60" t="str">
        <f t="shared" si="16"/>
        <v/>
      </c>
      <c r="P253" s="61" t="str">
        <f>IFERROR(__xludf.DUMMYFUNCTION("IF($N253=1,IFERROR(IMPORTXML($I253, ""//p[@class='status-date']""), ""Not Loading""),"""")"),"")</f>
        <v/>
      </c>
      <c r="Q253" s="64"/>
      <c r="R253" s="64"/>
      <c r="S253" s="64"/>
      <c r="T253" s="64"/>
      <c r="U253" s="62" t="str">
        <f t="shared" si="8"/>
        <v>Nicolet</v>
      </c>
      <c r="V253" s="63">
        <f>IFERROR(__xludf.DUMMYFUNCTION("iferror(VALUE(left(index(IMPORTXML(I255, ""//div[@class='col-lg-2 user-stat stat-green']""),2,1),len(index(IMPORTXML(I255, ""//div[@class='col-lg-2 user-stat stat-green']""),2,1))-8)),0)"),0.0)</f>
        <v>0</v>
      </c>
    </row>
    <row r="254" ht="15.0" customHeight="1">
      <c r="A254" s="50">
        <f t="shared" si="9"/>
        <v>247</v>
      </c>
      <c r="B254" s="51" t="str">
        <f t="shared" si="2"/>
        <v>Chilli 🌶️ Killer ☠️ #247 | R13 - C33</v>
      </c>
      <c r="C254" s="52">
        <v>13.0</v>
      </c>
      <c r="D254" s="52">
        <v>33.0</v>
      </c>
      <c r="E254" s="53">
        <v>48.1618502</v>
      </c>
      <c r="F254" s="53">
        <v>17.14931611</v>
      </c>
      <c r="G254" s="54" t="s">
        <v>73</v>
      </c>
      <c r="H254" s="55" t="str">
        <f t="shared" si="12"/>
        <v>taska1981</v>
      </c>
      <c r="I254" s="56" t="s">
        <v>267</v>
      </c>
      <c r="J254" s="70"/>
      <c r="K254" s="58" t="b">
        <v>1</v>
      </c>
      <c r="L254" s="59">
        <f t="shared" si="13"/>
        <v>0</v>
      </c>
      <c r="M254" s="59">
        <f t="shared" si="14"/>
        <v>0</v>
      </c>
      <c r="N254" s="59">
        <f t="shared" si="15"/>
        <v>0</v>
      </c>
      <c r="O254" s="60" t="str">
        <f t="shared" si="16"/>
        <v/>
      </c>
      <c r="P254" s="61" t="str">
        <f>IFERROR(__xludf.DUMMYFUNCTION("IF($N254=1,IFERROR(IMPORTXML($I254, ""//p[@class='status-date']""), ""Not Loading""),"""")"),"")</f>
        <v/>
      </c>
      <c r="Q254" s="65"/>
      <c r="R254" s="65"/>
      <c r="S254" s="65"/>
      <c r="T254" s="65"/>
      <c r="U254" s="62" t="str">
        <f t="shared" si="8"/>
        <v>taska1981</v>
      </c>
      <c r="V254" s="63">
        <f>IFERROR(__xludf.DUMMYFUNCTION("iferror(VALUE(left(index(IMPORTXML(I256, ""//div[@class='col-lg-2 user-stat stat-green']""),2,1),len(index(IMPORTXML(I256, ""//div[@class='col-lg-2 user-stat stat-green']""),2,1))-8)),0)"),0.0)</f>
        <v>0</v>
      </c>
    </row>
    <row r="255" ht="15.0" customHeight="1">
      <c r="A255" s="50">
        <f t="shared" si="9"/>
        <v>248</v>
      </c>
      <c r="B255" s="51" t="str">
        <f t="shared" si="2"/>
        <v>Chilli 🌶️ Killer ☠️ #248 | R13 - C34</v>
      </c>
      <c r="C255" s="52">
        <v>13.0</v>
      </c>
      <c r="D255" s="52">
        <v>34.0</v>
      </c>
      <c r="E255" s="53">
        <v>48.1618502</v>
      </c>
      <c r="F255" s="53">
        <v>17.14953158</v>
      </c>
      <c r="G255" s="54" t="s">
        <v>73</v>
      </c>
      <c r="H255" s="55" t="str">
        <f t="shared" si="12"/>
        <v>Kapor24</v>
      </c>
      <c r="I255" s="56" t="s">
        <v>268</v>
      </c>
      <c r="J255" s="57"/>
      <c r="K255" s="58" t="b">
        <v>1</v>
      </c>
      <c r="L255" s="59">
        <f t="shared" si="13"/>
        <v>0</v>
      </c>
      <c r="M255" s="59">
        <f t="shared" si="14"/>
        <v>0</v>
      </c>
      <c r="N255" s="59">
        <f t="shared" si="15"/>
        <v>0</v>
      </c>
      <c r="O255" s="60" t="str">
        <f t="shared" si="16"/>
        <v/>
      </c>
      <c r="P255" s="61" t="str">
        <f>IFERROR(__xludf.DUMMYFUNCTION("IF($N255=1,IFERROR(IMPORTXML($I255, ""//p[@class='status-date']""), ""Not Loading""),"""")"),"")</f>
        <v/>
      </c>
      <c r="Q255" s="64"/>
      <c r="R255" s="64"/>
      <c r="S255" s="64"/>
      <c r="T255" s="64"/>
      <c r="U255" s="62" t="str">
        <f t="shared" si="8"/>
        <v>Kapor24</v>
      </c>
      <c r="V255" s="63">
        <f>IFERROR(__xludf.DUMMYFUNCTION("iferror(VALUE(left(index(IMPORTXML(I257, ""//div[@class='col-lg-2 user-stat stat-green']""),2,1),len(index(IMPORTXML(I257, ""//div[@class='col-lg-2 user-stat stat-green']""),2,1))-8)),0)"),0.0)</f>
        <v>0</v>
      </c>
    </row>
    <row r="256" ht="15.0" customHeight="1">
      <c r="A256" s="50">
        <f t="shared" si="9"/>
        <v>249</v>
      </c>
      <c r="B256" s="51" t="str">
        <f t="shared" si="2"/>
        <v>Chilli 🌶️ Killer ☠️ #249 | R13 - C35</v>
      </c>
      <c r="C256" s="52">
        <v>13.0</v>
      </c>
      <c r="D256" s="52">
        <v>35.0</v>
      </c>
      <c r="E256" s="53">
        <v>48.1618502</v>
      </c>
      <c r="F256" s="53">
        <v>17.14974706</v>
      </c>
      <c r="G256" s="54" t="s">
        <v>111</v>
      </c>
      <c r="H256" s="55" t="str">
        <f t="shared" si="12"/>
        <v>Neloras</v>
      </c>
      <c r="I256" s="56" t="s">
        <v>269</v>
      </c>
      <c r="J256" s="57"/>
      <c r="K256" s="58" t="b">
        <v>1</v>
      </c>
      <c r="L256" s="59">
        <f t="shared" si="13"/>
        <v>0</v>
      </c>
      <c r="M256" s="59">
        <f t="shared" si="14"/>
        <v>0</v>
      </c>
      <c r="N256" s="59">
        <f t="shared" si="15"/>
        <v>0</v>
      </c>
      <c r="O256" s="60" t="str">
        <f t="shared" si="16"/>
        <v/>
      </c>
      <c r="P256" s="61" t="str">
        <f>IFERROR(__xludf.DUMMYFUNCTION("IF($N256=1,IFERROR(IMPORTXML($I256, ""//p[@class='status-date']""), ""Not Loading""),"""")"),"")</f>
        <v/>
      </c>
      <c r="Q256" s="65"/>
      <c r="R256" s="65"/>
      <c r="S256" s="65"/>
      <c r="T256" s="65"/>
      <c r="U256" s="62" t="str">
        <f t="shared" si="8"/>
        <v>Neloras</v>
      </c>
      <c r="V256" s="63">
        <f>IFERROR(__xludf.DUMMYFUNCTION("iferror(VALUE(left(index(IMPORTXML(I258, ""//div[@class='col-lg-2 user-stat stat-green']""),2,1),len(index(IMPORTXML(I258, ""//div[@class='col-lg-2 user-stat stat-green']""),2,1))-8)),0)"),0.0)</f>
        <v>0</v>
      </c>
    </row>
    <row r="257" ht="15.0" customHeight="1">
      <c r="A257" s="50">
        <f t="shared" si="9"/>
        <v>250</v>
      </c>
      <c r="B257" s="51" t="str">
        <f t="shared" si="2"/>
        <v>Chilli 🌶️ Killer ☠️ #250 | R13 - C36</v>
      </c>
      <c r="C257" s="52">
        <v>13.0</v>
      </c>
      <c r="D257" s="52">
        <v>36.0</v>
      </c>
      <c r="E257" s="53">
        <v>48.1618502</v>
      </c>
      <c r="F257" s="53">
        <v>17.14996254</v>
      </c>
      <c r="G257" s="54" t="s">
        <v>33</v>
      </c>
      <c r="H257" s="55" t="str">
        <f t="shared" si="12"/>
        <v>Sidcup</v>
      </c>
      <c r="I257" s="56" t="s">
        <v>270</v>
      </c>
      <c r="J257" s="57"/>
      <c r="K257" s="58" t="b">
        <v>1</v>
      </c>
      <c r="L257" s="59">
        <f t="shared" si="13"/>
        <v>0</v>
      </c>
      <c r="M257" s="59">
        <f t="shared" si="14"/>
        <v>0</v>
      </c>
      <c r="N257" s="59">
        <f t="shared" si="15"/>
        <v>0</v>
      </c>
      <c r="O257" s="60" t="str">
        <f t="shared" si="16"/>
        <v/>
      </c>
      <c r="P257" s="61" t="str">
        <f>IFERROR(__xludf.DUMMYFUNCTION("IF($N257=1,IFERROR(IMPORTXML($I257, ""//p[@class='status-date']""), ""Not Loading""),"""")"),"")</f>
        <v/>
      </c>
      <c r="Q257" s="64"/>
      <c r="R257" s="64"/>
      <c r="S257" s="64"/>
      <c r="T257" s="64"/>
      <c r="U257" s="62" t="str">
        <f t="shared" si="8"/>
        <v>Sidcup</v>
      </c>
      <c r="V257" s="63">
        <f>IFERROR(__xludf.DUMMYFUNCTION("iferror(VALUE(left(index(IMPORTXML(I259, ""//div[@class='col-lg-2 user-stat stat-green']""),2,1),len(index(IMPORTXML(I259, ""//div[@class='col-lg-2 user-stat stat-green']""),2,1))-8)),0)"),0.0)</f>
        <v>0</v>
      </c>
    </row>
    <row r="258" ht="15.0" customHeight="1">
      <c r="A258" s="50">
        <f t="shared" si="9"/>
        <v>251</v>
      </c>
      <c r="B258" s="51" t="str">
        <f t="shared" si="2"/>
        <v>Chilli 🌶️ Killer ☠️ #251 | R14 - C7</v>
      </c>
      <c r="C258" s="52">
        <v>14.0</v>
      </c>
      <c r="D258" s="52">
        <v>7.0</v>
      </c>
      <c r="E258" s="53">
        <v>48.16172573</v>
      </c>
      <c r="F258" s="53">
        <v>17.14382139</v>
      </c>
      <c r="G258" s="54" t="s">
        <v>33</v>
      </c>
      <c r="H258" s="55" t="str">
        <f t="shared" si="12"/>
        <v>mathew611</v>
      </c>
      <c r="I258" s="56" t="s">
        <v>271</v>
      </c>
      <c r="J258" s="57"/>
      <c r="K258" s="58" t="b">
        <v>1</v>
      </c>
      <c r="L258" s="59">
        <f t="shared" si="13"/>
        <v>0</v>
      </c>
      <c r="M258" s="59">
        <f t="shared" si="14"/>
        <v>0</v>
      </c>
      <c r="N258" s="59">
        <f t="shared" si="15"/>
        <v>0</v>
      </c>
      <c r="O258" s="60" t="str">
        <f t="shared" si="16"/>
        <v/>
      </c>
      <c r="P258" s="61" t="str">
        <f>IFERROR(__xludf.DUMMYFUNCTION("IF($N258=1,IFERROR(IMPORTXML($I258, ""//p[@class='status-date']""), ""Not Loading""),"""")"),"")</f>
        <v/>
      </c>
      <c r="Q258" s="65"/>
      <c r="R258" s="65"/>
      <c r="S258" s="65"/>
      <c r="T258" s="65"/>
      <c r="U258" s="62" t="str">
        <f t="shared" si="8"/>
        <v>mathew611</v>
      </c>
      <c r="V258" s="63">
        <f>IFERROR(__xludf.DUMMYFUNCTION("iferror(VALUE(left(index(IMPORTXML(I260, ""//div[@class='col-lg-2 user-stat stat-green']""),2,1),len(index(IMPORTXML(I260, ""//div[@class='col-lg-2 user-stat stat-green']""),2,1))-8)),0)"),0.0)</f>
        <v>0</v>
      </c>
    </row>
    <row r="259" ht="15.0" customHeight="1">
      <c r="A259" s="50">
        <f t="shared" si="9"/>
        <v>252</v>
      </c>
      <c r="B259" s="51" t="str">
        <f t="shared" si="2"/>
        <v>Chilli 🌶️ Killer ☠️ #252 | R14 - C8</v>
      </c>
      <c r="C259" s="52">
        <v>14.0</v>
      </c>
      <c r="D259" s="52">
        <v>8.0</v>
      </c>
      <c r="E259" s="53">
        <v>48.16172573</v>
      </c>
      <c r="F259" s="53">
        <v>17.14403687</v>
      </c>
      <c r="G259" s="54" t="s">
        <v>42</v>
      </c>
      <c r="H259" s="55" t="str">
        <f t="shared" si="12"/>
        <v>Nicolet</v>
      </c>
      <c r="I259" s="56" t="s">
        <v>272</v>
      </c>
      <c r="J259" s="57"/>
      <c r="K259" s="58" t="b">
        <v>1</v>
      </c>
      <c r="L259" s="59">
        <f t="shared" si="13"/>
        <v>0</v>
      </c>
      <c r="M259" s="59">
        <f t="shared" si="14"/>
        <v>0</v>
      </c>
      <c r="N259" s="59">
        <f t="shared" si="15"/>
        <v>0</v>
      </c>
      <c r="O259" s="60" t="str">
        <f t="shared" si="16"/>
        <v/>
      </c>
      <c r="P259" s="61" t="str">
        <f>IFERROR(__xludf.DUMMYFUNCTION("IF($N259=1,IFERROR(IMPORTXML($I259, ""//p[@class='status-date']""), ""Not Loading""),"""")"),"")</f>
        <v/>
      </c>
      <c r="Q259" s="64"/>
      <c r="R259" s="64"/>
      <c r="S259" s="64"/>
      <c r="T259" s="64"/>
      <c r="U259" s="62" t="str">
        <f t="shared" si="8"/>
        <v>Nicolet</v>
      </c>
      <c r="V259" s="63">
        <f>IFERROR(__xludf.DUMMYFUNCTION("iferror(VALUE(left(index(IMPORTXML(I261, ""//div[@class='col-lg-2 user-stat stat-green']""),2,1),len(index(IMPORTXML(I261, ""//div[@class='col-lg-2 user-stat stat-green']""),2,1))-8)),0)"),0.0)</f>
        <v>0</v>
      </c>
    </row>
    <row r="260" ht="15.0" customHeight="1">
      <c r="A260" s="50">
        <f t="shared" si="9"/>
        <v>253</v>
      </c>
      <c r="B260" s="51" t="str">
        <f t="shared" si="2"/>
        <v>Chilli 🌶️ Killer ☠️ #253 | R14 - C9</v>
      </c>
      <c r="C260" s="52">
        <v>14.0</v>
      </c>
      <c r="D260" s="52">
        <v>9.0</v>
      </c>
      <c r="E260" s="53">
        <v>48.16172573</v>
      </c>
      <c r="F260" s="53">
        <v>17.14425235</v>
      </c>
      <c r="G260" s="54" t="s">
        <v>42</v>
      </c>
      <c r="H260" s="55" t="str">
        <f t="shared" si="12"/>
        <v>Kapor24</v>
      </c>
      <c r="I260" s="56" t="s">
        <v>273</v>
      </c>
      <c r="J260" s="57"/>
      <c r="K260" s="58" t="b">
        <v>1</v>
      </c>
      <c r="L260" s="59">
        <f t="shared" si="13"/>
        <v>0</v>
      </c>
      <c r="M260" s="59">
        <f t="shared" si="14"/>
        <v>0</v>
      </c>
      <c r="N260" s="59">
        <f t="shared" si="15"/>
        <v>0</v>
      </c>
      <c r="O260" s="60" t="str">
        <f t="shared" si="16"/>
        <v/>
      </c>
      <c r="P260" s="61" t="str">
        <f>IFERROR(__xludf.DUMMYFUNCTION("IF($N260=1,IFERROR(IMPORTXML($I260, ""//p[@class='status-date']""), ""Not Loading""),"""")"),"")</f>
        <v/>
      </c>
      <c r="Q260" s="65"/>
      <c r="R260" s="65"/>
      <c r="S260" s="65"/>
      <c r="T260" s="65"/>
      <c r="U260" s="62" t="str">
        <f t="shared" si="8"/>
        <v>Kapor24</v>
      </c>
      <c r="V260" s="63">
        <f>IFERROR(__xludf.DUMMYFUNCTION("iferror(VALUE(left(index(IMPORTXML(I262, ""//div[@class='col-lg-2 user-stat stat-green']""),2,1),len(index(IMPORTXML(I262, ""//div[@class='col-lg-2 user-stat stat-green']""),2,1))-8)),0)"),0.0)</f>
        <v>0</v>
      </c>
    </row>
    <row r="261" ht="15.0" customHeight="1">
      <c r="A261" s="50">
        <f t="shared" si="9"/>
        <v>254</v>
      </c>
      <c r="B261" s="51" t="str">
        <f t="shared" si="2"/>
        <v>Chilli 🌶️ Killer ☠️ #254 | R14 - C10</v>
      </c>
      <c r="C261" s="52">
        <v>14.0</v>
      </c>
      <c r="D261" s="52">
        <v>10.0</v>
      </c>
      <c r="E261" s="53">
        <v>48.16172573</v>
      </c>
      <c r="F261" s="53">
        <v>17.14446783</v>
      </c>
      <c r="G261" s="54" t="s">
        <v>42</v>
      </c>
      <c r="H261" s="55" t="str">
        <f t="shared" si="12"/>
        <v>mathew611</v>
      </c>
      <c r="I261" s="56" t="s">
        <v>274</v>
      </c>
      <c r="J261" s="57"/>
      <c r="K261" s="58" t="b">
        <v>1</v>
      </c>
      <c r="L261" s="59">
        <f t="shared" si="13"/>
        <v>0</v>
      </c>
      <c r="M261" s="59">
        <f t="shared" si="14"/>
        <v>0</v>
      </c>
      <c r="N261" s="59">
        <f t="shared" si="15"/>
        <v>0</v>
      </c>
      <c r="O261" s="60" t="str">
        <f t="shared" si="16"/>
        <v/>
      </c>
      <c r="P261" s="61" t="str">
        <f>IFERROR(__xludf.DUMMYFUNCTION("IF($N261=1,IFERROR(IMPORTXML($I261, ""//p[@class='status-date']""), ""Not Loading""),"""")"),"")</f>
        <v/>
      </c>
      <c r="Q261" s="64"/>
      <c r="R261" s="64"/>
      <c r="S261" s="64"/>
      <c r="T261" s="64"/>
      <c r="U261" s="62" t="str">
        <f t="shared" si="8"/>
        <v>mathew611</v>
      </c>
      <c r="V261" s="63">
        <f>IFERROR(__xludf.DUMMYFUNCTION("iferror(VALUE(left(index(IMPORTXML(I263, ""//div[@class='col-lg-2 user-stat stat-green']""),2,1),len(index(IMPORTXML(I263, ""//div[@class='col-lg-2 user-stat stat-green']""),2,1))-8)),0)"),0.0)</f>
        <v>0</v>
      </c>
    </row>
    <row r="262" ht="15.0" customHeight="1">
      <c r="A262" s="50">
        <f t="shared" si="9"/>
        <v>255</v>
      </c>
      <c r="B262" s="51" t="str">
        <f t="shared" si="2"/>
        <v>Chilli 🌶️ Killer ☠️ #255 | R14 - C11</v>
      </c>
      <c r="C262" s="52">
        <v>14.0</v>
      </c>
      <c r="D262" s="52">
        <v>11.0</v>
      </c>
      <c r="E262" s="53">
        <v>48.16172573</v>
      </c>
      <c r="F262" s="53">
        <v>17.1446833</v>
      </c>
      <c r="G262" s="54" t="s">
        <v>42</v>
      </c>
      <c r="H262" s="55" t="str">
        <f t="shared" si="12"/>
        <v>Kumahelion</v>
      </c>
      <c r="I262" s="56" t="s">
        <v>275</v>
      </c>
      <c r="J262" s="57"/>
      <c r="K262" s="58" t="b">
        <v>1</v>
      </c>
      <c r="L262" s="59">
        <f t="shared" si="13"/>
        <v>0</v>
      </c>
      <c r="M262" s="59">
        <f t="shared" si="14"/>
        <v>0</v>
      </c>
      <c r="N262" s="59">
        <f t="shared" si="15"/>
        <v>0</v>
      </c>
      <c r="O262" s="60" t="str">
        <f t="shared" si="16"/>
        <v/>
      </c>
      <c r="P262" s="61" t="str">
        <f>IFERROR(__xludf.DUMMYFUNCTION("IF($N262=1,IFERROR(IMPORTXML($I262, ""//p[@class='status-date']""), ""Not Loading""),"""")"),"")</f>
        <v/>
      </c>
      <c r="Q262" s="65"/>
      <c r="R262" s="65"/>
      <c r="S262" s="65"/>
      <c r="T262" s="65"/>
      <c r="U262" s="62" t="str">
        <f t="shared" si="8"/>
        <v>Kumahelion</v>
      </c>
      <c r="V262" s="63">
        <f>IFERROR(__xludf.DUMMYFUNCTION("iferror(VALUE(left(index(IMPORTXML(I264, ""//div[@class='col-lg-2 user-stat stat-green']""),2,1),len(index(IMPORTXML(I264, ""//div[@class='col-lg-2 user-stat stat-green']""),2,1))-8)),0)"),0.0)</f>
        <v>0</v>
      </c>
    </row>
    <row r="263" ht="15.0" customHeight="1">
      <c r="A263" s="50">
        <f t="shared" si="9"/>
        <v>256</v>
      </c>
      <c r="B263" s="51" t="str">
        <f t="shared" si="2"/>
        <v>Chilli 🌶️ Killer ☠️ #256 | R14 - C12</v>
      </c>
      <c r="C263" s="52">
        <v>14.0</v>
      </c>
      <c r="D263" s="52">
        <v>12.0</v>
      </c>
      <c r="E263" s="53">
        <v>48.16172573</v>
      </c>
      <c r="F263" s="53">
        <v>17.14489878</v>
      </c>
      <c r="G263" s="54" t="s">
        <v>42</v>
      </c>
      <c r="H263" s="55" t="str">
        <f t="shared" si="12"/>
        <v>KarelVeliky</v>
      </c>
      <c r="I263" s="56" t="s">
        <v>276</v>
      </c>
      <c r="J263" s="57"/>
      <c r="K263" s="58" t="b">
        <v>1</v>
      </c>
      <c r="L263" s="59">
        <f t="shared" si="13"/>
        <v>0</v>
      </c>
      <c r="M263" s="59">
        <f t="shared" si="14"/>
        <v>0</v>
      </c>
      <c r="N263" s="59">
        <f t="shared" si="15"/>
        <v>0</v>
      </c>
      <c r="O263" s="60" t="str">
        <f t="shared" si="16"/>
        <v/>
      </c>
      <c r="P263" s="61" t="str">
        <f>IFERROR(__xludf.DUMMYFUNCTION("IF($N263=1,IFERROR(IMPORTXML($I263, ""//p[@class='status-date']""), ""Not Loading""),"""")"),"")</f>
        <v/>
      </c>
      <c r="Q263" s="64"/>
      <c r="R263" s="64"/>
      <c r="S263" s="64"/>
      <c r="T263" s="64"/>
      <c r="U263" s="62" t="str">
        <f t="shared" si="8"/>
        <v>KarelVeliky</v>
      </c>
      <c r="V263" s="63">
        <f>IFERROR(__xludf.DUMMYFUNCTION("iferror(VALUE(left(index(IMPORTXML(I265, ""//div[@class='col-lg-2 user-stat stat-green']""),2,1),len(index(IMPORTXML(I265, ""//div[@class='col-lg-2 user-stat stat-green']""),2,1))-8)),0)"),0.0)</f>
        <v>0</v>
      </c>
    </row>
    <row r="264" ht="15.0" customHeight="1">
      <c r="A264" s="50">
        <f t="shared" si="9"/>
        <v>257</v>
      </c>
      <c r="B264" s="51" t="str">
        <f t="shared" si="2"/>
        <v>Chilli 🌶️ Killer ☠️ #257 | R14 - C13</v>
      </c>
      <c r="C264" s="52">
        <v>14.0</v>
      </c>
      <c r="D264" s="52">
        <v>13.0</v>
      </c>
      <c r="E264" s="53">
        <v>48.16172573</v>
      </c>
      <c r="F264" s="53">
        <v>17.14511426</v>
      </c>
      <c r="G264" s="54" t="s">
        <v>42</v>
      </c>
      <c r="H264" s="55" t="str">
        <f t="shared" si="12"/>
        <v>mding4gold</v>
      </c>
      <c r="I264" s="56" t="s">
        <v>277</v>
      </c>
      <c r="J264" s="57"/>
      <c r="K264" s="58" t="b">
        <v>1</v>
      </c>
      <c r="L264" s="59">
        <f t="shared" si="13"/>
        <v>0</v>
      </c>
      <c r="M264" s="59">
        <f t="shared" si="14"/>
        <v>0</v>
      </c>
      <c r="N264" s="59">
        <f t="shared" si="15"/>
        <v>0</v>
      </c>
      <c r="O264" s="60" t="str">
        <f t="shared" si="16"/>
        <v/>
      </c>
      <c r="P264" s="61" t="str">
        <f>IFERROR(__xludf.DUMMYFUNCTION("IF($N264=1,IFERROR(IMPORTXML($I264, ""//p[@class='status-date']""), ""Not Loading""),"""")"),"")</f>
        <v/>
      </c>
      <c r="Q264" s="65"/>
      <c r="R264" s="65"/>
      <c r="S264" s="65"/>
      <c r="T264" s="65"/>
      <c r="U264" s="62" t="str">
        <f t="shared" si="8"/>
        <v>mding4gold</v>
      </c>
      <c r="V264" s="63">
        <f>IFERROR(__xludf.DUMMYFUNCTION("iferror(VALUE(left(index(IMPORTXML(I266, ""//div[@class='col-lg-2 user-stat stat-green']""),2,1),len(index(IMPORTXML(I266, ""//div[@class='col-lg-2 user-stat stat-green']""),2,1))-8)),0)"),0.0)</f>
        <v>0</v>
      </c>
    </row>
    <row r="265" ht="15.0" customHeight="1">
      <c r="A265" s="50">
        <f t="shared" si="9"/>
        <v>258</v>
      </c>
      <c r="B265" s="51" t="str">
        <f t="shared" si="2"/>
        <v>Chilli 🌶️ Killer ☠️ #258 | R14 - C14</v>
      </c>
      <c r="C265" s="52">
        <v>14.0</v>
      </c>
      <c r="D265" s="52">
        <v>14.0</v>
      </c>
      <c r="E265" s="53">
        <v>48.16172573</v>
      </c>
      <c r="F265" s="53">
        <v>17.14532974</v>
      </c>
      <c r="G265" s="54" t="s">
        <v>42</v>
      </c>
      <c r="H265" s="55" t="str">
        <f t="shared" si="12"/>
        <v>Kapor24</v>
      </c>
      <c r="I265" s="56" t="s">
        <v>278</v>
      </c>
      <c r="J265" s="57"/>
      <c r="K265" s="58" t="b">
        <v>1</v>
      </c>
      <c r="L265" s="59">
        <f t="shared" si="13"/>
        <v>0</v>
      </c>
      <c r="M265" s="59">
        <f t="shared" si="14"/>
        <v>0</v>
      </c>
      <c r="N265" s="59">
        <f t="shared" si="15"/>
        <v>0</v>
      </c>
      <c r="O265" s="60" t="str">
        <f t="shared" si="16"/>
        <v/>
      </c>
      <c r="P265" s="61" t="str">
        <f>IFERROR(__xludf.DUMMYFUNCTION("IF($N265=1,IFERROR(IMPORTXML($I265, ""//p[@class='status-date']""), ""Not Loading""),"""")"),"")</f>
        <v/>
      </c>
      <c r="Q265" s="64"/>
      <c r="R265" s="64"/>
      <c r="S265" s="64"/>
      <c r="T265" s="64"/>
      <c r="U265" s="62" t="str">
        <f t="shared" si="8"/>
        <v>Kapor24</v>
      </c>
      <c r="V265" s="63">
        <f>IFERROR(__xludf.DUMMYFUNCTION("iferror(VALUE(left(index(IMPORTXML(I267, ""//div[@class='col-lg-2 user-stat stat-green']""),2,1),len(index(IMPORTXML(I267, ""//div[@class='col-lg-2 user-stat stat-green']""),2,1))-8)),0)"),0.0)</f>
        <v>0</v>
      </c>
    </row>
    <row r="266" ht="15.0" customHeight="1">
      <c r="A266" s="50">
        <f t="shared" si="9"/>
        <v>259</v>
      </c>
      <c r="B266" s="51" t="str">
        <f t="shared" si="2"/>
        <v>Chilli 🌶️ Killer ☠️ #259 | R14 - C15</v>
      </c>
      <c r="C266" s="52">
        <v>14.0</v>
      </c>
      <c r="D266" s="52">
        <v>15.0</v>
      </c>
      <c r="E266" s="53">
        <v>48.16172573</v>
      </c>
      <c r="F266" s="53">
        <v>17.14554522</v>
      </c>
      <c r="G266" s="54" t="s">
        <v>42</v>
      </c>
      <c r="H266" s="55" t="str">
        <f t="shared" si="12"/>
        <v>29Februaris</v>
      </c>
      <c r="I266" s="56" t="s">
        <v>279</v>
      </c>
      <c r="J266" s="57"/>
      <c r="K266" s="58" t="b">
        <v>1</v>
      </c>
      <c r="L266" s="59">
        <f t="shared" si="13"/>
        <v>0</v>
      </c>
      <c r="M266" s="59">
        <f t="shared" si="14"/>
        <v>0</v>
      </c>
      <c r="N266" s="59">
        <f t="shared" si="15"/>
        <v>0</v>
      </c>
      <c r="O266" s="60" t="str">
        <f t="shared" si="16"/>
        <v/>
      </c>
      <c r="P266" s="61" t="str">
        <f>IFERROR(__xludf.DUMMYFUNCTION("IF($N266=1,IFERROR(IMPORTXML($I266, ""//p[@class='status-date']""), ""Not Loading""),"""")"),"")</f>
        <v/>
      </c>
      <c r="Q266" s="65"/>
      <c r="R266" s="65"/>
      <c r="S266" s="65"/>
      <c r="T266" s="65"/>
      <c r="U266" s="62" t="str">
        <f t="shared" si="8"/>
        <v>29Februaris</v>
      </c>
      <c r="V266" s="63">
        <f>IFERROR(__xludf.DUMMYFUNCTION("iferror(VALUE(left(index(IMPORTXML(I268, ""//div[@class='col-lg-2 user-stat stat-green']""),2,1),len(index(IMPORTXML(I268, ""//div[@class='col-lg-2 user-stat stat-green']""),2,1))-8)),0)"),0.0)</f>
        <v>0</v>
      </c>
    </row>
    <row r="267" ht="15.0" customHeight="1">
      <c r="A267" s="50">
        <f t="shared" si="9"/>
        <v>260</v>
      </c>
      <c r="B267" s="51" t="str">
        <f t="shared" si="2"/>
        <v>Chilli 🌶️ Killer ☠️ #260 | R14 - C16</v>
      </c>
      <c r="C267" s="52">
        <v>14.0</v>
      </c>
      <c r="D267" s="52">
        <v>16.0</v>
      </c>
      <c r="E267" s="53">
        <v>48.16172573</v>
      </c>
      <c r="F267" s="53">
        <v>17.14576069</v>
      </c>
      <c r="G267" s="54" t="s">
        <v>33</v>
      </c>
      <c r="H267" s="55" t="str">
        <f t="shared" si="12"/>
        <v>Insert URL ▶</v>
      </c>
      <c r="I267" s="56"/>
      <c r="J267" s="57"/>
      <c r="K267" s="58" t="b">
        <v>0</v>
      </c>
      <c r="L267" s="59">
        <f t="shared" si="13"/>
        <v>1</v>
      </c>
      <c r="M267" s="59">
        <f t="shared" si="14"/>
        <v>0</v>
      </c>
      <c r="N267" s="59">
        <f t="shared" si="15"/>
        <v>0</v>
      </c>
      <c r="O267" s="60" t="str">
        <f t="shared" si="16"/>
        <v/>
      </c>
      <c r="P267" s="61" t="str">
        <f>IFERROR(__xludf.DUMMYFUNCTION("IF($N267=1,IFERROR(IMPORTXML($I267, ""//p[@class='status-date']""), ""Not Loading""),"""")"),"")</f>
        <v/>
      </c>
      <c r="Q267" s="64"/>
      <c r="R267" s="64"/>
      <c r="S267" s="64"/>
      <c r="T267" s="64"/>
      <c r="U267" s="62" t="str">
        <f t="shared" si="8"/>
        <v/>
      </c>
      <c r="V267" s="63">
        <f>IFERROR(__xludf.DUMMYFUNCTION("iferror(VALUE(left(index(IMPORTXML(I269, ""//div[@class='col-lg-2 user-stat stat-green']""),2,1),len(index(IMPORTXML(I269, ""//div[@class='col-lg-2 user-stat stat-green']""),2,1))-8)),0)"),0.0)</f>
        <v>0</v>
      </c>
    </row>
    <row r="268" ht="15.0" customHeight="1">
      <c r="A268" s="50">
        <f t="shared" si="9"/>
        <v>261</v>
      </c>
      <c r="B268" s="51" t="str">
        <f t="shared" si="2"/>
        <v>Chilli 🌶️ Killer ☠️ #261 | R14 - C17</v>
      </c>
      <c r="C268" s="52">
        <v>14.0</v>
      </c>
      <c r="D268" s="52">
        <v>17.0</v>
      </c>
      <c r="E268" s="53">
        <v>48.16172573</v>
      </c>
      <c r="F268" s="53">
        <v>17.14597617</v>
      </c>
      <c r="G268" s="54" t="s">
        <v>33</v>
      </c>
      <c r="H268" s="55" t="str">
        <f t="shared" si="12"/>
        <v>Insert URL ▶</v>
      </c>
      <c r="I268" s="56"/>
      <c r="J268" s="57"/>
      <c r="K268" s="58" t="b">
        <v>0</v>
      </c>
      <c r="L268" s="59">
        <f t="shared" si="13"/>
        <v>1</v>
      </c>
      <c r="M268" s="59">
        <f t="shared" si="14"/>
        <v>0</v>
      </c>
      <c r="N268" s="59">
        <f t="shared" si="15"/>
        <v>0</v>
      </c>
      <c r="O268" s="60" t="str">
        <f t="shared" si="16"/>
        <v/>
      </c>
      <c r="P268" s="61" t="str">
        <f>IFERROR(__xludf.DUMMYFUNCTION("IF($N268=1,IFERROR(IMPORTXML($I268, ""//p[@class='status-date']""), ""Not Loading""),"""")"),"")</f>
        <v/>
      </c>
      <c r="Q268" s="65"/>
      <c r="R268" s="65"/>
      <c r="S268" s="65"/>
      <c r="T268" s="65"/>
      <c r="U268" s="62" t="str">
        <f t="shared" si="8"/>
        <v/>
      </c>
      <c r="V268" s="63">
        <f>IFERROR(__xludf.DUMMYFUNCTION("iferror(VALUE(left(index(IMPORTXML(I270, ""//div[@class='col-lg-2 user-stat stat-green']""),2,1),len(index(IMPORTXML(I270, ""//div[@class='col-lg-2 user-stat stat-green']""),2,1))-8)),0)"),0.0)</f>
        <v>0</v>
      </c>
    </row>
    <row r="269" ht="15.0" customHeight="1">
      <c r="A269" s="50">
        <f t="shared" si="9"/>
        <v>262</v>
      </c>
      <c r="B269" s="51" t="str">
        <f t="shared" si="2"/>
        <v>Chilli 🌶️ Killer ☠️ #262 | R14 - C31</v>
      </c>
      <c r="C269" s="52">
        <v>14.0</v>
      </c>
      <c r="D269" s="52">
        <v>31.0</v>
      </c>
      <c r="E269" s="53">
        <v>48.16172573</v>
      </c>
      <c r="F269" s="53">
        <v>17.14899287</v>
      </c>
      <c r="G269" s="54" t="s">
        <v>33</v>
      </c>
      <c r="H269" s="55" t="str">
        <f t="shared" si="12"/>
        <v>Insert URL ▶</v>
      </c>
      <c r="I269" s="56"/>
      <c r="J269" s="57"/>
      <c r="K269" s="58" t="b">
        <v>0</v>
      </c>
      <c r="L269" s="59">
        <f t="shared" si="13"/>
        <v>1</v>
      </c>
      <c r="M269" s="59">
        <f t="shared" si="14"/>
        <v>0</v>
      </c>
      <c r="N269" s="59">
        <f t="shared" si="15"/>
        <v>0</v>
      </c>
      <c r="O269" s="60" t="str">
        <f t="shared" si="16"/>
        <v/>
      </c>
      <c r="P269" s="61" t="str">
        <f>IFERROR(__xludf.DUMMYFUNCTION("IF($N269=1,IFERROR(IMPORTXML($I269, ""//p[@class='status-date']""), ""Not Loading""),"""")"),"")</f>
        <v/>
      </c>
      <c r="Q269" s="64"/>
      <c r="R269" s="64"/>
      <c r="S269" s="64"/>
      <c r="T269" s="64"/>
      <c r="U269" s="62" t="str">
        <f t="shared" si="8"/>
        <v/>
      </c>
      <c r="V269" s="63">
        <f>IFERROR(__xludf.DUMMYFUNCTION("iferror(VALUE(left(index(IMPORTXML(I271, ""//div[@class='col-lg-2 user-stat stat-green']""),2,1),len(index(IMPORTXML(I271, ""//div[@class='col-lg-2 user-stat stat-green']""),2,1))-8)),0)"),0.0)</f>
        <v>0</v>
      </c>
    </row>
    <row r="270" ht="15.0" customHeight="1">
      <c r="A270" s="50">
        <f t="shared" si="9"/>
        <v>263</v>
      </c>
      <c r="B270" s="51" t="str">
        <f t="shared" si="2"/>
        <v>Chilli 🌶️ Killer ☠️ #263 | R14 - C32</v>
      </c>
      <c r="C270" s="52">
        <v>14.0</v>
      </c>
      <c r="D270" s="52">
        <v>32.0</v>
      </c>
      <c r="E270" s="53">
        <v>48.16172573</v>
      </c>
      <c r="F270" s="53">
        <v>17.14920834</v>
      </c>
      <c r="G270" s="54" t="s">
        <v>33</v>
      </c>
      <c r="H270" s="55" t="str">
        <f t="shared" si="12"/>
        <v>KarelVeliky</v>
      </c>
      <c r="I270" s="56" t="s">
        <v>280</v>
      </c>
      <c r="J270" s="57"/>
      <c r="K270" s="58" t="b">
        <v>1</v>
      </c>
      <c r="L270" s="59">
        <f t="shared" si="13"/>
        <v>0</v>
      </c>
      <c r="M270" s="59">
        <f t="shared" si="14"/>
        <v>0</v>
      </c>
      <c r="N270" s="59">
        <f t="shared" si="15"/>
        <v>0</v>
      </c>
      <c r="O270" s="60" t="str">
        <f t="shared" si="16"/>
        <v/>
      </c>
      <c r="P270" s="61" t="str">
        <f>IFERROR(__xludf.DUMMYFUNCTION("IF($N270=1,IFERROR(IMPORTXML($I270, ""//p[@class='status-date']""), ""Not Loading""),"""")"),"")</f>
        <v/>
      </c>
      <c r="Q270" s="65"/>
      <c r="R270" s="65"/>
      <c r="S270" s="65"/>
      <c r="T270" s="65"/>
      <c r="U270" s="62" t="str">
        <f t="shared" si="8"/>
        <v>KarelVeliky</v>
      </c>
      <c r="V270" s="63">
        <f>IFERROR(__xludf.DUMMYFUNCTION("iferror(VALUE(left(index(IMPORTXML(I272, ""//div[@class='col-lg-2 user-stat stat-green']""),2,1),len(index(IMPORTXML(I272, ""//div[@class='col-lg-2 user-stat stat-green']""),2,1))-8)),0)"),0.0)</f>
        <v>0</v>
      </c>
    </row>
    <row r="271" ht="15.0" customHeight="1">
      <c r="A271" s="50">
        <f t="shared" si="9"/>
        <v>264</v>
      </c>
      <c r="B271" s="51" t="str">
        <f t="shared" si="2"/>
        <v>Chilli 🌶️ Killer ☠️ #264 | R14 - C33</v>
      </c>
      <c r="C271" s="52">
        <v>14.0</v>
      </c>
      <c r="D271" s="52">
        <v>33.0</v>
      </c>
      <c r="E271" s="53">
        <v>48.16172573</v>
      </c>
      <c r="F271" s="53">
        <v>17.14942382</v>
      </c>
      <c r="G271" s="54" t="s">
        <v>33</v>
      </c>
      <c r="H271" s="55" t="str">
        <f t="shared" si="12"/>
        <v>Insert URL ▶</v>
      </c>
      <c r="I271" s="56"/>
      <c r="J271" s="57"/>
      <c r="K271" s="58" t="b">
        <v>0</v>
      </c>
      <c r="L271" s="59">
        <f t="shared" si="13"/>
        <v>1</v>
      </c>
      <c r="M271" s="59">
        <f t="shared" si="14"/>
        <v>0</v>
      </c>
      <c r="N271" s="59">
        <f t="shared" si="15"/>
        <v>0</v>
      </c>
      <c r="O271" s="60" t="str">
        <f t="shared" si="16"/>
        <v/>
      </c>
      <c r="P271" s="61" t="str">
        <f>IFERROR(__xludf.DUMMYFUNCTION("IF($N271=1,IFERROR(IMPORTXML($I271, ""//p[@class='status-date']""), ""Not Loading""),"""")"),"")</f>
        <v/>
      </c>
      <c r="Q271" s="64"/>
      <c r="R271" s="64"/>
      <c r="S271" s="64"/>
      <c r="T271" s="64"/>
      <c r="U271" s="62" t="str">
        <f t="shared" si="8"/>
        <v/>
      </c>
      <c r="V271" s="63">
        <f>IFERROR(__xludf.DUMMYFUNCTION("iferror(VALUE(left(index(IMPORTXML(I273, ""//div[@class='col-lg-2 user-stat stat-green']""),2,1),len(index(IMPORTXML(I273, ""//div[@class='col-lg-2 user-stat stat-green']""),2,1))-8)),0)"),0.0)</f>
        <v>0</v>
      </c>
    </row>
    <row r="272" ht="15.0" customHeight="1">
      <c r="A272" s="50">
        <f t="shared" si="9"/>
        <v>265</v>
      </c>
      <c r="B272" s="51" t="str">
        <f t="shared" si="2"/>
        <v>Chilli 🌶️ Killer ☠️ #265 | R14 - C34</v>
      </c>
      <c r="C272" s="52">
        <v>14.0</v>
      </c>
      <c r="D272" s="52">
        <v>34.0</v>
      </c>
      <c r="E272" s="53">
        <v>48.16172573</v>
      </c>
      <c r="F272" s="53">
        <v>17.1496393</v>
      </c>
      <c r="G272" s="54" t="s">
        <v>33</v>
      </c>
      <c r="H272" s="55" t="str">
        <f t="shared" si="12"/>
        <v>Centern</v>
      </c>
      <c r="I272" s="56" t="s">
        <v>281</v>
      </c>
      <c r="J272" s="57"/>
      <c r="K272" s="58" t="b">
        <v>1</v>
      </c>
      <c r="L272" s="59">
        <f t="shared" si="13"/>
        <v>0</v>
      </c>
      <c r="M272" s="59">
        <f t="shared" si="14"/>
        <v>0</v>
      </c>
      <c r="N272" s="59">
        <f t="shared" si="15"/>
        <v>0</v>
      </c>
      <c r="O272" s="60" t="str">
        <f t="shared" si="16"/>
        <v/>
      </c>
      <c r="P272" s="61" t="str">
        <f>IFERROR(__xludf.DUMMYFUNCTION("IF($N272=1,IFERROR(IMPORTXML($I272, ""//p[@class='status-date']""), ""Not Loading""),"""")"),"")</f>
        <v/>
      </c>
      <c r="Q272" s="65"/>
      <c r="R272" s="65"/>
      <c r="S272" s="65"/>
      <c r="T272" s="65"/>
      <c r="U272" s="62" t="str">
        <f t="shared" si="8"/>
        <v>Centern</v>
      </c>
      <c r="V272" s="63">
        <f>IFERROR(__xludf.DUMMYFUNCTION("iferror(VALUE(left(index(IMPORTXML(I274, ""//div[@class='col-lg-2 user-stat stat-green']""),2,1),len(index(IMPORTXML(I274, ""//div[@class='col-lg-2 user-stat stat-green']""),2,1))-8)),0)"),0.0)</f>
        <v>0</v>
      </c>
    </row>
    <row r="273" ht="15.0" customHeight="1">
      <c r="A273" s="50">
        <f t="shared" si="9"/>
        <v>266</v>
      </c>
      <c r="B273" s="51" t="str">
        <f t="shared" si="2"/>
        <v>Chilli 🌶️ Killer ☠️ #266 | R14 - C35</v>
      </c>
      <c r="C273" s="52">
        <v>14.0</v>
      </c>
      <c r="D273" s="52">
        <v>35.0</v>
      </c>
      <c r="E273" s="53">
        <v>48.16172573</v>
      </c>
      <c r="F273" s="53">
        <v>17.14985478</v>
      </c>
      <c r="G273" s="54" t="s">
        <v>33</v>
      </c>
      <c r="H273" s="55" t="str">
        <f t="shared" si="12"/>
        <v>Majsan</v>
      </c>
      <c r="I273" s="56" t="s">
        <v>282</v>
      </c>
      <c r="J273" s="57"/>
      <c r="K273" s="58" t="b">
        <v>1</v>
      </c>
      <c r="L273" s="59">
        <f t="shared" si="13"/>
        <v>0</v>
      </c>
      <c r="M273" s="59">
        <f t="shared" si="14"/>
        <v>0</v>
      </c>
      <c r="N273" s="59">
        <f t="shared" si="15"/>
        <v>0</v>
      </c>
      <c r="O273" s="60" t="str">
        <f t="shared" si="16"/>
        <v/>
      </c>
      <c r="P273" s="61" t="str">
        <f>IFERROR(__xludf.DUMMYFUNCTION("IF($N273=1,IFERROR(IMPORTXML($I273, ""//p[@class='status-date']""), ""Not Loading""),"""")"),"")</f>
        <v/>
      </c>
      <c r="Q273" s="64"/>
      <c r="R273" s="64"/>
      <c r="S273" s="64"/>
      <c r="T273" s="64"/>
      <c r="U273" s="62" t="str">
        <f t="shared" si="8"/>
        <v>Majsan</v>
      </c>
      <c r="V273" s="63">
        <f>IFERROR(__xludf.DUMMYFUNCTION("iferror(VALUE(left(index(IMPORTXML(I275, ""//div[@class='col-lg-2 user-stat stat-green']""),2,1),len(index(IMPORTXML(I275, ""//div[@class='col-lg-2 user-stat stat-green']""),2,1))-8)),0)"),0.0)</f>
        <v>0</v>
      </c>
    </row>
    <row r="274" ht="15.0" customHeight="1">
      <c r="A274" s="50">
        <f t="shared" si="9"/>
        <v>267</v>
      </c>
      <c r="B274" s="51" t="str">
        <f t="shared" si="2"/>
        <v>Chilli 🌶️ Killer ☠️ #267 | R15 - C7</v>
      </c>
      <c r="C274" s="52">
        <v>15.0</v>
      </c>
      <c r="D274" s="52">
        <v>7.0</v>
      </c>
      <c r="E274" s="53">
        <v>48.16160126</v>
      </c>
      <c r="F274" s="53">
        <v>17.14371364</v>
      </c>
      <c r="G274" s="54" t="s">
        <v>33</v>
      </c>
      <c r="H274" s="55" t="str">
        <f t="shared" si="12"/>
        <v>Charonovci</v>
      </c>
      <c r="I274" s="56" t="s">
        <v>283</v>
      </c>
      <c r="J274" s="57"/>
      <c r="K274" s="58" t="b">
        <v>1</v>
      </c>
      <c r="L274" s="59">
        <f t="shared" si="13"/>
        <v>0</v>
      </c>
      <c r="M274" s="59">
        <f t="shared" si="14"/>
        <v>0</v>
      </c>
      <c r="N274" s="59">
        <f t="shared" si="15"/>
        <v>0</v>
      </c>
      <c r="O274" s="60" t="str">
        <f t="shared" si="16"/>
        <v/>
      </c>
      <c r="P274" s="61" t="str">
        <f>IFERROR(__xludf.DUMMYFUNCTION("IF($N274=1,IFERROR(IMPORTXML($I274, ""//p[@class='status-date']""), ""Not Loading""),"""")"),"")</f>
        <v/>
      </c>
      <c r="Q274" s="65"/>
      <c r="R274" s="65"/>
      <c r="S274" s="65"/>
      <c r="T274" s="65"/>
      <c r="U274" s="62" t="str">
        <f t="shared" si="8"/>
        <v>Charonovci</v>
      </c>
      <c r="V274" s="63">
        <f>IFERROR(__xludf.DUMMYFUNCTION("iferror(VALUE(left(index(IMPORTXML(I276, ""//div[@class='col-lg-2 user-stat stat-green']""),2,1),len(index(IMPORTXML(I276, ""//div[@class='col-lg-2 user-stat stat-green']""),2,1))-8)),0)"),0.0)</f>
        <v>0</v>
      </c>
    </row>
    <row r="275" ht="15.0" customHeight="1">
      <c r="A275" s="50">
        <f t="shared" si="9"/>
        <v>268</v>
      </c>
      <c r="B275" s="51" t="str">
        <f t="shared" si="2"/>
        <v>Chilli 🌶️ Killer ☠️ #268 | R15 - C8</v>
      </c>
      <c r="C275" s="52">
        <v>15.0</v>
      </c>
      <c r="D275" s="52">
        <v>8.0</v>
      </c>
      <c r="E275" s="53">
        <v>48.16160126</v>
      </c>
      <c r="F275" s="53">
        <v>17.14392912</v>
      </c>
      <c r="G275" s="54" t="s">
        <v>42</v>
      </c>
      <c r="H275" s="55" t="str">
        <f t="shared" si="12"/>
        <v>Neloras</v>
      </c>
      <c r="I275" s="56" t="s">
        <v>284</v>
      </c>
      <c r="J275" s="57"/>
      <c r="K275" s="58" t="b">
        <v>1</v>
      </c>
      <c r="L275" s="59">
        <f t="shared" si="13"/>
        <v>0</v>
      </c>
      <c r="M275" s="59">
        <f t="shared" si="14"/>
        <v>0</v>
      </c>
      <c r="N275" s="59">
        <f t="shared" si="15"/>
        <v>0</v>
      </c>
      <c r="O275" s="60" t="str">
        <f t="shared" si="16"/>
        <v/>
      </c>
      <c r="P275" s="61" t="str">
        <f>IFERROR(__xludf.DUMMYFUNCTION("IF($N275=1,IFERROR(IMPORTXML($I275, ""//p[@class='status-date']""), ""Not Loading""),"""")"),"")</f>
        <v/>
      </c>
      <c r="Q275" s="64"/>
      <c r="R275" s="64"/>
      <c r="S275" s="64"/>
      <c r="T275" s="64"/>
      <c r="U275" s="62" t="str">
        <f t="shared" si="8"/>
        <v>Neloras</v>
      </c>
      <c r="V275" s="63">
        <f>IFERROR(__xludf.DUMMYFUNCTION("iferror(VALUE(left(index(IMPORTXML(I277, ""//div[@class='col-lg-2 user-stat stat-green']""),2,1),len(index(IMPORTXML(I277, ""//div[@class='col-lg-2 user-stat stat-green']""),2,1))-8)),0)"),0.0)</f>
        <v>0</v>
      </c>
    </row>
    <row r="276" ht="15.0" customHeight="1">
      <c r="A276" s="50">
        <f t="shared" si="9"/>
        <v>269</v>
      </c>
      <c r="B276" s="51" t="str">
        <f t="shared" si="2"/>
        <v>Chilli 🌶️ Killer ☠️ #269 | R15 - C9</v>
      </c>
      <c r="C276" s="52">
        <v>15.0</v>
      </c>
      <c r="D276" s="52">
        <v>9.0</v>
      </c>
      <c r="E276" s="53">
        <v>48.16160126</v>
      </c>
      <c r="F276" s="53">
        <v>17.1441446</v>
      </c>
      <c r="G276" s="54" t="s">
        <v>42</v>
      </c>
      <c r="H276" s="55" t="str">
        <f t="shared" si="12"/>
        <v>29Februaris</v>
      </c>
      <c r="I276" s="56" t="s">
        <v>285</v>
      </c>
      <c r="J276" s="57"/>
      <c r="K276" s="58" t="b">
        <v>1</v>
      </c>
      <c r="L276" s="59">
        <f t="shared" si="13"/>
        <v>0</v>
      </c>
      <c r="M276" s="59">
        <f t="shared" si="14"/>
        <v>0</v>
      </c>
      <c r="N276" s="59">
        <f t="shared" si="15"/>
        <v>0</v>
      </c>
      <c r="O276" s="60" t="str">
        <f t="shared" si="16"/>
        <v/>
      </c>
      <c r="P276" s="61" t="str">
        <f>IFERROR(__xludf.DUMMYFUNCTION("IF($N276=1,IFERROR(IMPORTXML($I276, ""//p[@class='status-date']""), ""Not Loading""),"""")"),"")</f>
        <v/>
      </c>
      <c r="Q276" s="65"/>
      <c r="R276" s="65"/>
      <c r="S276" s="65"/>
      <c r="T276" s="65"/>
      <c r="U276" s="62" t="str">
        <f t="shared" si="8"/>
        <v>29Februaris</v>
      </c>
      <c r="V276" s="63">
        <f>IFERROR(__xludf.DUMMYFUNCTION("iferror(VALUE(left(index(IMPORTXML(I278, ""//div[@class='col-lg-2 user-stat stat-green']""),2,1),len(index(IMPORTXML(I278, ""//div[@class='col-lg-2 user-stat stat-green']""),2,1))-8)),0)"),0.0)</f>
        <v>0</v>
      </c>
    </row>
    <row r="277" ht="15.0" customHeight="1">
      <c r="A277" s="50">
        <f t="shared" si="9"/>
        <v>270</v>
      </c>
      <c r="B277" s="51" t="str">
        <f t="shared" si="2"/>
        <v>Chilli 🌶️ Killer ☠️ #270 | R15 - C10</v>
      </c>
      <c r="C277" s="52">
        <v>15.0</v>
      </c>
      <c r="D277" s="52">
        <v>10.0</v>
      </c>
      <c r="E277" s="53">
        <v>48.16160126</v>
      </c>
      <c r="F277" s="53">
        <v>17.14436008</v>
      </c>
      <c r="G277" s="54" t="s">
        <v>42</v>
      </c>
      <c r="H277" s="55" t="str">
        <f t="shared" si="12"/>
        <v>jurikvandspol</v>
      </c>
      <c r="I277" s="56" t="s">
        <v>286</v>
      </c>
      <c r="J277" s="57"/>
      <c r="K277" s="58" t="b">
        <v>1</v>
      </c>
      <c r="L277" s="59">
        <f t="shared" si="13"/>
        <v>0</v>
      </c>
      <c r="M277" s="59">
        <f t="shared" si="14"/>
        <v>0</v>
      </c>
      <c r="N277" s="59">
        <f t="shared" si="15"/>
        <v>0</v>
      </c>
      <c r="O277" s="60" t="str">
        <f t="shared" si="16"/>
        <v/>
      </c>
      <c r="P277" s="61" t="str">
        <f>IFERROR(__xludf.DUMMYFUNCTION("IF($N277=1,IFERROR(IMPORTXML($I277, ""//p[@class='status-date']""), ""Not Loading""),"""")"),"")</f>
        <v/>
      </c>
      <c r="Q277" s="64"/>
      <c r="R277" s="64"/>
      <c r="S277" s="64"/>
      <c r="T277" s="64"/>
      <c r="U277" s="62" t="str">
        <f t="shared" si="8"/>
        <v>jurikvandspol</v>
      </c>
      <c r="V277" s="63">
        <f>IFERROR(__xludf.DUMMYFUNCTION("iferror(VALUE(left(index(IMPORTXML(I279, ""//div[@class='col-lg-2 user-stat stat-green']""),2,1),len(index(IMPORTXML(I279, ""//div[@class='col-lg-2 user-stat stat-green']""),2,1))-8)),0)"),0.0)</f>
        <v>0</v>
      </c>
    </row>
    <row r="278" ht="15.0" customHeight="1">
      <c r="A278" s="50">
        <f t="shared" si="9"/>
        <v>271</v>
      </c>
      <c r="B278" s="51" t="str">
        <f t="shared" si="2"/>
        <v>Chilli 🌶️ Killer ☠️ #271 | R15 - C11</v>
      </c>
      <c r="C278" s="52">
        <v>15.0</v>
      </c>
      <c r="D278" s="52">
        <v>11.0</v>
      </c>
      <c r="E278" s="53">
        <v>48.16160126</v>
      </c>
      <c r="F278" s="53">
        <v>17.14457555</v>
      </c>
      <c r="G278" s="54" t="s">
        <v>42</v>
      </c>
      <c r="H278" s="55" t="str">
        <f t="shared" si="12"/>
        <v>kpcrystal07</v>
      </c>
      <c r="I278" s="56" t="s">
        <v>287</v>
      </c>
      <c r="J278" s="57"/>
      <c r="K278" s="58" t="b">
        <v>1</v>
      </c>
      <c r="L278" s="59">
        <f t="shared" si="13"/>
        <v>0</v>
      </c>
      <c r="M278" s="59">
        <f t="shared" si="14"/>
        <v>0</v>
      </c>
      <c r="N278" s="59">
        <f t="shared" si="15"/>
        <v>0</v>
      </c>
      <c r="O278" s="60" t="str">
        <f t="shared" si="16"/>
        <v/>
      </c>
      <c r="P278" s="61" t="str">
        <f>IFERROR(__xludf.DUMMYFUNCTION("IF($N278=1,IFERROR(IMPORTXML($I278, ""//p[@class='status-date']""), ""Not Loading""),"""")"),"")</f>
        <v/>
      </c>
      <c r="Q278" s="65"/>
      <c r="R278" s="65"/>
      <c r="S278" s="65"/>
      <c r="T278" s="65"/>
      <c r="U278" s="62" t="str">
        <f t="shared" si="8"/>
        <v>kpcrystal07</v>
      </c>
      <c r="V278" s="63">
        <f>IFERROR(__xludf.DUMMYFUNCTION("iferror(VALUE(left(index(IMPORTXML(I280, ""//div[@class='col-lg-2 user-stat stat-green']""),2,1),len(index(IMPORTXML(I280, ""//div[@class='col-lg-2 user-stat stat-green']""),2,1))-8)),0)"),0.0)</f>
        <v>0</v>
      </c>
    </row>
    <row r="279" ht="15.0" customHeight="1">
      <c r="A279" s="50">
        <f t="shared" si="9"/>
        <v>272</v>
      </c>
      <c r="B279" s="51" t="str">
        <f t="shared" si="2"/>
        <v>Chilli 🌶️ Killer ☠️ #272 | R15 - C12</v>
      </c>
      <c r="C279" s="52">
        <v>15.0</v>
      </c>
      <c r="D279" s="52">
        <v>12.0</v>
      </c>
      <c r="E279" s="53">
        <v>48.16160126</v>
      </c>
      <c r="F279" s="53">
        <v>17.14479103</v>
      </c>
      <c r="G279" s="54" t="s">
        <v>42</v>
      </c>
      <c r="H279" s="55" t="str">
        <f t="shared" si="12"/>
        <v>Charonovci</v>
      </c>
      <c r="I279" s="56" t="s">
        <v>288</v>
      </c>
      <c r="J279" s="57"/>
      <c r="K279" s="58" t="b">
        <v>1</v>
      </c>
      <c r="L279" s="59">
        <f t="shared" si="13"/>
        <v>0</v>
      </c>
      <c r="M279" s="59">
        <f t="shared" si="14"/>
        <v>0</v>
      </c>
      <c r="N279" s="59">
        <f t="shared" si="15"/>
        <v>0</v>
      </c>
      <c r="O279" s="60" t="str">
        <f t="shared" si="16"/>
        <v/>
      </c>
      <c r="P279" s="61" t="str">
        <f>IFERROR(__xludf.DUMMYFUNCTION("IF($N279=1,IFERROR(IMPORTXML($I279, ""//p[@class='status-date']""), ""Not Loading""),"""")"),"")</f>
        <v/>
      </c>
      <c r="Q279" s="64"/>
      <c r="R279" s="64"/>
      <c r="S279" s="64"/>
      <c r="T279" s="64"/>
      <c r="U279" s="62" t="str">
        <f t="shared" si="8"/>
        <v>Charonovci</v>
      </c>
      <c r="V279" s="63">
        <f>IFERROR(__xludf.DUMMYFUNCTION("iferror(VALUE(left(index(IMPORTXML(I281, ""//div[@class='col-lg-2 user-stat stat-green']""),2,1),len(index(IMPORTXML(I281, ""//div[@class='col-lg-2 user-stat stat-green']""),2,1))-8)),0)"),0.0)</f>
        <v>0</v>
      </c>
    </row>
    <row r="280" ht="15.0" customHeight="1">
      <c r="A280" s="50">
        <f t="shared" si="9"/>
        <v>273</v>
      </c>
      <c r="B280" s="51" t="str">
        <f t="shared" si="2"/>
        <v>Chilli 🌶️ Killer ☠️ #273 | R15 - C13</v>
      </c>
      <c r="C280" s="52">
        <v>15.0</v>
      </c>
      <c r="D280" s="52">
        <v>13.0</v>
      </c>
      <c r="E280" s="53">
        <v>48.16160126</v>
      </c>
      <c r="F280" s="53">
        <v>17.14500651</v>
      </c>
      <c r="G280" s="54" t="s">
        <v>42</v>
      </c>
      <c r="H280" s="55" t="str">
        <f t="shared" si="12"/>
        <v>Neloras</v>
      </c>
      <c r="I280" s="56" t="s">
        <v>289</v>
      </c>
      <c r="J280" s="57"/>
      <c r="K280" s="58" t="b">
        <v>1</v>
      </c>
      <c r="L280" s="59">
        <f t="shared" si="13"/>
        <v>0</v>
      </c>
      <c r="M280" s="59">
        <f t="shared" si="14"/>
        <v>0</v>
      </c>
      <c r="N280" s="59">
        <f t="shared" si="15"/>
        <v>0</v>
      </c>
      <c r="O280" s="60" t="str">
        <f t="shared" si="16"/>
        <v/>
      </c>
      <c r="P280" s="61" t="str">
        <f>IFERROR(__xludf.DUMMYFUNCTION("IF($N280=1,IFERROR(IMPORTXML($I280, ""//p[@class='status-date']""), ""Not Loading""),"""")"),"")</f>
        <v/>
      </c>
      <c r="Q280" s="65"/>
      <c r="R280" s="65"/>
      <c r="S280" s="65"/>
      <c r="T280" s="65"/>
      <c r="U280" s="62" t="str">
        <f t="shared" si="8"/>
        <v>Neloras</v>
      </c>
      <c r="V280" s="63">
        <f>IFERROR(__xludf.DUMMYFUNCTION("iferror(VALUE(left(index(IMPORTXML(I282, ""//div[@class='col-lg-2 user-stat stat-green']""),2,1),len(index(IMPORTXML(I282, ""//div[@class='col-lg-2 user-stat stat-green']""),2,1))-8)),0)"),0.0)</f>
        <v>0</v>
      </c>
    </row>
    <row r="281" ht="15.0" customHeight="1">
      <c r="A281" s="50">
        <f t="shared" si="9"/>
        <v>274</v>
      </c>
      <c r="B281" s="51" t="str">
        <f t="shared" si="2"/>
        <v>Chilli 🌶️ Killer ☠️ #274 | R15 - C14</v>
      </c>
      <c r="C281" s="52">
        <v>15.0</v>
      </c>
      <c r="D281" s="52">
        <v>14.0</v>
      </c>
      <c r="E281" s="53">
        <v>48.16160126</v>
      </c>
      <c r="F281" s="53">
        <v>17.14522199</v>
      </c>
      <c r="G281" s="54" t="s">
        <v>42</v>
      </c>
      <c r="H281" s="55" t="str">
        <f t="shared" si="12"/>
        <v>mathew611</v>
      </c>
      <c r="I281" s="56" t="s">
        <v>290</v>
      </c>
      <c r="J281" s="57"/>
      <c r="K281" s="58" t="b">
        <v>1</v>
      </c>
      <c r="L281" s="59">
        <f t="shared" si="13"/>
        <v>0</v>
      </c>
      <c r="M281" s="59">
        <f t="shared" si="14"/>
        <v>0</v>
      </c>
      <c r="N281" s="59">
        <f t="shared" si="15"/>
        <v>0</v>
      </c>
      <c r="O281" s="60" t="str">
        <f t="shared" si="16"/>
        <v/>
      </c>
      <c r="P281" s="61" t="str">
        <f>IFERROR(__xludf.DUMMYFUNCTION("IF($N281=1,IFERROR(IMPORTXML($I281, ""//p[@class='status-date']""), ""Not Loading""),"""")"),"")</f>
        <v/>
      </c>
      <c r="Q281" s="64"/>
      <c r="R281" s="64"/>
      <c r="S281" s="64"/>
      <c r="T281" s="64"/>
      <c r="U281" s="62" t="str">
        <f t="shared" si="8"/>
        <v>mathew611</v>
      </c>
      <c r="V281" s="63">
        <f>IFERROR(__xludf.DUMMYFUNCTION("iferror(VALUE(left(index(IMPORTXML(I283, ""//div[@class='col-lg-2 user-stat stat-green']""),2,1),len(index(IMPORTXML(I283, ""//div[@class='col-lg-2 user-stat stat-green']""),2,1))-8)),0)"),0.0)</f>
        <v>0</v>
      </c>
    </row>
    <row r="282" ht="15.0" customHeight="1">
      <c r="A282" s="50">
        <f t="shared" si="9"/>
        <v>275</v>
      </c>
      <c r="B282" s="51" t="str">
        <f t="shared" si="2"/>
        <v>Chilli 🌶️ Killer ☠️ #275 | R15 - C15</v>
      </c>
      <c r="C282" s="52">
        <v>15.0</v>
      </c>
      <c r="D282" s="52">
        <v>15.0</v>
      </c>
      <c r="E282" s="53">
        <v>48.16160126</v>
      </c>
      <c r="F282" s="53">
        <v>17.14543746</v>
      </c>
      <c r="G282" s="54" t="s">
        <v>42</v>
      </c>
      <c r="H282" s="55" t="str">
        <f t="shared" si="12"/>
        <v>halizwein</v>
      </c>
      <c r="I282" s="56" t="s">
        <v>291</v>
      </c>
      <c r="J282" s="57"/>
      <c r="K282" s="58" t="b">
        <v>1</v>
      </c>
      <c r="L282" s="59">
        <f t="shared" si="13"/>
        <v>0</v>
      </c>
      <c r="M282" s="59">
        <f t="shared" si="14"/>
        <v>0</v>
      </c>
      <c r="N282" s="59">
        <f t="shared" si="15"/>
        <v>0</v>
      </c>
      <c r="O282" s="60" t="str">
        <f t="shared" si="16"/>
        <v/>
      </c>
      <c r="P282" s="61" t="str">
        <f>IFERROR(__xludf.DUMMYFUNCTION("IF($N282=1,IFERROR(IMPORTXML($I282, ""//p[@class='status-date']""), ""Not Loading""),"""")"),"")</f>
        <v/>
      </c>
      <c r="Q282" s="65"/>
      <c r="R282" s="65"/>
      <c r="S282" s="65"/>
      <c r="T282" s="65"/>
      <c r="U282" s="62" t="str">
        <f t="shared" si="8"/>
        <v>halizwein</v>
      </c>
      <c r="V282" s="63">
        <f>IFERROR(__xludf.DUMMYFUNCTION("iferror(VALUE(left(index(IMPORTXML(I284, ""//div[@class='col-lg-2 user-stat stat-green']""),2,1),len(index(IMPORTXML(I284, ""//div[@class='col-lg-2 user-stat stat-green']""),2,1))-8)),0)"),0.0)</f>
        <v>0</v>
      </c>
    </row>
    <row r="283" ht="15.0" customHeight="1">
      <c r="A283" s="50">
        <f t="shared" si="9"/>
        <v>276</v>
      </c>
      <c r="B283" s="51" t="str">
        <f t="shared" si="2"/>
        <v>Chilli 🌶️ Killer ☠️ #276 | R15 - C16</v>
      </c>
      <c r="C283" s="52">
        <v>15.0</v>
      </c>
      <c r="D283" s="52">
        <v>16.0</v>
      </c>
      <c r="E283" s="53">
        <v>48.16160126</v>
      </c>
      <c r="F283" s="53">
        <v>17.14565294</v>
      </c>
      <c r="G283" s="54" t="s">
        <v>33</v>
      </c>
      <c r="H283" s="55" t="str">
        <f t="shared" si="12"/>
        <v>Charonovci</v>
      </c>
      <c r="I283" s="56" t="s">
        <v>292</v>
      </c>
      <c r="J283" s="57"/>
      <c r="K283" s="58" t="b">
        <v>1</v>
      </c>
      <c r="L283" s="59">
        <f t="shared" si="13"/>
        <v>0</v>
      </c>
      <c r="M283" s="59">
        <f t="shared" si="14"/>
        <v>0</v>
      </c>
      <c r="N283" s="59">
        <f t="shared" si="15"/>
        <v>0</v>
      </c>
      <c r="O283" s="60" t="str">
        <f t="shared" si="16"/>
        <v/>
      </c>
      <c r="P283" s="61" t="str">
        <f>IFERROR(__xludf.DUMMYFUNCTION("IF($N283=1,IFERROR(IMPORTXML($I283, ""//p[@class='status-date']""), ""Not Loading""),"""")"),"")</f>
        <v/>
      </c>
      <c r="Q283" s="64"/>
      <c r="R283" s="64"/>
      <c r="S283" s="64"/>
      <c r="T283" s="64"/>
      <c r="U283" s="62" t="str">
        <f t="shared" si="8"/>
        <v>Charonovci</v>
      </c>
      <c r="V283" s="63">
        <f>IFERROR(__xludf.DUMMYFUNCTION("iferror(VALUE(left(index(IMPORTXML(I285, ""//div[@class='col-lg-2 user-stat stat-green']""),2,1),len(index(IMPORTXML(I285, ""//div[@class='col-lg-2 user-stat stat-green']""),2,1))-8)),0)"),0.0)</f>
        <v>0</v>
      </c>
    </row>
    <row r="284" ht="15.0" customHeight="1">
      <c r="A284" s="71">
        <f t="shared" si="9"/>
        <v>277</v>
      </c>
      <c r="B284" s="72" t="str">
        <f t="shared" si="2"/>
        <v>Chilli 🌶️ Killer ☠️ #277 | R15 - C19</v>
      </c>
      <c r="C284" s="73">
        <v>15.0</v>
      </c>
      <c r="D284" s="73">
        <v>19.0</v>
      </c>
      <c r="E284" s="74">
        <v>48.16160126</v>
      </c>
      <c r="F284" s="74">
        <v>17.14629937</v>
      </c>
      <c r="G284" s="72" t="s">
        <v>293</v>
      </c>
      <c r="H284" s="75" t="str">
        <f t="shared" si="12"/>
        <v>Derlame</v>
      </c>
      <c r="I284" s="56" t="s">
        <v>294</v>
      </c>
      <c r="J284" s="76"/>
      <c r="K284" s="77" t="b">
        <v>1</v>
      </c>
      <c r="L284" s="78">
        <f t="shared" si="13"/>
        <v>0</v>
      </c>
      <c r="M284" s="78">
        <f t="shared" si="14"/>
        <v>0</v>
      </c>
      <c r="N284" s="78">
        <f t="shared" si="15"/>
        <v>0</v>
      </c>
      <c r="O284" s="79" t="str">
        <f t="shared" si="16"/>
        <v/>
      </c>
      <c r="P284" s="80" t="str">
        <f>IFERROR(__xludf.DUMMYFUNCTION("IF($N284=1,IFERROR(IMPORTXML($I284, ""//p[@class='status-date']""), ""Not Loading""),"""")"),"")</f>
        <v/>
      </c>
      <c r="Q284" s="81"/>
      <c r="R284" s="81"/>
      <c r="S284" s="81"/>
      <c r="T284" s="81"/>
      <c r="U284" s="82" t="str">
        <f t="shared" si="8"/>
        <v>Derlame</v>
      </c>
      <c r="V284" s="83">
        <f>IFERROR(__xludf.DUMMYFUNCTION("iferror(VALUE(left(index(IMPORTXML(I286, ""//div[@class='col-lg-2 user-stat stat-green']""),2,1),len(index(IMPORTXML(I286, ""//div[@class='col-lg-2 user-stat stat-green']""),2,1))-8)),0)"),0.0)</f>
        <v>0</v>
      </c>
    </row>
    <row r="285" ht="15.0" customHeight="1">
      <c r="A285" s="50">
        <f t="shared" si="9"/>
        <v>278</v>
      </c>
      <c r="B285" s="51" t="str">
        <f t="shared" si="2"/>
        <v>Chilli 🌶️ Killer ☠️ #278 | R16 - C5</v>
      </c>
      <c r="C285" s="52">
        <v>16.0</v>
      </c>
      <c r="D285" s="52">
        <v>5.0</v>
      </c>
      <c r="E285" s="53">
        <v>48.16147679</v>
      </c>
      <c r="F285" s="53">
        <v>17.14339042</v>
      </c>
      <c r="G285" s="54" t="s">
        <v>33</v>
      </c>
      <c r="H285" s="55" t="str">
        <f t="shared" si="12"/>
        <v>Insert URL ▶</v>
      </c>
      <c r="I285" s="56"/>
      <c r="J285" s="57"/>
      <c r="K285" s="58" t="b">
        <v>0</v>
      </c>
      <c r="L285" s="59">
        <f t="shared" si="13"/>
        <v>1</v>
      </c>
      <c r="M285" s="59">
        <f t="shared" si="14"/>
        <v>0</v>
      </c>
      <c r="N285" s="59">
        <f t="shared" si="15"/>
        <v>0</v>
      </c>
      <c r="O285" s="60" t="str">
        <f t="shared" si="16"/>
        <v/>
      </c>
      <c r="P285" s="61" t="str">
        <f>IFERROR(__xludf.DUMMYFUNCTION("IF($N285=1,IFERROR(IMPORTXML($I285, ""//p[@class='status-date']""), ""Not Loading""),"""")"),"")</f>
        <v/>
      </c>
      <c r="Q285" s="64"/>
      <c r="R285" s="64"/>
      <c r="S285" s="64"/>
      <c r="T285" s="64"/>
      <c r="U285" s="62" t="str">
        <f t="shared" si="8"/>
        <v/>
      </c>
      <c r="V285" s="63">
        <f>IFERROR(__xludf.DUMMYFUNCTION("iferror(VALUE(left(index(IMPORTXML(I287, ""//div[@class='col-lg-2 user-stat stat-green']""),2,1),len(index(IMPORTXML(I287, ""//div[@class='col-lg-2 user-stat stat-green']""),2,1))-8)),0)"),0.0)</f>
        <v>0</v>
      </c>
    </row>
    <row r="286" ht="15.0" customHeight="1">
      <c r="A286" s="50">
        <f t="shared" si="9"/>
        <v>279</v>
      </c>
      <c r="B286" s="51" t="str">
        <f t="shared" si="2"/>
        <v>Chilli 🌶️ Killer ☠️ #279 | R16 - C6</v>
      </c>
      <c r="C286" s="52">
        <v>16.0</v>
      </c>
      <c r="D286" s="52">
        <v>6.0</v>
      </c>
      <c r="E286" s="53">
        <v>48.16147679</v>
      </c>
      <c r="F286" s="53">
        <v>17.1436059</v>
      </c>
      <c r="G286" s="54" t="s">
        <v>33</v>
      </c>
      <c r="H286" s="55" t="str">
        <f t="shared" si="12"/>
        <v>Insert URL ▶</v>
      </c>
      <c r="I286" s="56"/>
      <c r="J286" s="57"/>
      <c r="K286" s="58" t="b">
        <v>0</v>
      </c>
      <c r="L286" s="59">
        <f t="shared" si="13"/>
        <v>1</v>
      </c>
      <c r="M286" s="59">
        <f t="shared" si="14"/>
        <v>0</v>
      </c>
      <c r="N286" s="59">
        <f t="shared" si="15"/>
        <v>0</v>
      </c>
      <c r="O286" s="60" t="str">
        <f t="shared" si="16"/>
        <v/>
      </c>
      <c r="P286" s="61" t="str">
        <f>IFERROR(__xludf.DUMMYFUNCTION("IF($N286=1,IFERROR(IMPORTXML($I286, ""//p[@class='status-date']""), ""Not Loading""),"""")"),"")</f>
        <v/>
      </c>
      <c r="Q286" s="65"/>
      <c r="R286" s="65"/>
      <c r="S286" s="65"/>
      <c r="T286" s="65"/>
      <c r="U286" s="62" t="str">
        <f t="shared" si="8"/>
        <v/>
      </c>
      <c r="V286" s="63">
        <f>IFERROR(__xludf.DUMMYFUNCTION("iferror(VALUE(left(index(IMPORTXML(I288, ""//div[@class='col-lg-2 user-stat stat-green']""),2,1),len(index(IMPORTXML(I288, ""//div[@class='col-lg-2 user-stat stat-green']""),2,1))-8)),0)"),0.0)</f>
        <v>0</v>
      </c>
    </row>
    <row r="287" ht="15.0" customHeight="1">
      <c r="A287" s="50">
        <f t="shared" si="9"/>
        <v>280</v>
      </c>
      <c r="B287" s="51" t="str">
        <f t="shared" si="2"/>
        <v>Chilli 🌶️ Killer ☠️ #280 | R16 - C7</v>
      </c>
      <c r="C287" s="52">
        <v>16.0</v>
      </c>
      <c r="D287" s="52">
        <v>7.0</v>
      </c>
      <c r="E287" s="53">
        <v>48.16147678</v>
      </c>
      <c r="F287" s="53">
        <v>17.14382137</v>
      </c>
      <c r="G287" s="54" t="s">
        <v>42</v>
      </c>
      <c r="H287" s="55" t="str">
        <f t="shared" si="12"/>
        <v>scoutref</v>
      </c>
      <c r="I287" s="56" t="s">
        <v>295</v>
      </c>
      <c r="J287" s="57"/>
      <c r="K287" s="58" t="b">
        <v>1</v>
      </c>
      <c r="L287" s="59">
        <f t="shared" si="13"/>
        <v>0</v>
      </c>
      <c r="M287" s="59">
        <f t="shared" si="14"/>
        <v>0</v>
      </c>
      <c r="N287" s="59">
        <f t="shared" si="15"/>
        <v>0</v>
      </c>
      <c r="O287" s="60" t="str">
        <f t="shared" si="16"/>
        <v/>
      </c>
      <c r="P287" s="61" t="str">
        <f>IFERROR(__xludf.DUMMYFUNCTION("IF($N287=1,IFERROR(IMPORTXML($I287, ""//p[@class='status-date']""), ""Not Loading""),"""")"),"")</f>
        <v/>
      </c>
      <c r="Q287" s="64"/>
      <c r="R287" s="64"/>
      <c r="S287" s="64"/>
      <c r="T287" s="64"/>
      <c r="U287" s="62" t="str">
        <f t="shared" si="8"/>
        <v>scoutref</v>
      </c>
      <c r="V287" s="63">
        <f>IFERROR(__xludf.DUMMYFUNCTION("iferror(VALUE(left(index(IMPORTXML(I289, ""//div[@class='col-lg-2 user-stat stat-green']""),2,1),len(index(IMPORTXML(I289, ""//div[@class='col-lg-2 user-stat stat-green']""),2,1))-8)),0)"),0.0)</f>
        <v>0</v>
      </c>
    </row>
    <row r="288" ht="15.0" customHeight="1">
      <c r="A288" s="50">
        <f t="shared" si="9"/>
        <v>281</v>
      </c>
      <c r="B288" s="51" t="str">
        <f t="shared" si="2"/>
        <v>Chilli 🌶️ Killer ☠️ #281 | R16 - C8</v>
      </c>
      <c r="C288" s="52">
        <v>16.0</v>
      </c>
      <c r="D288" s="52">
        <v>8.0</v>
      </c>
      <c r="E288" s="53">
        <v>48.16147678</v>
      </c>
      <c r="F288" s="53">
        <v>17.14403685</v>
      </c>
      <c r="G288" s="54" t="s">
        <v>42</v>
      </c>
      <c r="H288" s="55" t="str">
        <f t="shared" si="12"/>
        <v>Rikitan</v>
      </c>
      <c r="I288" s="56" t="s">
        <v>296</v>
      </c>
      <c r="J288" s="57"/>
      <c r="K288" s="58" t="b">
        <v>1</v>
      </c>
      <c r="L288" s="59">
        <f t="shared" si="13"/>
        <v>0</v>
      </c>
      <c r="M288" s="59">
        <f t="shared" si="14"/>
        <v>0</v>
      </c>
      <c r="N288" s="59">
        <f t="shared" si="15"/>
        <v>0</v>
      </c>
      <c r="O288" s="60" t="str">
        <f t="shared" si="16"/>
        <v/>
      </c>
      <c r="P288" s="61" t="str">
        <f>IFERROR(__xludf.DUMMYFUNCTION("IF($N288=1,IFERROR(IMPORTXML($I288, ""//p[@class='status-date']""), ""Not Loading""),"""")"),"")</f>
        <v/>
      </c>
      <c r="Q288" s="65"/>
      <c r="R288" s="65"/>
      <c r="S288" s="65"/>
      <c r="T288" s="65"/>
      <c r="U288" s="62" t="str">
        <f t="shared" si="8"/>
        <v>Rikitan</v>
      </c>
      <c r="V288" s="63">
        <f>IFERROR(__xludf.DUMMYFUNCTION("iferror(VALUE(left(index(IMPORTXML(I290, ""//div[@class='col-lg-2 user-stat stat-green']""),2,1),len(index(IMPORTXML(I290, ""//div[@class='col-lg-2 user-stat stat-green']""),2,1))-8)),0)"),0.0)</f>
        <v>0</v>
      </c>
    </row>
    <row r="289" ht="15.0" customHeight="1">
      <c r="A289" s="50">
        <f t="shared" si="9"/>
        <v>282</v>
      </c>
      <c r="B289" s="51" t="str">
        <f t="shared" si="2"/>
        <v>Chilli 🌶️ Killer ☠️ #282 | R16 - C9</v>
      </c>
      <c r="C289" s="52">
        <v>16.0</v>
      </c>
      <c r="D289" s="52">
        <v>9.0</v>
      </c>
      <c r="E289" s="53">
        <v>48.16147678</v>
      </c>
      <c r="F289" s="53">
        <v>17.14425233</v>
      </c>
      <c r="G289" s="54" t="s">
        <v>42</v>
      </c>
      <c r="H289" s="55" t="str">
        <f t="shared" si="12"/>
        <v>EeveeFox</v>
      </c>
      <c r="I289" s="56" t="s">
        <v>297</v>
      </c>
      <c r="J289" s="57"/>
      <c r="K289" s="58" t="b">
        <v>1</v>
      </c>
      <c r="L289" s="59">
        <f t="shared" si="13"/>
        <v>0</v>
      </c>
      <c r="M289" s="59">
        <f t="shared" si="14"/>
        <v>0</v>
      </c>
      <c r="N289" s="59">
        <f t="shared" si="15"/>
        <v>0</v>
      </c>
      <c r="O289" s="60" t="str">
        <f t="shared" si="16"/>
        <v/>
      </c>
      <c r="P289" s="61" t="str">
        <f>IFERROR(__xludf.DUMMYFUNCTION("IF($N289=1,IFERROR(IMPORTXML($I289, ""//p[@class='status-date']""), ""Not Loading""),"""")"),"")</f>
        <v/>
      </c>
      <c r="Q289" s="64"/>
      <c r="R289" s="64"/>
      <c r="S289" s="64"/>
      <c r="T289" s="64"/>
      <c r="U289" s="62" t="str">
        <f t="shared" si="8"/>
        <v>EeveeFox</v>
      </c>
      <c r="V289" s="63">
        <f>IFERROR(__xludf.DUMMYFUNCTION("iferror(VALUE(left(index(IMPORTXML(I291, ""//div[@class='col-lg-2 user-stat stat-green']""),2,1),len(index(IMPORTXML(I291, ""//div[@class='col-lg-2 user-stat stat-green']""),2,1))-8)),0)"),0.0)</f>
        <v>0</v>
      </c>
    </row>
    <row r="290" ht="15.0" customHeight="1">
      <c r="A290" s="50">
        <f t="shared" si="9"/>
        <v>283</v>
      </c>
      <c r="B290" s="51" t="str">
        <f t="shared" si="2"/>
        <v>Chilli 🌶️ Killer ☠️ #283 | R16 - C10</v>
      </c>
      <c r="C290" s="52">
        <v>16.0</v>
      </c>
      <c r="D290" s="52">
        <v>10.0</v>
      </c>
      <c r="E290" s="53">
        <v>48.16147678</v>
      </c>
      <c r="F290" s="53">
        <v>17.1444678</v>
      </c>
      <c r="G290" s="54" t="s">
        <v>42</v>
      </c>
      <c r="H290" s="55" t="str">
        <f t="shared" si="12"/>
        <v>MacickaLizza</v>
      </c>
      <c r="I290" s="56" t="s">
        <v>298</v>
      </c>
      <c r="J290" s="57"/>
      <c r="K290" s="58" t="b">
        <v>1</v>
      </c>
      <c r="L290" s="59">
        <f t="shared" si="13"/>
        <v>0</v>
      </c>
      <c r="M290" s="59">
        <f t="shared" si="14"/>
        <v>0</v>
      </c>
      <c r="N290" s="59">
        <f t="shared" si="15"/>
        <v>0</v>
      </c>
      <c r="O290" s="60" t="str">
        <f t="shared" si="16"/>
        <v/>
      </c>
      <c r="P290" s="61" t="str">
        <f>IFERROR(__xludf.DUMMYFUNCTION("IF($N290=1,IFERROR(IMPORTXML($I290, ""//p[@class='status-date']""), ""Not Loading""),"""")"),"")</f>
        <v/>
      </c>
      <c r="Q290" s="65"/>
      <c r="R290" s="65"/>
      <c r="S290" s="65"/>
      <c r="T290" s="65"/>
      <c r="U290" s="62" t="str">
        <f t="shared" si="8"/>
        <v>MacickaLizza</v>
      </c>
      <c r="V290" s="63">
        <f>IFERROR(__xludf.DUMMYFUNCTION("iferror(VALUE(left(index(IMPORTXML(I292, ""//div[@class='col-lg-2 user-stat stat-green']""),2,1),len(index(IMPORTXML(I292, ""//div[@class='col-lg-2 user-stat stat-green']""),2,1))-8)),0)"),0.0)</f>
        <v>0</v>
      </c>
    </row>
    <row r="291" ht="15.0" customHeight="1">
      <c r="A291" s="50">
        <f t="shared" si="9"/>
        <v>284</v>
      </c>
      <c r="B291" s="51" t="str">
        <f t="shared" si="2"/>
        <v>Chilli 🌶️ Killer ☠️ #284 | R16 - C11</v>
      </c>
      <c r="C291" s="52">
        <v>16.0</v>
      </c>
      <c r="D291" s="52">
        <v>11.0</v>
      </c>
      <c r="E291" s="53">
        <v>48.16147678</v>
      </c>
      <c r="F291" s="53">
        <v>17.14468328</v>
      </c>
      <c r="G291" s="54" t="s">
        <v>42</v>
      </c>
      <c r="H291" s="55" t="str">
        <f t="shared" si="12"/>
        <v>VLoopSouth</v>
      </c>
      <c r="I291" s="56" t="s">
        <v>299</v>
      </c>
      <c r="J291" s="57"/>
      <c r="K291" s="58" t="b">
        <v>1</v>
      </c>
      <c r="L291" s="59">
        <f t="shared" si="13"/>
        <v>0</v>
      </c>
      <c r="M291" s="59">
        <f t="shared" si="14"/>
        <v>0</v>
      </c>
      <c r="N291" s="59">
        <f t="shared" si="15"/>
        <v>0</v>
      </c>
      <c r="O291" s="60" t="str">
        <f t="shared" si="16"/>
        <v/>
      </c>
      <c r="P291" s="61" t="str">
        <f>IFERROR(__xludf.DUMMYFUNCTION("IF($N291=1,IFERROR(IMPORTXML($I291, ""//p[@class='status-date']""), ""Not Loading""),"""")"),"")</f>
        <v/>
      </c>
      <c r="Q291" s="64"/>
      <c r="R291" s="64"/>
      <c r="S291" s="64"/>
      <c r="T291" s="64"/>
      <c r="U291" s="62" t="str">
        <f t="shared" si="8"/>
        <v>VLoopSouth</v>
      </c>
      <c r="V291" s="63">
        <f>IFERROR(__xludf.DUMMYFUNCTION("iferror(VALUE(left(index(IMPORTXML(I293, ""//div[@class='col-lg-2 user-stat stat-green']""),2,1),len(index(IMPORTXML(I293, ""//div[@class='col-lg-2 user-stat stat-green']""),2,1))-8)),0)"),0.0)</f>
        <v>0</v>
      </c>
    </row>
    <row r="292" ht="15.0" customHeight="1">
      <c r="A292" s="50">
        <f t="shared" si="9"/>
        <v>285</v>
      </c>
      <c r="B292" s="51" t="str">
        <f t="shared" si="2"/>
        <v>Chilli 🌶️ Killer ☠️ #285 | R16 - C12</v>
      </c>
      <c r="C292" s="52">
        <v>16.0</v>
      </c>
      <c r="D292" s="52">
        <v>12.0</v>
      </c>
      <c r="E292" s="53">
        <v>48.16147678</v>
      </c>
      <c r="F292" s="53">
        <v>17.14489876</v>
      </c>
      <c r="G292" s="54" t="s">
        <v>42</v>
      </c>
      <c r="H292" s="55" t="str">
        <f t="shared" si="12"/>
        <v>29Februaris</v>
      </c>
      <c r="I292" s="56" t="s">
        <v>300</v>
      </c>
      <c r="J292" s="57"/>
      <c r="K292" s="58" t="b">
        <v>1</v>
      </c>
      <c r="L292" s="59">
        <f t="shared" si="13"/>
        <v>0</v>
      </c>
      <c r="M292" s="59">
        <f t="shared" si="14"/>
        <v>0</v>
      </c>
      <c r="N292" s="59">
        <f t="shared" si="15"/>
        <v>0</v>
      </c>
      <c r="O292" s="60" t="str">
        <f t="shared" si="16"/>
        <v/>
      </c>
      <c r="P292" s="61" t="str">
        <f>IFERROR(__xludf.DUMMYFUNCTION("IF($N292=1,IFERROR(IMPORTXML($I292, ""//p[@class='status-date']""), ""Not Loading""),"""")"),"")</f>
        <v/>
      </c>
      <c r="Q292" s="65"/>
      <c r="R292" s="65"/>
      <c r="S292" s="65"/>
      <c r="T292" s="65"/>
      <c r="U292" s="62" t="str">
        <f t="shared" si="8"/>
        <v>29Februaris</v>
      </c>
      <c r="V292" s="63">
        <f>IFERROR(__xludf.DUMMYFUNCTION("iferror(VALUE(left(index(IMPORTXML(I294, ""//div[@class='col-lg-2 user-stat stat-green']""),2,1),len(index(IMPORTXML(I294, ""//div[@class='col-lg-2 user-stat stat-green']""),2,1))-8)),0)"),0.0)</f>
        <v>0</v>
      </c>
    </row>
    <row r="293" ht="15.0" customHeight="1">
      <c r="A293" s="50">
        <f t="shared" si="9"/>
        <v>286</v>
      </c>
      <c r="B293" s="51" t="str">
        <f t="shared" si="2"/>
        <v>Chilli 🌶️ Killer ☠️ #286 | R16 - C13</v>
      </c>
      <c r="C293" s="52">
        <v>16.0</v>
      </c>
      <c r="D293" s="52">
        <v>13.0</v>
      </c>
      <c r="E293" s="53">
        <v>48.16147678</v>
      </c>
      <c r="F293" s="53">
        <v>17.14511424</v>
      </c>
      <c r="G293" s="54" t="s">
        <v>42</v>
      </c>
      <c r="H293" s="55" t="str">
        <f t="shared" si="12"/>
        <v>Nicolet</v>
      </c>
      <c r="I293" s="56" t="s">
        <v>301</v>
      </c>
      <c r="J293" s="57"/>
      <c r="K293" s="58" t="b">
        <v>1</v>
      </c>
      <c r="L293" s="59">
        <f t="shared" si="13"/>
        <v>0</v>
      </c>
      <c r="M293" s="59">
        <f t="shared" si="14"/>
        <v>0</v>
      </c>
      <c r="N293" s="59">
        <f t="shared" si="15"/>
        <v>0</v>
      </c>
      <c r="O293" s="60" t="str">
        <f t="shared" si="16"/>
        <v/>
      </c>
      <c r="P293" s="61" t="str">
        <f>IFERROR(__xludf.DUMMYFUNCTION("IF($N293=1,IFERROR(IMPORTXML($I293, ""//p[@class='status-date']""), ""Not Loading""),"""")"),"")</f>
        <v/>
      </c>
      <c r="Q293" s="64"/>
      <c r="R293" s="64"/>
      <c r="S293" s="64"/>
      <c r="T293" s="64"/>
      <c r="U293" s="62" t="str">
        <f t="shared" si="8"/>
        <v>Nicolet</v>
      </c>
      <c r="V293" s="63">
        <f>IFERROR(__xludf.DUMMYFUNCTION("iferror(VALUE(left(index(IMPORTXML(I295, ""//div[@class='col-lg-2 user-stat stat-green']""),2,1),len(index(IMPORTXML(I295, ""//div[@class='col-lg-2 user-stat stat-green']""),2,1))-8)),0)"),0.0)</f>
        <v>0</v>
      </c>
    </row>
    <row r="294" ht="15.0" customHeight="1">
      <c r="A294" s="50">
        <f t="shared" si="9"/>
        <v>287</v>
      </c>
      <c r="B294" s="51" t="str">
        <f t="shared" si="2"/>
        <v>Chilli 🌶️ Killer ☠️ #287 | R16 - C14</v>
      </c>
      <c r="C294" s="52">
        <v>16.0</v>
      </c>
      <c r="D294" s="52">
        <v>14.0</v>
      </c>
      <c r="E294" s="53">
        <v>48.16147678</v>
      </c>
      <c r="F294" s="53">
        <v>17.14532971</v>
      </c>
      <c r="G294" s="54" t="s">
        <v>33</v>
      </c>
      <c r="H294" s="55" t="str">
        <f t="shared" si="12"/>
        <v>Insert URL ▶</v>
      </c>
      <c r="I294" s="56"/>
      <c r="J294" s="57"/>
      <c r="K294" s="58" t="b">
        <v>0</v>
      </c>
      <c r="L294" s="59">
        <f t="shared" si="13"/>
        <v>1</v>
      </c>
      <c r="M294" s="59">
        <f t="shared" si="14"/>
        <v>0</v>
      </c>
      <c r="N294" s="59">
        <f t="shared" si="15"/>
        <v>0</v>
      </c>
      <c r="O294" s="60" t="str">
        <f t="shared" si="16"/>
        <v/>
      </c>
      <c r="P294" s="61" t="str">
        <f>IFERROR(__xludf.DUMMYFUNCTION("IF($N294=1,IFERROR(IMPORTXML($I294, ""//p[@class='status-date']""), ""Not Loading""),"""")"),"")</f>
        <v/>
      </c>
      <c r="Q294" s="65"/>
      <c r="R294" s="65"/>
      <c r="S294" s="65"/>
      <c r="T294" s="65"/>
      <c r="U294" s="62" t="str">
        <f t="shared" si="8"/>
        <v/>
      </c>
      <c r="V294" s="63">
        <f>IFERROR(__xludf.DUMMYFUNCTION("iferror(VALUE(left(index(IMPORTXML(I296, ""//div[@class='col-lg-2 user-stat stat-green']""),2,1),len(index(IMPORTXML(I296, ""//div[@class='col-lg-2 user-stat stat-green']""),2,1))-8)),0)"),0.0)</f>
        <v>0</v>
      </c>
    </row>
    <row r="295" ht="15.0" customHeight="1">
      <c r="A295" s="50">
        <f t="shared" si="9"/>
        <v>288</v>
      </c>
      <c r="B295" s="51" t="str">
        <f t="shared" si="2"/>
        <v>Chilli 🌶️ Killer ☠️ #288 | R16 - C15</v>
      </c>
      <c r="C295" s="52">
        <v>16.0</v>
      </c>
      <c r="D295" s="52">
        <v>15.0</v>
      </c>
      <c r="E295" s="53">
        <v>48.16147678</v>
      </c>
      <c r="F295" s="53">
        <v>17.14554519</v>
      </c>
      <c r="G295" s="54" t="s">
        <v>33</v>
      </c>
      <c r="H295" s="55" t="str">
        <f t="shared" si="12"/>
        <v>KarelVeliky</v>
      </c>
      <c r="I295" s="67" t="s">
        <v>302</v>
      </c>
      <c r="J295" s="57"/>
      <c r="K295" s="58" t="b">
        <v>1</v>
      </c>
      <c r="L295" s="59">
        <f t="shared" si="13"/>
        <v>0</v>
      </c>
      <c r="M295" s="59">
        <f t="shared" si="14"/>
        <v>0</v>
      </c>
      <c r="N295" s="59">
        <f t="shared" si="15"/>
        <v>0</v>
      </c>
      <c r="O295" s="60" t="str">
        <f t="shared" si="16"/>
        <v/>
      </c>
      <c r="P295" s="61" t="str">
        <f>IFERROR(__xludf.DUMMYFUNCTION("IF($N295=1,IFERROR(IMPORTXML($I295, ""//p[@class='status-date']""), ""Not Loading""),"""")"),"")</f>
        <v/>
      </c>
      <c r="Q295" s="64"/>
      <c r="R295" s="64"/>
      <c r="S295" s="64"/>
      <c r="T295" s="64"/>
      <c r="U295" s="62" t="str">
        <f t="shared" si="8"/>
        <v>KarelVeliky</v>
      </c>
      <c r="V295" s="63">
        <f>IFERROR(__xludf.DUMMYFUNCTION("iferror(VALUE(left(index(IMPORTXML(I297, ""//div[@class='col-lg-2 user-stat stat-green']""),2,1),len(index(IMPORTXML(I297, ""//div[@class='col-lg-2 user-stat stat-green']""),2,1))-8)),0)"),0.0)</f>
        <v>0</v>
      </c>
    </row>
    <row r="296" ht="15.0" customHeight="1">
      <c r="A296" s="50">
        <f t="shared" si="9"/>
        <v>289</v>
      </c>
      <c r="B296" s="51" t="str">
        <f t="shared" si="2"/>
        <v>Chilli 🌶️ Killer ☠️ #289 | R17 - C5</v>
      </c>
      <c r="C296" s="52">
        <v>17.0</v>
      </c>
      <c r="D296" s="52">
        <v>5.0</v>
      </c>
      <c r="E296" s="53">
        <v>48.16135231</v>
      </c>
      <c r="F296" s="53">
        <v>17.14328267</v>
      </c>
      <c r="G296" s="54" t="s">
        <v>33</v>
      </c>
      <c r="H296" s="55" t="str">
        <f t="shared" si="12"/>
        <v>KarelVeliky</v>
      </c>
      <c r="I296" s="67" t="s">
        <v>303</v>
      </c>
      <c r="J296" s="57"/>
      <c r="K296" s="58" t="b">
        <v>1</v>
      </c>
      <c r="L296" s="59">
        <f t="shared" si="13"/>
        <v>0</v>
      </c>
      <c r="M296" s="59">
        <f t="shared" si="14"/>
        <v>0</v>
      </c>
      <c r="N296" s="59">
        <f t="shared" si="15"/>
        <v>0</v>
      </c>
      <c r="O296" s="60" t="str">
        <f t="shared" si="16"/>
        <v/>
      </c>
      <c r="P296" s="61" t="str">
        <f>IFERROR(__xludf.DUMMYFUNCTION("IF($N296=1,IFERROR(IMPORTXML($I296, ""//p[@class='status-date']""), ""Not Loading""),"""")"),"")</f>
        <v/>
      </c>
      <c r="Q296" s="65"/>
      <c r="R296" s="65"/>
      <c r="S296" s="65"/>
      <c r="T296" s="65"/>
      <c r="U296" s="62" t="str">
        <f t="shared" si="8"/>
        <v>KarelVeliky</v>
      </c>
      <c r="V296" s="63">
        <f>IFERROR(__xludf.DUMMYFUNCTION("iferror(VALUE(left(index(IMPORTXML(I298, ""//div[@class='col-lg-2 user-stat stat-green']""),2,1),len(index(IMPORTXML(I298, ""//div[@class='col-lg-2 user-stat stat-green']""),2,1))-8)),0)"),0.0)</f>
        <v>0</v>
      </c>
    </row>
    <row r="297" ht="15.0" customHeight="1">
      <c r="A297" s="50">
        <f t="shared" si="9"/>
        <v>290</v>
      </c>
      <c r="B297" s="51" t="str">
        <f t="shared" si="2"/>
        <v>Chilli 🌶️ Killer ☠️ #290 | R17 - C6</v>
      </c>
      <c r="C297" s="52">
        <v>17.0</v>
      </c>
      <c r="D297" s="52">
        <v>6.0</v>
      </c>
      <c r="E297" s="53">
        <v>48.16135231</v>
      </c>
      <c r="F297" s="53">
        <v>17.14349815</v>
      </c>
      <c r="G297" s="54" t="s">
        <v>42</v>
      </c>
      <c r="H297" s="55" t="str">
        <f t="shared" si="12"/>
        <v>Nicolet</v>
      </c>
      <c r="I297" s="56" t="s">
        <v>304</v>
      </c>
      <c r="J297" s="57"/>
      <c r="K297" s="58" t="b">
        <v>1</v>
      </c>
      <c r="L297" s="59">
        <f t="shared" si="13"/>
        <v>0</v>
      </c>
      <c r="M297" s="59">
        <f t="shared" si="14"/>
        <v>0</v>
      </c>
      <c r="N297" s="59">
        <f t="shared" si="15"/>
        <v>0</v>
      </c>
      <c r="O297" s="60" t="str">
        <f t="shared" si="16"/>
        <v/>
      </c>
      <c r="P297" s="61" t="str">
        <f>IFERROR(__xludf.DUMMYFUNCTION("IF($N297=1,IFERROR(IMPORTXML($I297, ""//p[@class='status-date']""), ""Not Loading""),"""")"),"")</f>
        <v/>
      </c>
      <c r="Q297" s="64"/>
      <c r="R297" s="64"/>
      <c r="S297" s="64"/>
      <c r="T297" s="64"/>
      <c r="U297" s="62" t="str">
        <f t="shared" si="8"/>
        <v>Nicolet</v>
      </c>
      <c r="V297" s="63">
        <f>IFERROR(__xludf.DUMMYFUNCTION("iferror(VALUE(left(index(IMPORTXML(I299, ""//div[@class='col-lg-2 user-stat stat-green']""),2,1),len(index(IMPORTXML(I299, ""//div[@class='col-lg-2 user-stat stat-green']""),2,1))-8)),0)"),0.0)</f>
        <v>0</v>
      </c>
    </row>
    <row r="298" ht="15.0" customHeight="1">
      <c r="A298" s="50">
        <f t="shared" si="9"/>
        <v>291</v>
      </c>
      <c r="B298" s="51" t="str">
        <f t="shared" si="2"/>
        <v>Chilli 🌶️ Killer ☠️ #291 | R17 - C7</v>
      </c>
      <c r="C298" s="52">
        <v>17.0</v>
      </c>
      <c r="D298" s="52">
        <v>7.0</v>
      </c>
      <c r="E298" s="53">
        <v>48.16135231</v>
      </c>
      <c r="F298" s="53">
        <v>17.14371363</v>
      </c>
      <c r="G298" s="54" t="s">
        <v>42</v>
      </c>
      <c r="H298" s="55" t="str">
        <f t="shared" si="12"/>
        <v>Kapor24</v>
      </c>
      <c r="I298" s="56" t="s">
        <v>305</v>
      </c>
      <c r="J298" s="57"/>
      <c r="K298" s="58" t="b">
        <v>1</v>
      </c>
      <c r="L298" s="59">
        <f t="shared" si="13"/>
        <v>0</v>
      </c>
      <c r="M298" s="59">
        <f t="shared" si="14"/>
        <v>0</v>
      </c>
      <c r="N298" s="59">
        <f t="shared" si="15"/>
        <v>0</v>
      </c>
      <c r="O298" s="60" t="str">
        <f t="shared" si="16"/>
        <v/>
      </c>
      <c r="P298" s="61" t="str">
        <f>IFERROR(__xludf.DUMMYFUNCTION("IF($N298=1,IFERROR(IMPORTXML($I298, ""//p[@class='status-date']""), ""Not Loading""),"""")"),"")</f>
        <v/>
      </c>
      <c r="Q298" s="65"/>
      <c r="R298" s="65"/>
      <c r="S298" s="65"/>
      <c r="T298" s="65"/>
      <c r="U298" s="62" t="str">
        <f t="shared" si="8"/>
        <v>Kapor24</v>
      </c>
      <c r="V298" s="63">
        <f>IFERROR(__xludf.DUMMYFUNCTION("iferror(VALUE(left(index(IMPORTXML(I300, ""//div[@class='col-lg-2 user-stat stat-green']""),2,1),len(index(IMPORTXML(I300, ""//div[@class='col-lg-2 user-stat stat-green']""),2,1))-8)),0)"),0.0)</f>
        <v>0</v>
      </c>
    </row>
    <row r="299" ht="15.0" customHeight="1">
      <c r="A299" s="50">
        <f t="shared" si="9"/>
        <v>292</v>
      </c>
      <c r="B299" s="51" t="str">
        <f t="shared" si="2"/>
        <v>Chilli 🌶️ Killer ☠️ #292 | R17 - C8</v>
      </c>
      <c r="C299" s="52">
        <v>17.0</v>
      </c>
      <c r="D299" s="52">
        <v>8.0</v>
      </c>
      <c r="E299" s="53">
        <v>48.16135231</v>
      </c>
      <c r="F299" s="53">
        <v>17.1439291</v>
      </c>
      <c r="G299" s="54" t="s">
        <v>42</v>
      </c>
      <c r="H299" s="55" t="str">
        <f t="shared" si="12"/>
        <v>KarelVeliky</v>
      </c>
      <c r="I299" s="56" t="s">
        <v>306</v>
      </c>
      <c r="J299" s="57"/>
      <c r="K299" s="58" t="b">
        <v>1</v>
      </c>
      <c r="L299" s="59">
        <f t="shared" si="13"/>
        <v>0</v>
      </c>
      <c r="M299" s="59">
        <f t="shared" si="14"/>
        <v>0</v>
      </c>
      <c r="N299" s="59">
        <f t="shared" si="15"/>
        <v>0</v>
      </c>
      <c r="O299" s="60" t="str">
        <f t="shared" si="16"/>
        <v/>
      </c>
      <c r="P299" s="61" t="str">
        <f>IFERROR(__xludf.DUMMYFUNCTION("IF($N299=1,IFERROR(IMPORTXML($I299, ""//p[@class='status-date']""), ""Not Loading""),"""")"),"")</f>
        <v/>
      </c>
      <c r="Q299" s="64"/>
      <c r="R299" s="64"/>
      <c r="S299" s="64"/>
      <c r="T299" s="64"/>
      <c r="U299" s="62" t="str">
        <f t="shared" si="8"/>
        <v>KarelVeliky</v>
      </c>
      <c r="V299" s="63">
        <f>IFERROR(__xludf.DUMMYFUNCTION("iferror(VALUE(left(index(IMPORTXML(I301, ""//div[@class='col-lg-2 user-stat stat-green']""),2,1),len(index(IMPORTXML(I301, ""//div[@class='col-lg-2 user-stat stat-green']""),2,1))-8)),0)"),0.0)</f>
        <v>0</v>
      </c>
    </row>
    <row r="300" ht="15.0" customHeight="1">
      <c r="A300" s="50">
        <f t="shared" si="9"/>
        <v>293</v>
      </c>
      <c r="B300" s="51" t="str">
        <f t="shared" si="2"/>
        <v>Chilli 🌶️ Killer ☠️ #293 | R17 - C9</v>
      </c>
      <c r="C300" s="52">
        <v>17.0</v>
      </c>
      <c r="D300" s="52">
        <v>9.0</v>
      </c>
      <c r="E300" s="53">
        <v>48.16135231</v>
      </c>
      <c r="F300" s="53">
        <v>17.14414458</v>
      </c>
      <c r="G300" s="54" t="s">
        <v>42</v>
      </c>
      <c r="H300" s="55" t="str">
        <f t="shared" si="12"/>
        <v>and2470</v>
      </c>
      <c r="I300" s="56" t="s">
        <v>307</v>
      </c>
      <c r="J300" s="57"/>
      <c r="K300" s="58" t="b">
        <v>1</v>
      </c>
      <c r="L300" s="59">
        <f t="shared" si="13"/>
        <v>0</v>
      </c>
      <c r="M300" s="59">
        <f t="shared" si="14"/>
        <v>0</v>
      </c>
      <c r="N300" s="59">
        <f t="shared" si="15"/>
        <v>0</v>
      </c>
      <c r="O300" s="60" t="str">
        <f t="shared" si="16"/>
        <v/>
      </c>
      <c r="P300" s="61" t="str">
        <f>IFERROR(__xludf.DUMMYFUNCTION("IF($N300=1,IFERROR(IMPORTXML($I300, ""//p[@class='status-date']""), ""Not Loading""),"""")"),"")</f>
        <v/>
      </c>
      <c r="Q300" s="65"/>
      <c r="R300" s="65"/>
      <c r="S300" s="65"/>
      <c r="T300" s="65"/>
      <c r="U300" s="62" t="str">
        <f t="shared" si="8"/>
        <v>and2470</v>
      </c>
      <c r="V300" s="63">
        <f>IFERROR(__xludf.DUMMYFUNCTION("iferror(VALUE(left(index(IMPORTXML(I302, ""//div[@class='col-lg-2 user-stat stat-green']""),2,1),len(index(IMPORTXML(I302, ""//div[@class='col-lg-2 user-stat stat-green']""),2,1))-8)),0)"),0.0)</f>
        <v>0</v>
      </c>
    </row>
    <row r="301" ht="15.0" customHeight="1">
      <c r="A301" s="50">
        <f t="shared" si="9"/>
        <v>294</v>
      </c>
      <c r="B301" s="51" t="str">
        <f t="shared" si="2"/>
        <v>Chilli 🌶️ Killer ☠️ #294 | R17 - C10</v>
      </c>
      <c r="C301" s="52">
        <v>17.0</v>
      </c>
      <c r="D301" s="52">
        <v>10.0</v>
      </c>
      <c r="E301" s="53">
        <v>48.16135231</v>
      </c>
      <c r="F301" s="53">
        <v>17.14436006</v>
      </c>
      <c r="G301" s="54" t="s">
        <v>42</v>
      </c>
      <c r="H301" s="55" t="str">
        <f t="shared" si="12"/>
        <v>TheOneWhoScans</v>
      </c>
      <c r="I301" s="56" t="s">
        <v>308</v>
      </c>
      <c r="J301" s="57"/>
      <c r="K301" s="58" t="b">
        <v>1</v>
      </c>
      <c r="L301" s="59">
        <f t="shared" si="13"/>
        <v>0</v>
      </c>
      <c r="M301" s="59">
        <f t="shared" si="14"/>
        <v>0</v>
      </c>
      <c r="N301" s="59">
        <f t="shared" si="15"/>
        <v>0</v>
      </c>
      <c r="O301" s="60" t="str">
        <f t="shared" si="16"/>
        <v/>
      </c>
      <c r="P301" s="61" t="str">
        <f>IFERROR(__xludf.DUMMYFUNCTION("IF($N301=1,IFERROR(IMPORTXML($I301, ""//p[@class='status-date']""), ""Not Loading""),"""")"),"")</f>
        <v/>
      </c>
      <c r="Q301" s="64"/>
      <c r="R301" s="64"/>
      <c r="S301" s="64"/>
      <c r="T301" s="64"/>
      <c r="U301" s="62" t="str">
        <f t="shared" si="8"/>
        <v>TheOneWhoScans</v>
      </c>
      <c r="V301" s="63">
        <f>IFERROR(__xludf.DUMMYFUNCTION("iferror(VALUE(left(index(IMPORTXML(I303, ""//div[@class='col-lg-2 user-stat stat-green']""),2,1),len(index(IMPORTXML(I303, ""//div[@class='col-lg-2 user-stat stat-green']""),2,1))-8)),0)"),0.0)</f>
        <v>0</v>
      </c>
    </row>
    <row r="302" ht="15.0" customHeight="1">
      <c r="A302" s="50">
        <f t="shared" si="9"/>
        <v>295</v>
      </c>
      <c r="B302" s="51" t="str">
        <f t="shared" si="2"/>
        <v>Chilli 🌶️ Killer ☠️ #295 | R17 - C11</v>
      </c>
      <c r="C302" s="52">
        <v>17.0</v>
      </c>
      <c r="D302" s="52">
        <v>11.0</v>
      </c>
      <c r="E302" s="53">
        <v>48.16135231</v>
      </c>
      <c r="F302" s="53">
        <v>17.14457553</v>
      </c>
      <c r="G302" s="54" t="s">
        <v>42</v>
      </c>
      <c r="H302" s="55" t="str">
        <f t="shared" si="12"/>
        <v>Adushka</v>
      </c>
      <c r="I302" s="56" t="s">
        <v>309</v>
      </c>
      <c r="J302" s="57"/>
      <c r="K302" s="58" t="b">
        <v>1</v>
      </c>
      <c r="L302" s="59">
        <f t="shared" si="13"/>
        <v>0</v>
      </c>
      <c r="M302" s="59">
        <f t="shared" si="14"/>
        <v>0</v>
      </c>
      <c r="N302" s="59">
        <f t="shared" si="15"/>
        <v>0</v>
      </c>
      <c r="O302" s="60" t="str">
        <f t="shared" si="16"/>
        <v/>
      </c>
      <c r="P302" s="61" t="str">
        <f>IFERROR(__xludf.DUMMYFUNCTION("IF($N302=1,IFERROR(IMPORTXML($I302, ""//p[@class='status-date']""), ""Not Loading""),"""")"),"")</f>
        <v/>
      </c>
      <c r="Q302" s="65"/>
      <c r="R302" s="65"/>
      <c r="S302" s="65"/>
      <c r="T302" s="65"/>
      <c r="U302" s="62" t="str">
        <f t="shared" si="8"/>
        <v>Adushka</v>
      </c>
      <c r="V302" s="63">
        <f>IFERROR(__xludf.DUMMYFUNCTION("iferror(VALUE(left(index(IMPORTXML(I304, ""//div[@class='col-lg-2 user-stat stat-green']""),2,1),len(index(IMPORTXML(I304, ""//div[@class='col-lg-2 user-stat stat-green']""),2,1))-8)),0)"),0.0)</f>
        <v>0</v>
      </c>
    </row>
    <row r="303" ht="15.0" customHeight="1">
      <c r="A303" s="50">
        <f t="shared" si="9"/>
        <v>296</v>
      </c>
      <c r="B303" s="51" t="str">
        <f t="shared" si="2"/>
        <v>Chilli 🌶️ Killer ☠️ #296 | R17 - C12</v>
      </c>
      <c r="C303" s="52">
        <v>17.0</v>
      </c>
      <c r="D303" s="52">
        <v>12.0</v>
      </c>
      <c r="E303" s="53">
        <v>48.16135231</v>
      </c>
      <c r="F303" s="53">
        <v>17.14479101</v>
      </c>
      <c r="G303" s="54" t="s">
        <v>42</v>
      </c>
      <c r="H303" s="55" t="str">
        <f t="shared" si="12"/>
        <v>Kapor24</v>
      </c>
      <c r="I303" s="56" t="s">
        <v>310</v>
      </c>
      <c r="J303" s="57"/>
      <c r="K303" s="58" t="b">
        <v>1</v>
      </c>
      <c r="L303" s="59">
        <f t="shared" si="13"/>
        <v>0</v>
      </c>
      <c r="M303" s="59">
        <f t="shared" si="14"/>
        <v>0</v>
      </c>
      <c r="N303" s="59">
        <f t="shared" si="15"/>
        <v>0</v>
      </c>
      <c r="O303" s="60" t="str">
        <f t="shared" si="16"/>
        <v/>
      </c>
      <c r="P303" s="61" t="str">
        <f>IFERROR(__xludf.DUMMYFUNCTION("IF($N303=1,IFERROR(IMPORTXML($I303, ""//p[@class='status-date']""), ""Not Loading""),"""")"),"")</f>
        <v/>
      </c>
      <c r="Q303" s="64"/>
      <c r="R303" s="64"/>
      <c r="S303" s="64"/>
      <c r="T303" s="64"/>
      <c r="U303" s="62" t="str">
        <f t="shared" si="8"/>
        <v>Kapor24</v>
      </c>
      <c r="V303" s="63">
        <f>IFERROR(__xludf.DUMMYFUNCTION("iferror(VALUE(left(index(IMPORTXML(I305, ""//div[@class='col-lg-2 user-stat stat-green']""),2,1),len(index(IMPORTXML(I305, ""//div[@class='col-lg-2 user-stat stat-green']""),2,1))-8)),0)"),0.0)</f>
        <v>0</v>
      </c>
    </row>
    <row r="304" ht="15.0" customHeight="1">
      <c r="A304" s="50">
        <f t="shared" si="9"/>
        <v>297</v>
      </c>
      <c r="B304" s="51" t="str">
        <f t="shared" si="2"/>
        <v>Chilli 🌶️ Killer ☠️ #297 | R17 - C13</v>
      </c>
      <c r="C304" s="52">
        <v>17.0</v>
      </c>
      <c r="D304" s="52">
        <v>13.0</v>
      </c>
      <c r="E304" s="53">
        <v>48.16135231</v>
      </c>
      <c r="F304" s="53">
        <v>17.14500649</v>
      </c>
      <c r="G304" s="54" t="s">
        <v>33</v>
      </c>
      <c r="H304" s="55" t="str">
        <f t="shared" si="12"/>
        <v>Insert URL ▶</v>
      </c>
      <c r="I304" s="56"/>
      <c r="J304" s="57"/>
      <c r="K304" s="58" t="b">
        <v>0</v>
      </c>
      <c r="L304" s="59">
        <f t="shared" si="13"/>
        <v>1</v>
      </c>
      <c r="M304" s="59">
        <f t="shared" si="14"/>
        <v>0</v>
      </c>
      <c r="N304" s="59">
        <f t="shared" si="15"/>
        <v>0</v>
      </c>
      <c r="O304" s="60" t="str">
        <f t="shared" si="16"/>
        <v/>
      </c>
      <c r="P304" s="61" t="str">
        <f>IFERROR(__xludf.DUMMYFUNCTION("IF($N304=1,IFERROR(IMPORTXML($I304, ""//p[@class='status-date']""), ""Not Loading""),"""")"),"")</f>
        <v/>
      </c>
      <c r="Q304" s="65"/>
      <c r="R304" s="65"/>
      <c r="S304" s="65"/>
      <c r="T304" s="65"/>
      <c r="U304" s="62" t="str">
        <f t="shared" si="8"/>
        <v/>
      </c>
      <c r="V304" s="63">
        <f>IFERROR(__xludf.DUMMYFUNCTION("iferror(VALUE(left(index(IMPORTXML(I306, ""//div[@class='col-lg-2 user-stat stat-green']""),2,1),len(index(IMPORTXML(I306, ""//div[@class='col-lg-2 user-stat stat-green']""),2,1))-8)),0)"),0.0)</f>
        <v>0</v>
      </c>
    </row>
    <row r="305" ht="15.0" customHeight="1">
      <c r="A305" s="50">
        <f t="shared" si="9"/>
        <v>298</v>
      </c>
      <c r="B305" s="51" t="str">
        <f t="shared" si="2"/>
        <v>Chilli 🌶️ Killer ☠️ #298 | R17 - C14</v>
      </c>
      <c r="C305" s="52">
        <v>17.0</v>
      </c>
      <c r="D305" s="52">
        <v>14.0</v>
      </c>
      <c r="E305" s="53">
        <v>48.16135231</v>
      </c>
      <c r="F305" s="53">
        <v>17.14522196</v>
      </c>
      <c r="G305" s="54" t="s">
        <v>33</v>
      </c>
      <c r="H305" s="55" t="str">
        <f t="shared" si="12"/>
        <v>Insert URL ▶</v>
      </c>
      <c r="I305" s="56"/>
      <c r="J305" s="57"/>
      <c r="K305" s="58" t="b">
        <v>0</v>
      </c>
      <c r="L305" s="59">
        <f t="shared" si="13"/>
        <v>1</v>
      </c>
      <c r="M305" s="59">
        <f t="shared" si="14"/>
        <v>0</v>
      </c>
      <c r="N305" s="59">
        <f t="shared" si="15"/>
        <v>0</v>
      </c>
      <c r="O305" s="60" t="str">
        <f t="shared" si="16"/>
        <v/>
      </c>
      <c r="P305" s="61" t="str">
        <f>IFERROR(__xludf.DUMMYFUNCTION("IF($N305=1,IFERROR(IMPORTXML($I305, ""//p[@class='status-date']""), ""Not Loading""),"""")"),"")</f>
        <v/>
      </c>
      <c r="Q305" s="64"/>
      <c r="R305" s="64"/>
      <c r="S305" s="64"/>
      <c r="T305" s="64"/>
      <c r="U305" s="62" t="str">
        <f t="shared" si="8"/>
        <v/>
      </c>
      <c r="V305" s="63">
        <f>IFERROR(__xludf.DUMMYFUNCTION("iferror(VALUE(left(index(IMPORTXML(I307, ""//div[@class='col-lg-2 user-stat stat-green']""),2,1),len(index(IMPORTXML(I307, ""//div[@class='col-lg-2 user-stat stat-green']""),2,1))-8)),0)"),0.0)</f>
        <v>0</v>
      </c>
    </row>
    <row r="306" ht="15.0" customHeight="1">
      <c r="A306" s="50">
        <f t="shared" si="9"/>
        <v>299</v>
      </c>
      <c r="B306" s="51" t="str">
        <f t="shared" si="2"/>
        <v>Chilli 🌶️ Killer ☠️ #299 | R18 - C4</v>
      </c>
      <c r="C306" s="52">
        <v>18.0</v>
      </c>
      <c r="D306" s="52">
        <v>4.0</v>
      </c>
      <c r="E306" s="53">
        <v>48.16122784</v>
      </c>
      <c r="F306" s="53">
        <v>17.14317493</v>
      </c>
      <c r="G306" s="54" t="s">
        <v>33</v>
      </c>
      <c r="H306" s="55" t="str">
        <f t="shared" si="12"/>
        <v>munzeeprof</v>
      </c>
      <c r="I306" s="56" t="s">
        <v>311</v>
      </c>
      <c r="J306" s="84"/>
      <c r="K306" s="58" t="b">
        <v>1</v>
      </c>
      <c r="L306" s="59">
        <f t="shared" si="13"/>
        <v>0</v>
      </c>
      <c r="M306" s="59">
        <f t="shared" si="14"/>
        <v>0</v>
      </c>
      <c r="N306" s="59">
        <f t="shared" si="15"/>
        <v>0</v>
      </c>
      <c r="O306" s="60" t="str">
        <f t="shared" si="16"/>
        <v/>
      </c>
      <c r="P306" s="61" t="str">
        <f>IFERROR(__xludf.DUMMYFUNCTION("IF($N306=1,IFERROR(IMPORTXML($I306, ""//p[@class='status-date']""), ""Not Loading""),"""")"),"")</f>
        <v/>
      </c>
      <c r="Q306" s="65"/>
      <c r="R306" s="65"/>
      <c r="S306" s="65"/>
      <c r="T306" s="65"/>
      <c r="U306" s="62" t="str">
        <f t="shared" si="8"/>
        <v>munzeeprof</v>
      </c>
      <c r="V306" s="63">
        <f>IFERROR(__xludf.DUMMYFUNCTION("iferror(VALUE(left(index(IMPORTXML(I308, ""//div[@class='col-lg-2 user-stat stat-green']""),2,1),len(index(IMPORTXML(I308, ""//div[@class='col-lg-2 user-stat stat-green']""),2,1))-8)),0)"),0.0)</f>
        <v>0</v>
      </c>
    </row>
    <row r="307" ht="15.0" customHeight="1">
      <c r="A307" s="50">
        <f t="shared" si="9"/>
        <v>300</v>
      </c>
      <c r="B307" s="51" t="str">
        <f t="shared" si="2"/>
        <v>Chilli 🌶️ Killer ☠️ #300 | R18 - C5</v>
      </c>
      <c r="C307" s="52">
        <v>18.0</v>
      </c>
      <c r="D307" s="52">
        <v>5.0</v>
      </c>
      <c r="E307" s="53">
        <v>48.16122784</v>
      </c>
      <c r="F307" s="53">
        <v>17.1433904</v>
      </c>
      <c r="G307" s="54" t="s">
        <v>42</v>
      </c>
      <c r="H307" s="55" t="str">
        <f t="shared" si="12"/>
        <v>mathew611</v>
      </c>
      <c r="I307" s="56" t="s">
        <v>312</v>
      </c>
      <c r="J307" s="57"/>
      <c r="K307" s="58" t="b">
        <v>1</v>
      </c>
      <c r="L307" s="59">
        <f t="shared" si="13"/>
        <v>0</v>
      </c>
      <c r="M307" s="59">
        <f t="shared" si="14"/>
        <v>0</v>
      </c>
      <c r="N307" s="59">
        <f t="shared" si="15"/>
        <v>0</v>
      </c>
      <c r="O307" s="60" t="str">
        <f t="shared" si="16"/>
        <v/>
      </c>
      <c r="P307" s="61" t="str">
        <f>IFERROR(__xludf.DUMMYFUNCTION("IF($N307=1,IFERROR(IMPORTXML($I307, ""//p[@class='status-date']""), ""Not Loading""),"""")"),"")</f>
        <v/>
      </c>
      <c r="Q307" s="64"/>
      <c r="R307" s="64"/>
      <c r="S307" s="64"/>
      <c r="T307" s="64"/>
      <c r="U307" s="62" t="str">
        <f t="shared" si="8"/>
        <v>mathew611</v>
      </c>
      <c r="V307" s="63">
        <f>IFERROR(__xludf.DUMMYFUNCTION("iferror(VALUE(left(index(IMPORTXML(I309, ""//div[@class='col-lg-2 user-stat stat-green']""),2,1),len(index(IMPORTXML(I309, ""//div[@class='col-lg-2 user-stat stat-green']""),2,1))-8)),0)"),0.0)</f>
        <v>0</v>
      </c>
    </row>
    <row r="308" ht="15.0" customHeight="1">
      <c r="A308" s="50">
        <f t="shared" si="9"/>
        <v>301</v>
      </c>
      <c r="B308" s="51" t="str">
        <f t="shared" si="2"/>
        <v>Chilli 🌶️ Killer ☠️ #301 | R18 - C6</v>
      </c>
      <c r="C308" s="52">
        <v>18.0</v>
      </c>
      <c r="D308" s="52">
        <v>6.0</v>
      </c>
      <c r="E308" s="53">
        <v>48.16122784</v>
      </c>
      <c r="F308" s="53">
        <v>17.14360588</v>
      </c>
      <c r="G308" s="54" t="s">
        <v>42</v>
      </c>
      <c r="H308" s="55" t="str">
        <f t="shared" si="12"/>
        <v>29Februaris</v>
      </c>
      <c r="I308" s="56" t="s">
        <v>313</v>
      </c>
      <c r="J308" s="57"/>
      <c r="K308" s="58" t="b">
        <v>1</v>
      </c>
      <c r="L308" s="59">
        <f t="shared" si="13"/>
        <v>0</v>
      </c>
      <c r="M308" s="59">
        <f t="shared" si="14"/>
        <v>0</v>
      </c>
      <c r="N308" s="59">
        <f t="shared" si="15"/>
        <v>0</v>
      </c>
      <c r="O308" s="60" t="str">
        <f t="shared" si="16"/>
        <v/>
      </c>
      <c r="P308" s="61" t="str">
        <f>IFERROR(__xludf.DUMMYFUNCTION("IF($N308=1,IFERROR(IMPORTXML($I308, ""//p[@class='status-date']""), ""Not Loading""),"""")"),"")</f>
        <v/>
      </c>
      <c r="Q308" s="65"/>
      <c r="R308" s="65"/>
      <c r="S308" s="65"/>
      <c r="T308" s="65"/>
      <c r="U308" s="62" t="str">
        <f t="shared" si="8"/>
        <v>29Februaris</v>
      </c>
      <c r="V308" s="63">
        <f>IFERROR(__xludf.DUMMYFUNCTION("iferror(VALUE(left(index(IMPORTXML(I310, ""//div[@class='col-lg-2 user-stat stat-green']""),2,1),len(index(IMPORTXML(I310, ""//div[@class='col-lg-2 user-stat stat-green']""),2,1))-8)),0)"),0.0)</f>
        <v>0</v>
      </c>
    </row>
    <row r="309" ht="15.0" customHeight="1">
      <c r="A309" s="50">
        <f t="shared" si="9"/>
        <v>302</v>
      </c>
      <c r="B309" s="51" t="str">
        <f t="shared" si="2"/>
        <v>Chilli 🌶️ Killer ☠️ #302 | R18 - C7</v>
      </c>
      <c r="C309" s="52">
        <v>18.0</v>
      </c>
      <c r="D309" s="52">
        <v>7.0</v>
      </c>
      <c r="E309" s="53">
        <v>48.16122784</v>
      </c>
      <c r="F309" s="53">
        <v>17.14382136</v>
      </c>
      <c r="G309" s="54" t="s">
        <v>42</v>
      </c>
      <c r="H309" s="55" t="str">
        <f t="shared" si="12"/>
        <v>ZlatanTrip</v>
      </c>
      <c r="I309" s="56" t="s">
        <v>314</v>
      </c>
      <c r="J309" s="57"/>
      <c r="K309" s="58" t="b">
        <v>1</v>
      </c>
      <c r="L309" s="59">
        <f t="shared" si="13"/>
        <v>0</v>
      </c>
      <c r="M309" s="59">
        <f t="shared" si="14"/>
        <v>0</v>
      </c>
      <c r="N309" s="59">
        <f t="shared" si="15"/>
        <v>0</v>
      </c>
      <c r="O309" s="60" t="str">
        <f t="shared" si="16"/>
        <v/>
      </c>
      <c r="P309" s="61" t="str">
        <f>IFERROR(__xludf.DUMMYFUNCTION("IF($N309=1,IFERROR(IMPORTXML($I309, ""//p[@class='status-date']""), ""Not Loading""),"""")"),"")</f>
        <v/>
      </c>
      <c r="Q309" s="64"/>
      <c r="R309" s="64"/>
      <c r="S309" s="64"/>
      <c r="T309" s="64"/>
      <c r="U309" s="62" t="str">
        <f t="shared" si="8"/>
        <v>ZlatanTrip</v>
      </c>
      <c r="V309" s="63">
        <f>IFERROR(__xludf.DUMMYFUNCTION("iferror(VALUE(left(index(IMPORTXML(I311, ""//div[@class='col-lg-2 user-stat stat-green']""),2,1),len(index(IMPORTXML(I311, ""//div[@class='col-lg-2 user-stat stat-green']""),2,1))-8)),0)"),0.0)</f>
        <v>0</v>
      </c>
    </row>
    <row r="310" ht="15.0" customHeight="1">
      <c r="A310" s="50">
        <f t="shared" si="9"/>
        <v>303</v>
      </c>
      <c r="B310" s="51" t="str">
        <f t="shared" si="2"/>
        <v>Chilli 🌶️ Killer ☠️ #303 | R18 - C8</v>
      </c>
      <c r="C310" s="52">
        <v>18.0</v>
      </c>
      <c r="D310" s="52">
        <v>8.0</v>
      </c>
      <c r="E310" s="53">
        <v>48.16122784</v>
      </c>
      <c r="F310" s="53">
        <v>17.14403683</v>
      </c>
      <c r="G310" s="54" t="s">
        <v>42</v>
      </c>
      <c r="H310" s="55" t="str">
        <f t="shared" si="12"/>
        <v>mathew611</v>
      </c>
      <c r="I310" s="56" t="s">
        <v>315</v>
      </c>
      <c r="J310" s="57"/>
      <c r="K310" s="58" t="b">
        <v>1</v>
      </c>
      <c r="L310" s="59">
        <f t="shared" si="13"/>
        <v>0</v>
      </c>
      <c r="M310" s="59">
        <f t="shared" si="14"/>
        <v>0</v>
      </c>
      <c r="N310" s="59">
        <f t="shared" si="15"/>
        <v>0</v>
      </c>
      <c r="O310" s="60" t="str">
        <f t="shared" si="16"/>
        <v/>
      </c>
      <c r="P310" s="61" t="str">
        <f>IFERROR(__xludf.DUMMYFUNCTION("IF($N310=1,IFERROR(IMPORTXML($I310, ""//p[@class='status-date']""), ""Not Loading""),"""")"),"")</f>
        <v/>
      </c>
      <c r="Q310" s="65"/>
      <c r="R310" s="65"/>
      <c r="S310" s="65"/>
      <c r="T310" s="65"/>
      <c r="U310" s="62" t="str">
        <f t="shared" si="8"/>
        <v>mathew611</v>
      </c>
      <c r="V310" s="63">
        <f>IFERROR(__xludf.DUMMYFUNCTION("iferror(VALUE(left(index(IMPORTXML(I312, ""//div[@class='col-lg-2 user-stat stat-green']""),2,1),len(index(IMPORTXML(I312, ""//div[@class='col-lg-2 user-stat stat-green']""),2,1))-8)),0)"),0.0)</f>
        <v>0</v>
      </c>
    </row>
    <row r="311" ht="15.0" customHeight="1">
      <c r="A311" s="50">
        <f t="shared" si="9"/>
        <v>304</v>
      </c>
      <c r="B311" s="51" t="str">
        <f t="shared" si="2"/>
        <v>Chilli 🌶️ Killer ☠️ #304 | R18 - C9</v>
      </c>
      <c r="C311" s="52">
        <v>18.0</v>
      </c>
      <c r="D311" s="52">
        <v>9.0</v>
      </c>
      <c r="E311" s="53">
        <v>48.16122784</v>
      </c>
      <c r="F311" s="53">
        <v>17.14425231</v>
      </c>
      <c r="G311" s="54" t="s">
        <v>42</v>
      </c>
      <c r="H311" s="55" t="str">
        <f t="shared" si="12"/>
        <v>florish</v>
      </c>
      <c r="I311" s="56" t="s">
        <v>316</v>
      </c>
      <c r="J311" s="57"/>
      <c r="K311" s="58" t="b">
        <v>1</v>
      </c>
      <c r="L311" s="59">
        <f t="shared" si="13"/>
        <v>0</v>
      </c>
      <c r="M311" s="59">
        <f t="shared" si="14"/>
        <v>0</v>
      </c>
      <c r="N311" s="59">
        <f t="shared" si="15"/>
        <v>0</v>
      </c>
      <c r="O311" s="60" t="str">
        <f t="shared" si="16"/>
        <v/>
      </c>
      <c r="P311" s="61" t="str">
        <f>IFERROR(__xludf.DUMMYFUNCTION("IF($N311=1,IFERROR(IMPORTXML($I311, ""//p[@class='status-date']""), ""Not Loading""),"""")"),"")</f>
        <v/>
      </c>
      <c r="Q311" s="64"/>
      <c r="R311" s="64"/>
      <c r="S311" s="64"/>
      <c r="T311" s="64"/>
      <c r="U311" s="62" t="str">
        <f t="shared" si="8"/>
        <v>florish</v>
      </c>
      <c r="V311" s="63">
        <f>IFERROR(__xludf.DUMMYFUNCTION("iferror(VALUE(left(index(IMPORTXML(I313, ""//div[@class='col-lg-2 user-stat stat-green']""),2,1),len(index(IMPORTXML(I313, ""//div[@class='col-lg-2 user-stat stat-green']""),2,1))-8)),0)"),0.0)</f>
        <v>0</v>
      </c>
    </row>
    <row r="312" ht="15.0" customHeight="1">
      <c r="A312" s="50">
        <f t="shared" si="9"/>
        <v>305</v>
      </c>
      <c r="B312" s="51" t="str">
        <f t="shared" si="2"/>
        <v>Chilli 🌶️ Killer ☠️ #305 | R18 - C10</v>
      </c>
      <c r="C312" s="52">
        <v>18.0</v>
      </c>
      <c r="D312" s="52">
        <v>10.0</v>
      </c>
      <c r="E312" s="53">
        <v>48.16122784</v>
      </c>
      <c r="F312" s="53">
        <v>17.14446778</v>
      </c>
      <c r="G312" s="54" t="s">
        <v>42</v>
      </c>
      <c r="H312" s="55" t="str">
        <f t="shared" si="12"/>
        <v>Neloras</v>
      </c>
      <c r="I312" s="56" t="s">
        <v>317</v>
      </c>
      <c r="J312" s="57"/>
      <c r="K312" s="58" t="b">
        <v>1</v>
      </c>
      <c r="L312" s="59">
        <f t="shared" si="13"/>
        <v>0</v>
      </c>
      <c r="M312" s="59">
        <f t="shared" si="14"/>
        <v>0</v>
      </c>
      <c r="N312" s="59">
        <f t="shared" si="15"/>
        <v>0</v>
      </c>
      <c r="O312" s="60" t="str">
        <f t="shared" si="16"/>
        <v/>
      </c>
      <c r="P312" s="61" t="str">
        <f>IFERROR(__xludf.DUMMYFUNCTION("IF($N312=1,IFERROR(IMPORTXML($I312, ""//p[@class='status-date']""), ""Not Loading""),"""")"),"")</f>
        <v/>
      </c>
      <c r="Q312" s="65"/>
      <c r="R312" s="65"/>
      <c r="S312" s="65"/>
      <c r="T312" s="65"/>
      <c r="U312" s="62" t="str">
        <f t="shared" si="8"/>
        <v>Neloras</v>
      </c>
      <c r="V312" s="63">
        <f>IFERROR(__xludf.DUMMYFUNCTION("iferror(VALUE(left(index(IMPORTXML(I314, ""//div[@class='col-lg-2 user-stat stat-green']""),2,1),len(index(IMPORTXML(I314, ""//div[@class='col-lg-2 user-stat stat-green']""),2,1))-8)),0)"),0.0)</f>
        <v>0</v>
      </c>
    </row>
    <row r="313" ht="15.0" customHeight="1">
      <c r="A313" s="50">
        <f t="shared" si="9"/>
        <v>306</v>
      </c>
      <c r="B313" s="51" t="str">
        <f t="shared" si="2"/>
        <v>Chilli 🌶️ Killer ☠️ #306 | R18 - C11</v>
      </c>
      <c r="C313" s="52">
        <v>18.0</v>
      </c>
      <c r="D313" s="52">
        <v>11.0</v>
      </c>
      <c r="E313" s="53">
        <v>48.16122784</v>
      </c>
      <c r="F313" s="53">
        <v>17.14468326</v>
      </c>
      <c r="G313" s="54" t="s">
        <v>33</v>
      </c>
      <c r="H313" s="55" t="str">
        <f t="shared" si="12"/>
        <v>KarelVeliky</v>
      </c>
      <c r="I313" s="67" t="s">
        <v>318</v>
      </c>
      <c r="J313" s="57"/>
      <c r="K313" s="58" t="b">
        <v>1</v>
      </c>
      <c r="L313" s="59">
        <f t="shared" si="13"/>
        <v>0</v>
      </c>
      <c r="M313" s="59">
        <f t="shared" si="14"/>
        <v>0</v>
      </c>
      <c r="N313" s="59">
        <f t="shared" si="15"/>
        <v>0</v>
      </c>
      <c r="O313" s="60" t="str">
        <f t="shared" si="16"/>
        <v/>
      </c>
      <c r="P313" s="61" t="str">
        <f>IFERROR(__xludf.DUMMYFUNCTION("IF($N313=1,IFERROR(IMPORTXML($I313, ""//p[@class='status-date']""), ""Not Loading""),"""")"),"")</f>
        <v/>
      </c>
      <c r="Q313" s="64"/>
      <c r="R313" s="64"/>
      <c r="S313" s="64"/>
      <c r="T313" s="64"/>
      <c r="U313" s="62" t="str">
        <f t="shared" si="8"/>
        <v>KarelVeliky</v>
      </c>
      <c r="V313" s="63">
        <f>IFERROR(__xludf.DUMMYFUNCTION("iferror(VALUE(left(index(IMPORTXML(I315, ""//div[@class='col-lg-2 user-stat stat-green']""),2,1),len(index(IMPORTXML(I315, ""//div[@class='col-lg-2 user-stat stat-green']""),2,1))-8)),0)"),0.0)</f>
        <v>0</v>
      </c>
    </row>
    <row r="314" ht="15.0" customHeight="1">
      <c r="A314" s="50">
        <f t="shared" si="9"/>
        <v>307</v>
      </c>
      <c r="B314" s="51" t="str">
        <f t="shared" si="2"/>
        <v>Chilli 🌶️ Killer ☠️ #307 | R18 - C12</v>
      </c>
      <c r="C314" s="52">
        <v>18.0</v>
      </c>
      <c r="D314" s="52">
        <v>12.0</v>
      </c>
      <c r="E314" s="53">
        <v>48.16122784</v>
      </c>
      <c r="F314" s="53">
        <v>17.14489874</v>
      </c>
      <c r="G314" s="54" t="s">
        <v>33</v>
      </c>
      <c r="H314" s="55" t="str">
        <f t="shared" si="12"/>
        <v>Insert URL ▶</v>
      </c>
      <c r="I314" s="56"/>
      <c r="J314" s="57"/>
      <c r="K314" s="58" t="b">
        <v>0</v>
      </c>
      <c r="L314" s="59">
        <f t="shared" si="13"/>
        <v>1</v>
      </c>
      <c r="M314" s="59">
        <f t="shared" si="14"/>
        <v>0</v>
      </c>
      <c r="N314" s="59">
        <f t="shared" si="15"/>
        <v>0</v>
      </c>
      <c r="O314" s="60" t="str">
        <f t="shared" si="16"/>
        <v/>
      </c>
      <c r="P314" s="61" t="str">
        <f>IFERROR(__xludf.DUMMYFUNCTION("IF($N314=1,IFERROR(IMPORTXML($I314, ""//p[@class='status-date']""), ""Not Loading""),"""")"),"")</f>
        <v/>
      </c>
      <c r="Q314" s="65"/>
      <c r="R314" s="65"/>
      <c r="S314" s="65"/>
      <c r="T314" s="65"/>
      <c r="U314" s="62" t="str">
        <f t="shared" si="8"/>
        <v/>
      </c>
      <c r="V314" s="63">
        <f>IFERROR(__xludf.DUMMYFUNCTION("iferror(VALUE(left(index(IMPORTXML(I316, ""//div[@class='col-lg-2 user-stat stat-green']""),2,1),len(index(IMPORTXML(I316, ""//div[@class='col-lg-2 user-stat stat-green']""),2,1))-8)),0)"),0.0)</f>
        <v>0</v>
      </c>
    </row>
    <row r="315" ht="15.0" customHeight="1">
      <c r="A315" s="50">
        <f t="shared" si="9"/>
        <v>308</v>
      </c>
      <c r="B315" s="51" t="str">
        <f t="shared" si="2"/>
        <v>Chilli 🌶️ Killer ☠️ #308 | R19 - C4</v>
      </c>
      <c r="C315" s="52">
        <v>19.0</v>
      </c>
      <c r="D315" s="52">
        <v>4.0</v>
      </c>
      <c r="E315" s="53">
        <v>48.16110336</v>
      </c>
      <c r="F315" s="53">
        <v>17.14306718</v>
      </c>
      <c r="G315" s="54" t="s">
        <v>33</v>
      </c>
      <c r="H315" s="55" t="str">
        <f t="shared" si="12"/>
        <v>florish</v>
      </c>
      <c r="I315" s="56" t="s">
        <v>319</v>
      </c>
      <c r="J315" s="57"/>
      <c r="K315" s="58" t="b">
        <v>1</v>
      </c>
      <c r="L315" s="59">
        <f t="shared" si="13"/>
        <v>0</v>
      </c>
      <c r="M315" s="59">
        <f t="shared" si="14"/>
        <v>0</v>
      </c>
      <c r="N315" s="59">
        <f t="shared" si="15"/>
        <v>0</v>
      </c>
      <c r="O315" s="60" t="str">
        <f t="shared" si="16"/>
        <v/>
      </c>
      <c r="P315" s="61" t="str">
        <f>IFERROR(__xludf.DUMMYFUNCTION("IF($N315=1,IFERROR(IMPORTXML($I315, ""//p[@class='status-date']""), ""Not Loading""),"""")"),"")</f>
        <v/>
      </c>
      <c r="Q315" s="64"/>
      <c r="R315" s="64"/>
      <c r="S315" s="64"/>
      <c r="T315" s="64"/>
      <c r="U315" s="62" t="str">
        <f t="shared" si="8"/>
        <v>florish</v>
      </c>
      <c r="V315" s="63">
        <f>IFERROR(__xludf.DUMMYFUNCTION("iferror(VALUE(left(index(IMPORTXML(I317, ""//div[@class='col-lg-2 user-stat stat-green']""),2,1),len(index(IMPORTXML(I317, ""//div[@class='col-lg-2 user-stat stat-green']""),2,1))-8)),0)"),0.0)</f>
        <v>0</v>
      </c>
    </row>
    <row r="316" ht="15.0" customHeight="1">
      <c r="A316" s="50">
        <f t="shared" si="9"/>
        <v>309</v>
      </c>
      <c r="B316" s="51" t="str">
        <f t="shared" si="2"/>
        <v>Chilli 🌶️ Killer ☠️ #309 | R19 - C5</v>
      </c>
      <c r="C316" s="52">
        <v>19.0</v>
      </c>
      <c r="D316" s="52">
        <v>5.0</v>
      </c>
      <c r="E316" s="53">
        <v>48.16110336</v>
      </c>
      <c r="F316" s="53">
        <v>17.14328266</v>
      </c>
      <c r="G316" s="54" t="s">
        <v>42</v>
      </c>
      <c r="H316" s="55" t="str">
        <f t="shared" si="12"/>
        <v>Neloras</v>
      </c>
      <c r="I316" s="56" t="s">
        <v>320</v>
      </c>
      <c r="J316" s="57"/>
      <c r="K316" s="58" t="b">
        <v>1</v>
      </c>
      <c r="L316" s="59">
        <f t="shared" si="13"/>
        <v>0</v>
      </c>
      <c r="M316" s="59">
        <f t="shared" si="14"/>
        <v>0</v>
      </c>
      <c r="N316" s="59">
        <f t="shared" si="15"/>
        <v>0</v>
      </c>
      <c r="O316" s="60" t="str">
        <f t="shared" si="16"/>
        <v/>
      </c>
      <c r="P316" s="61" t="str">
        <f>IFERROR(__xludf.DUMMYFUNCTION("IF($N316=1,IFERROR(IMPORTXML($I316, ""//p[@class='status-date']""), ""Not Loading""),"""")"),"")</f>
        <v/>
      </c>
      <c r="Q316" s="65"/>
      <c r="R316" s="65"/>
      <c r="S316" s="65"/>
      <c r="T316" s="65"/>
      <c r="U316" s="62" t="str">
        <f t="shared" si="8"/>
        <v>Neloras</v>
      </c>
      <c r="V316" s="63">
        <f>IFERROR(__xludf.DUMMYFUNCTION("iferror(VALUE(left(index(IMPORTXML(I318, ""//div[@class='col-lg-2 user-stat stat-green']""),2,1),len(index(IMPORTXML(I318, ""//div[@class='col-lg-2 user-stat stat-green']""),2,1))-8)),0)"),0.0)</f>
        <v>0</v>
      </c>
    </row>
    <row r="317" ht="15.0" customHeight="1">
      <c r="A317" s="50">
        <f t="shared" si="9"/>
        <v>310</v>
      </c>
      <c r="B317" s="51" t="str">
        <f t="shared" si="2"/>
        <v>Chilli 🌶️ Killer ☠️ #310 | R19 - C6</v>
      </c>
      <c r="C317" s="52">
        <v>19.0</v>
      </c>
      <c r="D317" s="52">
        <v>6.0</v>
      </c>
      <c r="E317" s="53">
        <v>48.16110336</v>
      </c>
      <c r="F317" s="53">
        <v>17.14349813</v>
      </c>
      <c r="G317" s="54" t="s">
        <v>42</v>
      </c>
      <c r="H317" s="55" t="str">
        <f t="shared" si="12"/>
        <v>Charonovci</v>
      </c>
      <c r="I317" s="56" t="s">
        <v>321</v>
      </c>
      <c r="J317" s="57"/>
      <c r="K317" s="58" t="b">
        <v>1</v>
      </c>
      <c r="L317" s="59">
        <f t="shared" si="13"/>
        <v>0</v>
      </c>
      <c r="M317" s="59">
        <f t="shared" si="14"/>
        <v>0</v>
      </c>
      <c r="N317" s="59">
        <f t="shared" si="15"/>
        <v>0</v>
      </c>
      <c r="O317" s="60" t="str">
        <f t="shared" si="16"/>
        <v/>
      </c>
      <c r="P317" s="61" t="str">
        <f>IFERROR(__xludf.DUMMYFUNCTION("IF($N317=1,IFERROR(IMPORTXML($I317, ""//p[@class='status-date']""), ""Not Loading""),"""")"),"")</f>
        <v/>
      </c>
      <c r="Q317" s="64"/>
      <c r="R317" s="64"/>
      <c r="S317" s="64"/>
      <c r="T317" s="64"/>
      <c r="U317" s="62" t="str">
        <f t="shared" si="8"/>
        <v>Charonovci</v>
      </c>
      <c r="V317" s="63">
        <f>IFERROR(__xludf.DUMMYFUNCTION("iferror(VALUE(left(index(IMPORTXML(I319, ""//div[@class='col-lg-2 user-stat stat-green']""),2,1),len(index(IMPORTXML(I319, ""//div[@class='col-lg-2 user-stat stat-green']""),2,1))-8)),0)"),0.0)</f>
        <v>0</v>
      </c>
    </row>
    <row r="318" ht="15.0" customHeight="1">
      <c r="A318" s="50">
        <f t="shared" si="9"/>
        <v>311</v>
      </c>
      <c r="B318" s="51" t="str">
        <f t="shared" si="2"/>
        <v>Chilli 🌶️ Killer ☠️ #311 | R19 - C7</v>
      </c>
      <c r="C318" s="52">
        <v>19.0</v>
      </c>
      <c r="D318" s="52">
        <v>7.0</v>
      </c>
      <c r="E318" s="53">
        <v>48.16110336</v>
      </c>
      <c r="F318" s="53">
        <v>17.14371361</v>
      </c>
      <c r="G318" s="54" t="s">
        <v>42</v>
      </c>
      <c r="H318" s="55" t="str">
        <f t="shared" si="12"/>
        <v>EeveeFox</v>
      </c>
      <c r="I318" s="56" t="s">
        <v>322</v>
      </c>
      <c r="J318" s="57"/>
      <c r="K318" s="58" t="b">
        <v>1</v>
      </c>
      <c r="L318" s="59">
        <f t="shared" si="13"/>
        <v>0</v>
      </c>
      <c r="M318" s="59">
        <f t="shared" si="14"/>
        <v>0</v>
      </c>
      <c r="N318" s="59">
        <f t="shared" si="15"/>
        <v>0</v>
      </c>
      <c r="O318" s="60" t="str">
        <f t="shared" si="16"/>
        <v/>
      </c>
      <c r="P318" s="61" t="str">
        <f>IFERROR(__xludf.DUMMYFUNCTION("IF($N318=1,IFERROR(IMPORTXML($I318, ""//p[@class='status-date']""), ""Not Loading""),"""")"),"")</f>
        <v/>
      </c>
      <c r="Q318" s="65"/>
      <c r="R318" s="65"/>
      <c r="S318" s="65"/>
      <c r="T318" s="65"/>
      <c r="U318" s="62" t="str">
        <f t="shared" si="8"/>
        <v>EeveeFox</v>
      </c>
      <c r="V318" s="63">
        <f>IFERROR(__xludf.DUMMYFUNCTION("iferror(VALUE(left(index(IMPORTXML(I320, ""//div[@class='col-lg-2 user-stat stat-green']""),2,1),len(index(IMPORTXML(I320, ""//div[@class='col-lg-2 user-stat stat-green']""),2,1))-8)),0)"),0.0)</f>
        <v>0</v>
      </c>
    </row>
    <row r="319" ht="15.0" customHeight="1">
      <c r="A319" s="50">
        <f t="shared" si="9"/>
        <v>312</v>
      </c>
      <c r="B319" s="51" t="str">
        <f t="shared" si="2"/>
        <v>Chilli 🌶️ Killer ☠️ #312 | R19 - C8</v>
      </c>
      <c r="C319" s="52">
        <v>19.0</v>
      </c>
      <c r="D319" s="52">
        <v>8.0</v>
      </c>
      <c r="E319" s="53">
        <v>48.16110336</v>
      </c>
      <c r="F319" s="53">
        <v>17.14392908</v>
      </c>
      <c r="G319" s="54" t="s">
        <v>42</v>
      </c>
      <c r="H319" s="55" t="str">
        <f t="shared" si="12"/>
        <v>MacickaLizza</v>
      </c>
      <c r="I319" s="56" t="s">
        <v>323</v>
      </c>
      <c r="J319" s="57"/>
      <c r="K319" s="58" t="b">
        <v>1</v>
      </c>
      <c r="L319" s="59">
        <f t="shared" si="13"/>
        <v>0</v>
      </c>
      <c r="M319" s="59">
        <f t="shared" si="14"/>
        <v>0</v>
      </c>
      <c r="N319" s="59">
        <f t="shared" si="15"/>
        <v>0</v>
      </c>
      <c r="O319" s="60" t="str">
        <f t="shared" si="16"/>
        <v/>
      </c>
      <c r="P319" s="61" t="str">
        <f>IFERROR(__xludf.DUMMYFUNCTION("IF($N319=1,IFERROR(IMPORTXML($I319, ""//p[@class='status-date']""), ""Not Loading""),"""")"),"")</f>
        <v/>
      </c>
      <c r="Q319" s="64"/>
      <c r="R319" s="64"/>
      <c r="S319" s="64"/>
      <c r="T319" s="64"/>
      <c r="U319" s="62" t="str">
        <f t="shared" si="8"/>
        <v>MacickaLizza</v>
      </c>
      <c r="V319" s="63">
        <f>IFERROR(__xludf.DUMMYFUNCTION("iferror(VALUE(left(index(IMPORTXML(I321, ""//div[@class='col-lg-2 user-stat stat-green']""),2,1),len(index(IMPORTXML(I321, ""//div[@class='col-lg-2 user-stat stat-green']""),2,1))-8)),0)"),0.0)</f>
        <v>0</v>
      </c>
    </row>
    <row r="320" ht="15.0" customHeight="1">
      <c r="A320" s="50">
        <f t="shared" si="9"/>
        <v>313</v>
      </c>
      <c r="B320" s="51" t="str">
        <f t="shared" si="2"/>
        <v>Chilli 🌶️ Killer ☠️ #313 | R19 - C9</v>
      </c>
      <c r="C320" s="52">
        <v>19.0</v>
      </c>
      <c r="D320" s="52">
        <v>9.0</v>
      </c>
      <c r="E320" s="53">
        <v>48.16110336</v>
      </c>
      <c r="F320" s="53">
        <v>17.14414456</v>
      </c>
      <c r="G320" s="54" t="s">
        <v>42</v>
      </c>
      <c r="H320" s="55" t="str">
        <f t="shared" si="12"/>
        <v>Charonovci</v>
      </c>
      <c r="I320" s="56" t="s">
        <v>324</v>
      </c>
      <c r="J320" s="57"/>
      <c r="K320" s="58" t="b">
        <v>1</v>
      </c>
      <c r="L320" s="59">
        <f t="shared" si="13"/>
        <v>0</v>
      </c>
      <c r="M320" s="59">
        <f t="shared" si="14"/>
        <v>0</v>
      </c>
      <c r="N320" s="59">
        <f t="shared" si="15"/>
        <v>0</v>
      </c>
      <c r="O320" s="60" t="str">
        <f t="shared" si="16"/>
        <v/>
      </c>
      <c r="P320" s="61" t="str">
        <f>IFERROR(__xludf.DUMMYFUNCTION("IF($N320=1,IFERROR(IMPORTXML($I320, ""//p[@class='status-date']""), ""Not Loading""),"""")"),"")</f>
        <v/>
      </c>
      <c r="Q320" s="65"/>
      <c r="R320" s="65"/>
      <c r="S320" s="65"/>
      <c r="T320" s="65"/>
      <c r="U320" s="62" t="str">
        <f t="shared" si="8"/>
        <v>Charonovci</v>
      </c>
      <c r="V320" s="63">
        <f>IFERROR(__xludf.DUMMYFUNCTION("iferror(VALUE(left(index(IMPORTXML(I322, ""//div[@class='col-lg-2 user-stat stat-green']""),2,1),len(index(IMPORTXML(I322, ""//div[@class='col-lg-2 user-stat stat-green']""),2,1))-8)),0)"),0.0)</f>
        <v>0</v>
      </c>
    </row>
    <row r="321" ht="15.0" customHeight="1">
      <c r="A321" s="50">
        <f t="shared" si="9"/>
        <v>314</v>
      </c>
      <c r="B321" s="51" t="str">
        <f t="shared" si="2"/>
        <v>Chilli 🌶️ Killer ☠️ #314 | R19 - C10</v>
      </c>
      <c r="C321" s="52">
        <v>19.0</v>
      </c>
      <c r="D321" s="52">
        <v>10.0</v>
      </c>
      <c r="E321" s="53">
        <v>48.16110336</v>
      </c>
      <c r="F321" s="53">
        <v>17.14436004</v>
      </c>
      <c r="G321" s="54" t="s">
        <v>42</v>
      </c>
      <c r="H321" s="55" t="str">
        <f t="shared" si="12"/>
        <v>Nicolet</v>
      </c>
      <c r="I321" s="56" t="s">
        <v>325</v>
      </c>
      <c r="J321" s="57"/>
      <c r="K321" s="58" t="b">
        <v>1</v>
      </c>
      <c r="L321" s="59">
        <f t="shared" si="13"/>
        <v>0</v>
      </c>
      <c r="M321" s="59">
        <f t="shared" si="14"/>
        <v>0</v>
      </c>
      <c r="N321" s="59">
        <f t="shared" si="15"/>
        <v>0</v>
      </c>
      <c r="O321" s="60" t="str">
        <f t="shared" si="16"/>
        <v/>
      </c>
      <c r="P321" s="61" t="str">
        <f>IFERROR(__xludf.DUMMYFUNCTION("IF($N321=1,IFERROR(IMPORTXML($I321, ""//p[@class='status-date']""), ""Not Loading""),"""")"),"")</f>
        <v/>
      </c>
      <c r="Q321" s="64"/>
      <c r="R321" s="64"/>
      <c r="S321" s="64"/>
      <c r="T321" s="64"/>
      <c r="U321" s="62" t="str">
        <f t="shared" si="8"/>
        <v>Nicolet</v>
      </c>
      <c r="V321" s="63">
        <f>IFERROR(__xludf.DUMMYFUNCTION("iferror(VALUE(left(index(IMPORTXML(I323, ""//div[@class='col-lg-2 user-stat stat-green']""),2,1),len(index(IMPORTXML(I323, ""//div[@class='col-lg-2 user-stat stat-green']""),2,1))-8)),0)"),0.0)</f>
        <v>0</v>
      </c>
    </row>
    <row r="322" ht="15.0" customHeight="1">
      <c r="A322" s="50">
        <f t="shared" si="9"/>
        <v>315</v>
      </c>
      <c r="B322" s="51" t="str">
        <f t="shared" si="2"/>
        <v>Chilli 🌶️ Killer ☠️ #315 | R19 - C11</v>
      </c>
      <c r="C322" s="52">
        <v>19.0</v>
      </c>
      <c r="D322" s="52">
        <v>11.0</v>
      </c>
      <c r="E322" s="53">
        <v>48.16110336</v>
      </c>
      <c r="F322" s="53">
        <v>17.14457551</v>
      </c>
      <c r="G322" s="54" t="s">
        <v>33</v>
      </c>
      <c r="H322" s="55" t="str">
        <f t="shared" si="12"/>
        <v>Insert URL ▶</v>
      </c>
      <c r="I322" s="56"/>
      <c r="J322" s="57"/>
      <c r="K322" s="58" t="b">
        <v>0</v>
      </c>
      <c r="L322" s="59">
        <f t="shared" si="13"/>
        <v>1</v>
      </c>
      <c r="M322" s="59">
        <f t="shared" si="14"/>
        <v>0</v>
      </c>
      <c r="N322" s="59">
        <f t="shared" si="15"/>
        <v>0</v>
      </c>
      <c r="O322" s="60" t="str">
        <f t="shared" si="16"/>
        <v/>
      </c>
      <c r="P322" s="61" t="str">
        <f>IFERROR(__xludf.DUMMYFUNCTION("IF($N322=1,IFERROR(IMPORTXML($I322, ""//p[@class='status-date']""), ""Not Loading""),"""")"),"")</f>
        <v/>
      </c>
      <c r="Q322" s="65"/>
      <c r="R322" s="65"/>
      <c r="S322" s="65"/>
      <c r="T322" s="65"/>
      <c r="U322" s="62" t="str">
        <f t="shared" si="8"/>
        <v/>
      </c>
      <c r="V322" s="63">
        <f>IFERROR(__xludf.DUMMYFUNCTION("iferror(VALUE(left(index(IMPORTXML(I324, ""//div[@class='col-lg-2 user-stat stat-green']""),2,1),len(index(IMPORTXML(I324, ""//div[@class='col-lg-2 user-stat stat-green']""),2,1))-8)),0)"),0.0)</f>
        <v>0</v>
      </c>
    </row>
    <row r="323" ht="15.0" customHeight="1">
      <c r="A323" s="50">
        <f t="shared" si="9"/>
        <v>316</v>
      </c>
      <c r="B323" s="51" t="str">
        <f t="shared" si="2"/>
        <v>Chilli 🌶️ Killer ☠️ #316 | R20 - C4</v>
      </c>
      <c r="C323" s="52">
        <v>20.0</v>
      </c>
      <c r="D323" s="52">
        <v>4.0</v>
      </c>
      <c r="E323" s="53">
        <v>48.16097889</v>
      </c>
      <c r="F323" s="53">
        <v>17.14317491</v>
      </c>
      <c r="G323" s="54" t="s">
        <v>33</v>
      </c>
      <c r="H323" s="55" t="str">
        <f t="shared" si="12"/>
        <v>and2470</v>
      </c>
      <c r="I323" s="56" t="s">
        <v>326</v>
      </c>
      <c r="J323" s="57"/>
      <c r="K323" s="58" t="b">
        <v>1</v>
      </c>
      <c r="L323" s="59">
        <f t="shared" si="13"/>
        <v>0</v>
      </c>
      <c r="M323" s="59">
        <f t="shared" si="14"/>
        <v>0</v>
      </c>
      <c r="N323" s="59">
        <f t="shared" si="15"/>
        <v>0</v>
      </c>
      <c r="O323" s="60" t="str">
        <f t="shared" si="16"/>
        <v/>
      </c>
      <c r="P323" s="61" t="str">
        <f>IFERROR(__xludf.DUMMYFUNCTION("IF($N323=1,IFERROR(IMPORTXML($I323, ""//p[@class='status-date']""), ""Not Loading""),"""")"),"")</f>
        <v/>
      </c>
      <c r="Q323" s="64"/>
      <c r="R323" s="64"/>
      <c r="S323" s="64"/>
      <c r="T323" s="64"/>
      <c r="U323" s="62" t="str">
        <f t="shared" si="8"/>
        <v>and2470</v>
      </c>
      <c r="V323" s="63">
        <f>IFERROR(__xludf.DUMMYFUNCTION("iferror(VALUE(left(index(IMPORTXML(I325, ""//div[@class='col-lg-2 user-stat stat-green']""),2,1),len(index(IMPORTXML(I325, ""//div[@class='col-lg-2 user-stat stat-green']""),2,1))-8)),0)"),0.0)</f>
        <v>0</v>
      </c>
    </row>
    <row r="324" ht="15.0" customHeight="1">
      <c r="A324" s="50">
        <f t="shared" si="9"/>
        <v>317</v>
      </c>
      <c r="B324" s="51" t="str">
        <f t="shared" si="2"/>
        <v>Chilli 🌶️ Killer ☠️ #317 | R20 - C5</v>
      </c>
      <c r="C324" s="52">
        <v>20.0</v>
      </c>
      <c r="D324" s="52">
        <v>5.0</v>
      </c>
      <c r="E324" s="53">
        <v>48.16097889</v>
      </c>
      <c r="F324" s="53">
        <v>17.14339039</v>
      </c>
      <c r="G324" s="54" t="s">
        <v>42</v>
      </c>
      <c r="H324" s="55" t="str">
        <f t="shared" si="12"/>
        <v>Kapor24</v>
      </c>
      <c r="I324" s="56" t="s">
        <v>327</v>
      </c>
      <c r="J324" s="57"/>
      <c r="K324" s="58" t="b">
        <v>1</v>
      </c>
      <c r="L324" s="59">
        <f t="shared" si="13"/>
        <v>0</v>
      </c>
      <c r="M324" s="59">
        <f t="shared" si="14"/>
        <v>0</v>
      </c>
      <c r="N324" s="59">
        <f t="shared" si="15"/>
        <v>0</v>
      </c>
      <c r="O324" s="60" t="str">
        <f t="shared" si="16"/>
        <v/>
      </c>
      <c r="P324" s="61" t="str">
        <f>IFERROR(__xludf.DUMMYFUNCTION("IF($N324=1,IFERROR(IMPORTXML($I324, ""//p[@class='status-date']""), ""Not Loading""),"""")"),"")</f>
        <v/>
      </c>
      <c r="Q324" s="65"/>
      <c r="R324" s="65"/>
      <c r="S324" s="65"/>
      <c r="T324" s="65"/>
      <c r="U324" s="62" t="str">
        <f t="shared" si="8"/>
        <v>Kapor24</v>
      </c>
      <c r="V324" s="63">
        <f>IFERROR(__xludf.DUMMYFUNCTION("iferror(VALUE(left(index(IMPORTXML(I326, ""//div[@class='col-lg-2 user-stat stat-green']""),2,1),len(index(IMPORTXML(I326, ""//div[@class='col-lg-2 user-stat stat-green']""),2,1))-8)),0)"),0.0)</f>
        <v>0</v>
      </c>
    </row>
    <row r="325" ht="15.0" customHeight="1">
      <c r="A325" s="50">
        <f t="shared" si="9"/>
        <v>318</v>
      </c>
      <c r="B325" s="51" t="str">
        <f t="shared" si="2"/>
        <v>Chilli 🌶️ Killer ☠️ #318 | R20 - C6</v>
      </c>
      <c r="C325" s="52">
        <v>20.0</v>
      </c>
      <c r="D325" s="52">
        <v>6.0</v>
      </c>
      <c r="E325" s="53">
        <v>48.16097889</v>
      </c>
      <c r="F325" s="53">
        <v>17.14360586</v>
      </c>
      <c r="G325" s="54" t="s">
        <v>42</v>
      </c>
      <c r="H325" s="55" t="str">
        <f t="shared" si="12"/>
        <v>jurikvandspol</v>
      </c>
      <c r="I325" s="56" t="s">
        <v>328</v>
      </c>
      <c r="J325" s="57"/>
      <c r="K325" s="58" t="b">
        <v>1</v>
      </c>
      <c r="L325" s="59">
        <f t="shared" si="13"/>
        <v>0</v>
      </c>
      <c r="M325" s="59">
        <f t="shared" si="14"/>
        <v>0</v>
      </c>
      <c r="N325" s="59">
        <f t="shared" si="15"/>
        <v>0</v>
      </c>
      <c r="O325" s="60" t="str">
        <f t="shared" si="16"/>
        <v/>
      </c>
      <c r="P325" s="61" t="str">
        <f>IFERROR(__xludf.DUMMYFUNCTION("IF($N325=1,IFERROR(IMPORTXML($I325, ""//p[@class='status-date']""), ""Not Loading""),"""")"),"")</f>
        <v/>
      </c>
      <c r="Q325" s="64"/>
      <c r="R325" s="64"/>
      <c r="S325" s="64"/>
      <c r="T325" s="64"/>
      <c r="U325" s="62" t="str">
        <f t="shared" si="8"/>
        <v>jurikvandspol</v>
      </c>
      <c r="V325" s="63">
        <f>IFERROR(__xludf.DUMMYFUNCTION("iferror(VALUE(left(index(IMPORTXML(I327, ""//div[@class='col-lg-2 user-stat stat-green']""),2,1),len(index(IMPORTXML(I327, ""//div[@class='col-lg-2 user-stat stat-green']""),2,1))-8)),0)"),0.0)</f>
        <v>0</v>
      </c>
    </row>
    <row r="326" ht="15.0" customHeight="1">
      <c r="A326" s="50">
        <f t="shared" si="9"/>
        <v>319</v>
      </c>
      <c r="B326" s="51" t="str">
        <f t="shared" si="2"/>
        <v>Chilli 🌶️ Killer ☠️ #319 | R20 - C7</v>
      </c>
      <c r="C326" s="52">
        <v>20.0</v>
      </c>
      <c r="D326" s="52">
        <v>7.0</v>
      </c>
      <c r="E326" s="53">
        <v>48.16097889</v>
      </c>
      <c r="F326" s="53">
        <v>17.14382134</v>
      </c>
      <c r="G326" s="54" t="s">
        <v>42</v>
      </c>
      <c r="H326" s="55" t="str">
        <f t="shared" si="12"/>
        <v>and2470</v>
      </c>
      <c r="I326" s="56" t="s">
        <v>329</v>
      </c>
      <c r="J326" s="57"/>
      <c r="K326" s="58" t="b">
        <v>1</v>
      </c>
      <c r="L326" s="59">
        <f t="shared" si="13"/>
        <v>0</v>
      </c>
      <c r="M326" s="59">
        <f t="shared" si="14"/>
        <v>0</v>
      </c>
      <c r="N326" s="59">
        <f t="shared" si="15"/>
        <v>0</v>
      </c>
      <c r="O326" s="60" t="str">
        <f t="shared" si="16"/>
        <v/>
      </c>
      <c r="P326" s="61" t="str">
        <f>IFERROR(__xludf.DUMMYFUNCTION("IF($N326=1,IFERROR(IMPORTXML($I326, ""//p[@class='status-date']""), ""Not Loading""),"""")"),"")</f>
        <v/>
      </c>
      <c r="Q326" s="65"/>
      <c r="R326" s="65"/>
      <c r="S326" s="65"/>
      <c r="T326" s="65"/>
      <c r="U326" s="62" t="str">
        <f t="shared" si="8"/>
        <v>and2470</v>
      </c>
      <c r="V326" s="63">
        <f>IFERROR(__xludf.DUMMYFUNCTION("iferror(VALUE(left(index(IMPORTXML(I328, ""//div[@class='col-lg-2 user-stat stat-green']""),2,1),len(index(IMPORTXML(I328, ""//div[@class='col-lg-2 user-stat stat-green']""),2,1))-8)),0)"),0.0)</f>
        <v>0</v>
      </c>
    </row>
    <row r="327" ht="15.0" customHeight="1">
      <c r="A327" s="50">
        <f t="shared" si="9"/>
        <v>320</v>
      </c>
      <c r="B327" s="51" t="str">
        <f t="shared" si="2"/>
        <v>Chilli 🌶️ Killer ☠️ #320 | R20 - C8</v>
      </c>
      <c r="C327" s="52">
        <v>20.0</v>
      </c>
      <c r="D327" s="52">
        <v>8.0</v>
      </c>
      <c r="E327" s="53">
        <v>48.16097889</v>
      </c>
      <c r="F327" s="53">
        <v>17.14403681</v>
      </c>
      <c r="G327" s="54" t="s">
        <v>42</v>
      </c>
      <c r="H327" s="55" t="str">
        <f t="shared" si="12"/>
        <v>Kapor24</v>
      </c>
      <c r="I327" s="56" t="s">
        <v>330</v>
      </c>
      <c r="J327" s="57"/>
      <c r="K327" s="58" t="b">
        <v>1</v>
      </c>
      <c r="L327" s="59">
        <f t="shared" si="13"/>
        <v>0</v>
      </c>
      <c r="M327" s="59">
        <f t="shared" si="14"/>
        <v>0</v>
      </c>
      <c r="N327" s="59">
        <f t="shared" si="15"/>
        <v>0</v>
      </c>
      <c r="O327" s="60" t="str">
        <f t="shared" si="16"/>
        <v/>
      </c>
      <c r="P327" s="61" t="str">
        <f>IFERROR(__xludf.DUMMYFUNCTION("IF($N327=1,IFERROR(IMPORTXML($I327, ""//p[@class='status-date']""), ""Not Loading""),"""")"),"")</f>
        <v/>
      </c>
      <c r="Q327" s="64"/>
      <c r="R327" s="64"/>
      <c r="S327" s="64"/>
      <c r="T327" s="64"/>
      <c r="U327" s="62" t="str">
        <f t="shared" si="8"/>
        <v>Kapor24</v>
      </c>
      <c r="V327" s="63">
        <f>IFERROR(__xludf.DUMMYFUNCTION("iferror(VALUE(left(index(IMPORTXML(I329, ""//div[@class='col-lg-2 user-stat stat-green']""),2,1),len(index(IMPORTXML(I329, ""//div[@class='col-lg-2 user-stat stat-green']""),2,1))-8)),0)"),0.0)</f>
        <v>0</v>
      </c>
    </row>
    <row r="328" ht="15.0" customHeight="1">
      <c r="A328" s="50">
        <f t="shared" si="9"/>
        <v>321</v>
      </c>
      <c r="B328" s="51" t="str">
        <f t="shared" si="2"/>
        <v>Chilli 🌶️ Killer ☠️ #321 | R20 - C9</v>
      </c>
      <c r="C328" s="52">
        <v>20.0</v>
      </c>
      <c r="D328" s="52">
        <v>9.0</v>
      </c>
      <c r="E328" s="53">
        <v>48.16097889</v>
      </c>
      <c r="F328" s="53">
        <v>17.14425229</v>
      </c>
      <c r="G328" s="54" t="s">
        <v>33</v>
      </c>
      <c r="H328" s="55" t="str">
        <f t="shared" si="12"/>
        <v>Insert URL ▶</v>
      </c>
      <c r="I328" s="56"/>
      <c r="J328" s="57"/>
      <c r="K328" s="58" t="b">
        <v>0</v>
      </c>
      <c r="L328" s="59">
        <f t="shared" si="13"/>
        <v>1</v>
      </c>
      <c r="M328" s="59">
        <f t="shared" si="14"/>
        <v>0</v>
      </c>
      <c r="N328" s="59">
        <f t="shared" si="15"/>
        <v>0</v>
      </c>
      <c r="O328" s="60" t="str">
        <f t="shared" si="16"/>
        <v/>
      </c>
      <c r="P328" s="61" t="str">
        <f>IFERROR(__xludf.DUMMYFUNCTION("IF($N328=1,IFERROR(IMPORTXML($I328, ""//p[@class='status-date']""), ""Not Loading""),"""")"),"")</f>
        <v/>
      </c>
      <c r="Q328" s="65"/>
      <c r="R328" s="65"/>
      <c r="S328" s="65"/>
      <c r="T328" s="65"/>
      <c r="U328" s="62" t="str">
        <f t="shared" si="8"/>
        <v/>
      </c>
      <c r="V328" s="63">
        <f>IFERROR(__xludf.DUMMYFUNCTION("iferror(VALUE(left(index(IMPORTXML(I330, ""//div[@class='col-lg-2 user-stat stat-green']""),2,1),len(index(IMPORTXML(I330, ""//div[@class='col-lg-2 user-stat stat-green']""),2,1))-8)),0)"),0.0)</f>
        <v>0</v>
      </c>
    </row>
    <row r="329" ht="15.0" customHeight="1">
      <c r="A329" s="50">
        <f t="shared" si="9"/>
        <v>322</v>
      </c>
      <c r="B329" s="51" t="str">
        <f t="shared" si="2"/>
        <v>Chilli 🌶️ Killer ☠️ #322 | R20 - C10</v>
      </c>
      <c r="C329" s="52">
        <v>20.0</v>
      </c>
      <c r="D329" s="52">
        <v>10.0</v>
      </c>
      <c r="E329" s="53">
        <v>48.16097889</v>
      </c>
      <c r="F329" s="53">
        <v>17.14446776</v>
      </c>
      <c r="G329" s="54" t="s">
        <v>33</v>
      </c>
      <c r="H329" s="55" t="str">
        <f t="shared" si="12"/>
        <v>Insert URL ▶</v>
      </c>
      <c r="I329" s="56"/>
      <c r="J329" s="57"/>
      <c r="K329" s="58" t="b">
        <v>0</v>
      </c>
      <c r="L329" s="59">
        <f t="shared" si="13"/>
        <v>1</v>
      </c>
      <c r="M329" s="59">
        <f t="shared" si="14"/>
        <v>0</v>
      </c>
      <c r="N329" s="59">
        <f t="shared" si="15"/>
        <v>0</v>
      </c>
      <c r="O329" s="60" t="str">
        <f t="shared" si="16"/>
        <v/>
      </c>
      <c r="P329" s="61" t="str">
        <f>IFERROR(__xludf.DUMMYFUNCTION("IF($N329=1,IFERROR(IMPORTXML($I329, ""//p[@class='status-date']""), ""Not Loading""),"""")"),"")</f>
        <v/>
      </c>
      <c r="Q329" s="64"/>
      <c r="R329" s="64"/>
      <c r="S329" s="64"/>
      <c r="T329" s="64"/>
      <c r="U329" s="62" t="str">
        <f t="shared" si="8"/>
        <v/>
      </c>
      <c r="V329" s="63">
        <f>IFERROR(__xludf.DUMMYFUNCTION("iferror(VALUE(left(index(IMPORTXML(I331, ""//div[@class='col-lg-2 user-stat stat-green']""),2,1),len(index(IMPORTXML(I331, ""//div[@class='col-lg-2 user-stat stat-green']""),2,1))-8)),0)"),0.0)</f>
        <v>0</v>
      </c>
    </row>
    <row r="330" ht="15.0" customHeight="1">
      <c r="A330" s="50">
        <f t="shared" si="9"/>
        <v>323</v>
      </c>
      <c r="B330" s="51" t="str">
        <f t="shared" si="2"/>
        <v>Chilli 🌶️ Killer ☠️ #323 | R21 - C4</v>
      </c>
      <c r="C330" s="52">
        <v>21.0</v>
      </c>
      <c r="D330" s="52">
        <v>4.0</v>
      </c>
      <c r="E330" s="53">
        <v>48.16085441</v>
      </c>
      <c r="F330" s="53">
        <v>17.14306717</v>
      </c>
      <c r="G330" s="54" t="s">
        <v>33</v>
      </c>
      <c r="H330" s="55" t="str">
        <f t="shared" si="12"/>
        <v>Insert URL ▶</v>
      </c>
      <c r="I330" s="56"/>
      <c r="J330" s="57"/>
      <c r="K330" s="58" t="b">
        <v>0</v>
      </c>
      <c r="L330" s="59">
        <f t="shared" si="13"/>
        <v>1</v>
      </c>
      <c r="M330" s="59">
        <f t="shared" si="14"/>
        <v>0</v>
      </c>
      <c r="N330" s="59">
        <f t="shared" si="15"/>
        <v>0</v>
      </c>
      <c r="O330" s="60" t="str">
        <f t="shared" si="16"/>
        <v/>
      </c>
      <c r="P330" s="61" t="str">
        <f>IFERROR(__xludf.DUMMYFUNCTION("IF($N330=1,IFERROR(IMPORTXML($I330, ""//p[@class='status-date']""), ""Not Loading""),"""")"),"")</f>
        <v/>
      </c>
      <c r="Q330" s="65"/>
      <c r="R330" s="65"/>
      <c r="S330" s="65"/>
      <c r="T330" s="65"/>
      <c r="U330" s="62" t="str">
        <f t="shared" si="8"/>
        <v/>
      </c>
      <c r="V330" s="63">
        <f>IFERROR(__xludf.DUMMYFUNCTION("iferror(VALUE(left(index(IMPORTXML(I332, ""//div[@class='col-lg-2 user-stat stat-green']""),2,1),len(index(IMPORTXML(I332, ""//div[@class='col-lg-2 user-stat stat-green']""),2,1))-8)),0)"),0.0)</f>
        <v>0</v>
      </c>
    </row>
    <row r="331" ht="15.0" customHeight="1">
      <c r="A331" s="50">
        <f t="shared" si="9"/>
        <v>324</v>
      </c>
      <c r="B331" s="51" t="str">
        <f t="shared" si="2"/>
        <v>Chilli 🌶️ Killer ☠️ #324 | R21 - C5</v>
      </c>
      <c r="C331" s="52">
        <v>21.0</v>
      </c>
      <c r="D331" s="52">
        <v>5.0</v>
      </c>
      <c r="E331" s="53">
        <v>48.16085441</v>
      </c>
      <c r="F331" s="53">
        <v>17.14328264</v>
      </c>
      <c r="G331" s="54" t="s">
        <v>42</v>
      </c>
      <c r="H331" s="55" t="str">
        <f t="shared" si="12"/>
        <v>Nicolet</v>
      </c>
      <c r="I331" s="56" t="s">
        <v>331</v>
      </c>
      <c r="J331" s="57"/>
      <c r="K331" s="58" t="b">
        <v>1</v>
      </c>
      <c r="L331" s="59">
        <f t="shared" si="13"/>
        <v>0</v>
      </c>
      <c r="M331" s="59">
        <f t="shared" si="14"/>
        <v>0</v>
      </c>
      <c r="N331" s="59">
        <f t="shared" si="15"/>
        <v>0</v>
      </c>
      <c r="O331" s="60" t="str">
        <f t="shared" si="16"/>
        <v/>
      </c>
      <c r="P331" s="61" t="str">
        <f>IFERROR(__xludf.DUMMYFUNCTION("IF($N331=1,IFERROR(IMPORTXML($I331, ""//p[@class='status-date']""), ""Not Loading""),"""")"),"")</f>
        <v/>
      </c>
      <c r="Q331" s="64"/>
      <c r="R331" s="64"/>
      <c r="S331" s="64"/>
      <c r="T331" s="64"/>
      <c r="U331" s="62" t="str">
        <f t="shared" si="8"/>
        <v>Nicolet</v>
      </c>
      <c r="V331" s="63">
        <f>IFERROR(__xludf.DUMMYFUNCTION("iferror(VALUE(left(index(IMPORTXML(I333, ""//div[@class='col-lg-2 user-stat stat-green']""),2,1),len(index(IMPORTXML(I333, ""//div[@class='col-lg-2 user-stat stat-green']""),2,1))-8)),0)"),0.0)</f>
        <v>0</v>
      </c>
    </row>
    <row r="332" ht="15.0" customHeight="1">
      <c r="A332" s="50">
        <f t="shared" si="9"/>
        <v>325</v>
      </c>
      <c r="B332" s="51" t="str">
        <f t="shared" si="2"/>
        <v>Chilli 🌶️ Killer ☠️ #325 | R21 - C6</v>
      </c>
      <c r="C332" s="52">
        <v>21.0</v>
      </c>
      <c r="D332" s="52">
        <v>6.0</v>
      </c>
      <c r="E332" s="53">
        <v>48.16085441</v>
      </c>
      <c r="F332" s="53">
        <v>17.14349812</v>
      </c>
      <c r="G332" s="54" t="s">
        <v>42</v>
      </c>
      <c r="H332" s="55" t="str">
        <f t="shared" si="12"/>
        <v>KarelVeliky</v>
      </c>
      <c r="I332" s="56" t="s">
        <v>332</v>
      </c>
      <c r="J332" s="57"/>
      <c r="K332" s="58" t="b">
        <v>1</v>
      </c>
      <c r="L332" s="59">
        <f t="shared" si="13"/>
        <v>0</v>
      </c>
      <c r="M332" s="59">
        <f t="shared" si="14"/>
        <v>0</v>
      </c>
      <c r="N332" s="59">
        <f t="shared" si="15"/>
        <v>0</v>
      </c>
      <c r="O332" s="60" t="str">
        <f t="shared" si="16"/>
        <v/>
      </c>
      <c r="P332" s="61" t="str">
        <f>IFERROR(__xludf.DUMMYFUNCTION("IF($N332=1,IFERROR(IMPORTXML($I332, ""//p[@class='status-date']""), ""Not Loading""),"""")"),"")</f>
        <v/>
      </c>
      <c r="Q332" s="65"/>
      <c r="R332" s="65"/>
      <c r="S332" s="65"/>
      <c r="T332" s="65"/>
      <c r="U332" s="62" t="str">
        <f t="shared" si="8"/>
        <v>KarelVeliky</v>
      </c>
      <c r="V332" s="63">
        <f>IFERROR(__xludf.DUMMYFUNCTION("iferror(VALUE(left(index(IMPORTXML(I334, ""//div[@class='col-lg-2 user-stat stat-green']""),2,1),len(index(IMPORTXML(I334, ""//div[@class='col-lg-2 user-stat stat-green']""),2,1))-8)),0)"),0.0)</f>
        <v>0</v>
      </c>
    </row>
    <row r="333" ht="15.0" customHeight="1">
      <c r="A333" s="50">
        <f t="shared" si="9"/>
        <v>326</v>
      </c>
      <c r="B333" s="51" t="str">
        <f t="shared" si="2"/>
        <v>Chilli 🌶️ Killer ☠️ #326 | R21 - C7</v>
      </c>
      <c r="C333" s="52">
        <v>21.0</v>
      </c>
      <c r="D333" s="52">
        <v>7.0</v>
      </c>
      <c r="E333" s="53">
        <v>48.16085441</v>
      </c>
      <c r="F333" s="53">
        <v>17.14371359</v>
      </c>
      <c r="G333" s="54" t="s">
        <v>42</v>
      </c>
      <c r="H333" s="55" t="str">
        <f t="shared" si="12"/>
        <v>mathew611</v>
      </c>
      <c r="I333" s="56" t="s">
        <v>333</v>
      </c>
      <c r="J333" s="57"/>
      <c r="K333" s="58" t="b">
        <v>1</v>
      </c>
      <c r="L333" s="59">
        <f t="shared" si="13"/>
        <v>0</v>
      </c>
      <c r="M333" s="59">
        <f t="shared" si="14"/>
        <v>0</v>
      </c>
      <c r="N333" s="59">
        <f t="shared" si="15"/>
        <v>0</v>
      </c>
      <c r="O333" s="60" t="str">
        <f t="shared" si="16"/>
        <v/>
      </c>
      <c r="P333" s="61" t="str">
        <f>IFERROR(__xludf.DUMMYFUNCTION("IF($N333=1,IFERROR(IMPORTXML($I333, ""//p[@class='status-date']""), ""Not Loading""),"""")"),"")</f>
        <v/>
      </c>
      <c r="Q333" s="64"/>
      <c r="R333" s="64"/>
      <c r="S333" s="64"/>
      <c r="T333" s="64"/>
      <c r="U333" s="62" t="str">
        <f t="shared" si="8"/>
        <v>mathew611</v>
      </c>
      <c r="V333" s="63">
        <f>IFERROR(__xludf.DUMMYFUNCTION("iferror(VALUE(left(index(IMPORTXML(I335, ""//div[@class='col-lg-2 user-stat stat-green']""),2,1),len(index(IMPORTXML(I335, ""//div[@class='col-lg-2 user-stat stat-green']""),2,1))-8)),0)"),0.0)</f>
        <v>0</v>
      </c>
    </row>
    <row r="334" ht="15.0" customHeight="1">
      <c r="A334" s="50">
        <f t="shared" si="9"/>
        <v>327</v>
      </c>
      <c r="B334" s="51" t="str">
        <f t="shared" si="2"/>
        <v>Chilli 🌶️ Killer ☠️ #327 | R21 - C8</v>
      </c>
      <c r="C334" s="52">
        <v>21.0</v>
      </c>
      <c r="D334" s="52">
        <v>8.0</v>
      </c>
      <c r="E334" s="53">
        <v>48.16085441</v>
      </c>
      <c r="F334" s="53">
        <v>17.14392907</v>
      </c>
      <c r="G334" s="54" t="s">
        <v>42</v>
      </c>
      <c r="H334" s="55" t="str">
        <f t="shared" si="12"/>
        <v>Neloras</v>
      </c>
      <c r="I334" s="56" t="s">
        <v>334</v>
      </c>
      <c r="J334" s="57"/>
      <c r="K334" s="58" t="b">
        <v>1</v>
      </c>
      <c r="L334" s="59">
        <f t="shared" si="13"/>
        <v>0</v>
      </c>
      <c r="M334" s="59">
        <f t="shared" si="14"/>
        <v>0</v>
      </c>
      <c r="N334" s="59">
        <f t="shared" si="15"/>
        <v>0</v>
      </c>
      <c r="O334" s="60" t="str">
        <f t="shared" si="16"/>
        <v/>
      </c>
      <c r="P334" s="61" t="str">
        <f>IFERROR(__xludf.DUMMYFUNCTION("IF($N334=1,IFERROR(IMPORTXML($I334, ""//p[@class='status-date']""), ""Not Loading""),"""")"),"")</f>
        <v/>
      </c>
      <c r="Q334" s="65"/>
      <c r="R334" s="65"/>
      <c r="S334" s="65"/>
      <c r="T334" s="65"/>
      <c r="U334" s="62" t="str">
        <f t="shared" si="8"/>
        <v>Neloras</v>
      </c>
      <c r="V334" s="63">
        <f>IFERROR(__xludf.DUMMYFUNCTION("iferror(VALUE(left(index(IMPORTXML(I336, ""//div[@class='col-lg-2 user-stat stat-green']""),2,1),len(index(IMPORTXML(I336, ""//div[@class='col-lg-2 user-stat stat-green']""),2,1))-8)),0)"),0.0)</f>
        <v>0</v>
      </c>
    </row>
    <row r="335" ht="15.0" customHeight="1">
      <c r="A335" s="50">
        <f t="shared" si="9"/>
        <v>328</v>
      </c>
      <c r="B335" s="51" t="str">
        <f t="shared" si="2"/>
        <v>Chilli 🌶️ Killer ☠️ #328 | R21 - C9</v>
      </c>
      <c r="C335" s="52">
        <v>21.0</v>
      </c>
      <c r="D335" s="52">
        <v>9.0</v>
      </c>
      <c r="E335" s="53">
        <v>48.16085441</v>
      </c>
      <c r="F335" s="53">
        <v>17.14414454</v>
      </c>
      <c r="G335" s="54" t="s">
        <v>33</v>
      </c>
      <c r="H335" s="55" t="str">
        <f t="shared" si="12"/>
        <v>KarelVeliky</v>
      </c>
      <c r="I335" s="68" t="s">
        <v>335</v>
      </c>
      <c r="J335" s="57"/>
      <c r="K335" s="58" t="b">
        <v>0</v>
      </c>
      <c r="L335" s="59">
        <f t="shared" si="13"/>
        <v>0</v>
      </c>
      <c r="M335" s="59">
        <f t="shared" si="14"/>
        <v>0</v>
      </c>
      <c r="N335" s="59">
        <f t="shared" si="15"/>
        <v>1</v>
      </c>
      <c r="O335" s="69" t="str">
        <f t="shared" si="16"/>
        <v>Munzee</v>
      </c>
      <c r="P335" s="61" t="str">
        <f>IFERROR(__xludf.DUMMYFUNCTION("IF($N335=1,IFERROR(IMPORTXML($I335, ""//p[@class='status-date']""), ""Not Loading""),"""")"),"Not Loading")</f>
        <v>Not Loading</v>
      </c>
      <c r="Q335" s="64"/>
      <c r="R335" s="64"/>
      <c r="S335" s="64"/>
      <c r="T335" s="64"/>
      <c r="U335" s="62" t="str">
        <f t="shared" si="8"/>
        <v>KarelVeliky</v>
      </c>
      <c r="V335" s="63">
        <f>IFERROR(__xludf.DUMMYFUNCTION("iferror(VALUE(left(index(IMPORTXML(I337, ""//div[@class='col-lg-2 user-stat stat-green']""),2,1),len(index(IMPORTXML(I337, ""//div[@class='col-lg-2 user-stat stat-green']""),2,1))-8)),0)"),0.0)</f>
        <v>0</v>
      </c>
    </row>
    <row r="336" ht="15.0" customHeight="1">
      <c r="A336" s="50">
        <f t="shared" si="9"/>
        <v>329</v>
      </c>
      <c r="B336" s="51" t="str">
        <f t="shared" si="2"/>
        <v>Chilli 🌶️ Killer ☠️ #329 | R22 - C3</v>
      </c>
      <c r="C336" s="52">
        <v>22.0</v>
      </c>
      <c r="D336" s="52">
        <v>3.0</v>
      </c>
      <c r="E336" s="53">
        <v>48.16072994</v>
      </c>
      <c r="F336" s="53">
        <v>17.14295942</v>
      </c>
      <c r="G336" s="54" t="s">
        <v>33</v>
      </c>
      <c r="H336" s="55" t="str">
        <f t="shared" si="12"/>
        <v>Rikitan</v>
      </c>
      <c r="I336" s="56" t="s">
        <v>336</v>
      </c>
      <c r="J336" s="57"/>
      <c r="K336" s="58" t="b">
        <v>1</v>
      </c>
      <c r="L336" s="59">
        <f t="shared" si="13"/>
        <v>0</v>
      </c>
      <c r="M336" s="59">
        <f t="shared" si="14"/>
        <v>0</v>
      </c>
      <c r="N336" s="59">
        <f t="shared" si="15"/>
        <v>0</v>
      </c>
      <c r="O336" s="60" t="str">
        <f t="shared" si="16"/>
        <v/>
      </c>
      <c r="P336" s="61" t="str">
        <f>IFERROR(__xludf.DUMMYFUNCTION("IF($N336=1,IFERROR(IMPORTXML($I336, ""//p[@class='status-date']""), ""Not Loading""),"""")"),"")</f>
        <v/>
      </c>
      <c r="Q336" s="65"/>
      <c r="R336" s="65"/>
      <c r="S336" s="65"/>
      <c r="T336" s="65"/>
      <c r="U336" s="62" t="str">
        <f t="shared" si="8"/>
        <v>Rikitan</v>
      </c>
      <c r="V336" s="63">
        <f>IFERROR(__xludf.DUMMYFUNCTION("iferror(VALUE(left(index(IMPORTXML(I338, ""//div[@class='col-lg-2 user-stat stat-green']""),2,1),len(index(IMPORTXML(I338, ""//div[@class='col-lg-2 user-stat stat-green']""),2,1))-8)),0)"),0.0)</f>
        <v>0</v>
      </c>
    </row>
    <row r="337" ht="15.0" customHeight="1">
      <c r="A337" s="50">
        <f t="shared" si="9"/>
        <v>330</v>
      </c>
      <c r="B337" s="51" t="str">
        <f t="shared" si="2"/>
        <v>Chilli 🌶️ Killer ☠️ #330 | R22 - C4</v>
      </c>
      <c r="C337" s="52">
        <v>22.0</v>
      </c>
      <c r="D337" s="52">
        <v>4.0</v>
      </c>
      <c r="E337" s="53">
        <v>48.16072994</v>
      </c>
      <c r="F337" s="53">
        <v>17.1431749</v>
      </c>
      <c r="G337" s="54" t="s">
        <v>42</v>
      </c>
      <c r="H337" s="55" t="str">
        <f t="shared" si="12"/>
        <v>Charonovci</v>
      </c>
      <c r="I337" s="56" t="s">
        <v>337</v>
      </c>
      <c r="J337" s="57"/>
      <c r="K337" s="58" t="b">
        <v>1</v>
      </c>
      <c r="L337" s="59">
        <f t="shared" si="13"/>
        <v>0</v>
      </c>
      <c r="M337" s="59">
        <f t="shared" si="14"/>
        <v>0</v>
      </c>
      <c r="N337" s="59">
        <f t="shared" si="15"/>
        <v>0</v>
      </c>
      <c r="O337" s="60" t="str">
        <f t="shared" si="16"/>
        <v/>
      </c>
      <c r="P337" s="61" t="str">
        <f>IFERROR(__xludf.DUMMYFUNCTION("IF($N337=1,IFERROR(IMPORTXML($I337, ""//p[@class='status-date']""), ""Not Loading""),"""")"),"")</f>
        <v/>
      </c>
      <c r="Q337" s="64"/>
      <c r="R337" s="64"/>
      <c r="S337" s="64"/>
      <c r="T337" s="64"/>
      <c r="U337" s="62" t="str">
        <f t="shared" si="8"/>
        <v>Charonovci</v>
      </c>
      <c r="V337" s="63">
        <f>IFERROR(__xludf.DUMMYFUNCTION("iferror(VALUE(left(index(IMPORTXML(I339, ""//div[@class='col-lg-2 user-stat stat-green']""),2,1),len(index(IMPORTXML(I339, ""//div[@class='col-lg-2 user-stat stat-green']""),2,1))-8)),0)"),0.0)</f>
        <v>0</v>
      </c>
    </row>
    <row r="338" ht="15.0" customHeight="1">
      <c r="A338" s="50">
        <f t="shared" si="9"/>
        <v>331</v>
      </c>
      <c r="B338" s="51" t="str">
        <f t="shared" si="2"/>
        <v>Chilli 🌶️ Killer ☠️ #331 | R22 - C5</v>
      </c>
      <c r="C338" s="52">
        <v>22.0</v>
      </c>
      <c r="D338" s="52">
        <v>5.0</v>
      </c>
      <c r="E338" s="53">
        <v>48.16072994</v>
      </c>
      <c r="F338" s="53">
        <v>17.14339037</v>
      </c>
      <c r="G338" s="54" t="s">
        <v>42</v>
      </c>
      <c r="H338" s="55" t="str">
        <f t="shared" si="12"/>
        <v>EeveeFox</v>
      </c>
      <c r="I338" s="56" t="s">
        <v>338</v>
      </c>
      <c r="J338" s="57"/>
      <c r="K338" s="58" t="b">
        <v>1</v>
      </c>
      <c r="L338" s="59">
        <f t="shared" si="13"/>
        <v>0</v>
      </c>
      <c r="M338" s="59">
        <f t="shared" si="14"/>
        <v>0</v>
      </c>
      <c r="N338" s="59">
        <f t="shared" si="15"/>
        <v>0</v>
      </c>
      <c r="O338" s="60" t="str">
        <f t="shared" si="16"/>
        <v/>
      </c>
      <c r="P338" s="61" t="str">
        <f>IFERROR(__xludf.DUMMYFUNCTION("IF($N338=1,IFERROR(IMPORTXML($I338, ""//p[@class='status-date']""), ""Not Loading""),"""")"),"")</f>
        <v/>
      </c>
      <c r="Q338" s="65"/>
      <c r="R338" s="65"/>
      <c r="S338" s="65"/>
      <c r="T338" s="65"/>
      <c r="U338" s="62" t="str">
        <f t="shared" si="8"/>
        <v>EeveeFox</v>
      </c>
      <c r="V338" s="63">
        <f>IFERROR(__xludf.DUMMYFUNCTION("iferror(VALUE(left(index(IMPORTXML(I340, ""//div[@class='col-lg-2 user-stat stat-green']""),2,1),len(index(IMPORTXML(I340, ""//div[@class='col-lg-2 user-stat stat-green']""),2,1))-8)),0)"),0.0)</f>
        <v>0</v>
      </c>
    </row>
    <row r="339" ht="15.0" customHeight="1">
      <c r="A339" s="50">
        <f t="shared" si="9"/>
        <v>332</v>
      </c>
      <c r="B339" s="51" t="str">
        <f t="shared" si="2"/>
        <v>Chilli 🌶️ Killer ☠️ #332 | R22 - C6</v>
      </c>
      <c r="C339" s="52">
        <v>22.0</v>
      </c>
      <c r="D339" s="52">
        <v>6.0</v>
      </c>
      <c r="E339" s="53">
        <v>48.16072994</v>
      </c>
      <c r="F339" s="53">
        <v>17.14360585</v>
      </c>
      <c r="G339" s="54" t="s">
        <v>42</v>
      </c>
      <c r="H339" s="55" t="str">
        <f t="shared" si="12"/>
        <v>29Februaris</v>
      </c>
      <c r="I339" s="56" t="s">
        <v>339</v>
      </c>
      <c r="J339" s="57"/>
      <c r="K339" s="58" t="b">
        <v>1</v>
      </c>
      <c r="L339" s="59">
        <f t="shared" si="13"/>
        <v>0</v>
      </c>
      <c r="M339" s="59">
        <f t="shared" si="14"/>
        <v>0</v>
      </c>
      <c r="N339" s="59">
        <f t="shared" si="15"/>
        <v>0</v>
      </c>
      <c r="O339" s="60" t="str">
        <f t="shared" si="16"/>
        <v/>
      </c>
      <c r="P339" s="61" t="str">
        <f>IFERROR(__xludf.DUMMYFUNCTION("IF($N339=1,IFERROR(IMPORTXML($I339, ""//p[@class='status-date']""), ""Not Loading""),"""")"),"")</f>
        <v/>
      </c>
      <c r="Q339" s="64"/>
      <c r="R339" s="64"/>
      <c r="S339" s="64"/>
      <c r="T339" s="64"/>
      <c r="U339" s="62" t="str">
        <f t="shared" si="8"/>
        <v>29Februaris</v>
      </c>
      <c r="V339" s="63">
        <f>IFERROR(__xludf.DUMMYFUNCTION("iferror(VALUE(left(index(IMPORTXML(I341, ""//div[@class='col-lg-2 user-stat stat-green']""),2,1),len(index(IMPORTXML(I341, ""//div[@class='col-lg-2 user-stat stat-green']""),2,1))-8)),0)"),0.0)</f>
        <v>0</v>
      </c>
    </row>
    <row r="340" ht="15.0" customHeight="1">
      <c r="A340" s="50">
        <f t="shared" si="9"/>
        <v>333</v>
      </c>
      <c r="B340" s="51" t="str">
        <f t="shared" si="2"/>
        <v>Chilli 🌶️ Killer ☠️ #333 | R22 - C7</v>
      </c>
      <c r="C340" s="52">
        <v>22.0</v>
      </c>
      <c r="D340" s="52">
        <v>7.0</v>
      </c>
      <c r="E340" s="53">
        <v>48.16072994</v>
      </c>
      <c r="F340" s="53">
        <v>17.14382132</v>
      </c>
      <c r="G340" s="54" t="s">
        <v>33</v>
      </c>
      <c r="H340" s="55" t="str">
        <f t="shared" si="12"/>
        <v>Insert URL ▶</v>
      </c>
      <c r="I340" s="56"/>
      <c r="J340" s="57"/>
      <c r="K340" s="58" t="b">
        <v>0</v>
      </c>
      <c r="L340" s="59">
        <f t="shared" si="13"/>
        <v>1</v>
      </c>
      <c r="M340" s="59">
        <f t="shared" si="14"/>
        <v>0</v>
      </c>
      <c r="N340" s="59">
        <f t="shared" si="15"/>
        <v>0</v>
      </c>
      <c r="O340" s="60" t="str">
        <f t="shared" si="16"/>
        <v/>
      </c>
      <c r="P340" s="61" t="str">
        <f>IFERROR(__xludf.DUMMYFUNCTION("IF($N340=1,IFERROR(IMPORTXML($I340, ""//p[@class='status-date']""), ""Not Loading""),"""")"),"")</f>
        <v/>
      </c>
      <c r="Q340" s="65"/>
      <c r="R340" s="65"/>
      <c r="S340" s="65"/>
      <c r="T340" s="65"/>
      <c r="U340" s="62" t="str">
        <f t="shared" si="8"/>
        <v/>
      </c>
      <c r="V340" s="63">
        <f>IFERROR(__xludf.DUMMYFUNCTION("iferror(VALUE(left(index(IMPORTXML(I342, ""//div[@class='col-lg-2 user-stat stat-green']""),2,1),len(index(IMPORTXML(I342, ""//div[@class='col-lg-2 user-stat stat-green']""),2,1))-8)),0)"),0.0)</f>
        <v>0</v>
      </c>
    </row>
    <row r="341" ht="15.0" customHeight="1">
      <c r="A341" s="50">
        <f t="shared" si="9"/>
        <v>334</v>
      </c>
      <c r="B341" s="51" t="str">
        <f t="shared" si="2"/>
        <v>Chilli 🌶️ Killer ☠️ #334 | R22 - C8</v>
      </c>
      <c r="C341" s="52">
        <v>22.0</v>
      </c>
      <c r="D341" s="52">
        <v>8.0</v>
      </c>
      <c r="E341" s="53">
        <v>48.16072994</v>
      </c>
      <c r="F341" s="53">
        <v>17.14403679</v>
      </c>
      <c r="G341" s="54" t="s">
        <v>33</v>
      </c>
      <c r="H341" s="55" t="str">
        <f t="shared" si="12"/>
        <v>Insert URL ▶</v>
      </c>
      <c r="I341" s="56"/>
      <c r="J341" s="57"/>
      <c r="K341" s="58" t="b">
        <v>0</v>
      </c>
      <c r="L341" s="59">
        <f t="shared" si="13"/>
        <v>1</v>
      </c>
      <c r="M341" s="59">
        <f t="shared" si="14"/>
        <v>0</v>
      </c>
      <c r="N341" s="59">
        <f t="shared" si="15"/>
        <v>0</v>
      </c>
      <c r="O341" s="60" t="str">
        <f t="shared" si="16"/>
        <v/>
      </c>
      <c r="P341" s="61" t="str">
        <f>IFERROR(__xludf.DUMMYFUNCTION("IF($N341=1,IFERROR(IMPORTXML($I341, ""//p[@class='status-date']""), ""Not Loading""),"""")"),"")</f>
        <v/>
      </c>
      <c r="Q341" s="64"/>
      <c r="R341" s="64"/>
      <c r="S341" s="64"/>
      <c r="T341" s="64"/>
      <c r="U341" s="62" t="str">
        <f t="shared" si="8"/>
        <v/>
      </c>
      <c r="V341" s="63">
        <f>IFERROR(__xludf.DUMMYFUNCTION("iferror(VALUE(left(index(IMPORTXML(I343, ""//div[@class='col-lg-2 user-stat stat-green']""),2,1),len(index(IMPORTXML(I343, ""//div[@class='col-lg-2 user-stat stat-green']""),2,1))-8)),0)"),0.0)</f>
        <v>0</v>
      </c>
    </row>
    <row r="342" ht="15.0" customHeight="1">
      <c r="A342" s="50">
        <f t="shared" si="9"/>
        <v>335</v>
      </c>
      <c r="B342" s="51" t="str">
        <f t="shared" si="2"/>
        <v>Chilli 🌶️ Killer ☠️ #335 | R23 - C3</v>
      </c>
      <c r="C342" s="52">
        <v>23.0</v>
      </c>
      <c r="D342" s="52">
        <v>3.0</v>
      </c>
      <c r="E342" s="53">
        <v>48.16060547</v>
      </c>
      <c r="F342" s="53">
        <v>17.14285168</v>
      </c>
      <c r="G342" s="54" t="s">
        <v>33</v>
      </c>
      <c r="H342" s="55" t="str">
        <f t="shared" si="12"/>
        <v>and2470</v>
      </c>
      <c r="I342" s="56" t="s">
        <v>340</v>
      </c>
      <c r="J342" s="57"/>
      <c r="K342" s="58" t="b">
        <v>1</v>
      </c>
      <c r="L342" s="59">
        <f t="shared" si="13"/>
        <v>0</v>
      </c>
      <c r="M342" s="59">
        <f t="shared" si="14"/>
        <v>0</v>
      </c>
      <c r="N342" s="59">
        <f t="shared" si="15"/>
        <v>0</v>
      </c>
      <c r="O342" s="60" t="str">
        <f t="shared" si="16"/>
        <v/>
      </c>
      <c r="P342" s="61" t="str">
        <f>IFERROR(__xludf.DUMMYFUNCTION("IF($N342=1,IFERROR(IMPORTXML($I342, ""//p[@class='status-date']""), ""Not Loading""),"""")"),"")</f>
        <v/>
      </c>
      <c r="Q342" s="65"/>
      <c r="R342" s="65"/>
      <c r="S342" s="65"/>
      <c r="T342" s="65"/>
      <c r="U342" s="62" t="str">
        <f t="shared" si="8"/>
        <v>and2470</v>
      </c>
      <c r="V342" s="63">
        <f>IFERROR(__xludf.DUMMYFUNCTION("iferror(VALUE(left(index(IMPORTXML(I344, ""//div[@class='col-lg-2 user-stat stat-green']""),2,1),len(index(IMPORTXML(I344, ""//div[@class='col-lg-2 user-stat stat-green']""),2,1))-8)),0)"),0.0)</f>
        <v>0</v>
      </c>
    </row>
    <row r="343" ht="15.0" customHeight="1">
      <c r="A343" s="50">
        <f t="shared" si="9"/>
        <v>336</v>
      </c>
      <c r="B343" s="51" t="str">
        <f t="shared" si="2"/>
        <v>Chilli 🌶️ Killer ☠️ #336 | R23 - C4</v>
      </c>
      <c r="C343" s="52">
        <v>23.0</v>
      </c>
      <c r="D343" s="52">
        <v>4.0</v>
      </c>
      <c r="E343" s="53">
        <v>48.16060547</v>
      </c>
      <c r="F343" s="53">
        <v>17.14306715</v>
      </c>
      <c r="G343" s="54" t="s">
        <v>42</v>
      </c>
      <c r="H343" s="55" t="str">
        <f t="shared" si="12"/>
        <v>mathew611</v>
      </c>
      <c r="I343" s="56" t="s">
        <v>341</v>
      </c>
      <c r="J343" s="57"/>
      <c r="K343" s="58" t="b">
        <v>1</v>
      </c>
      <c r="L343" s="59">
        <f t="shared" si="13"/>
        <v>0</v>
      </c>
      <c r="M343" s="59">
        <f t="shared" si="14"/>
        <v>0</v>
      </c>
      <c r="N343" s="59">
        <f t="shared" si="15"/>
        <v>0</v>
      </c>
      <c r="O343" s="60" t="str">
        <f t="shared" si="16"/>
        <v/>
      </c>
      <c r="P343" s="61" t="str">
        <f>IFERROR(__xludf.DUMMYFUNCTION("IF($N343=1,IFERROR(IMPORTXML($I343, ""//p[@class='status-date']""), ""Not Loading""),"""")"),"")</f>
        <v/>
      </c>
      <c r="Q343" s="64"/>
      <c r="R343" s="64"/>
      <c r="S343" s="64"/>
      <c r="T343" s="64"/>
      <c r="U343" s="62" t="str">
        <f t="shared" si="8"/>
        <v>mathew611</v>
      </c>
      <c r="V343" s="63">
        <f>IFERROR(__xludf.DUMMYFUNCTION("iferror(VALUE(left(index(IMPORTXML(I345, ""//div[@class='col-lg-2 user-stat stat-green']""),2,1),len(index(IMPORTXML(I345, ""//div[@class='col-lg-2 user-stat stat-green']""),2,1))-8)),0)"),0.0)</f>
        <v>0</v>
      </c>
    </row>
    <row r="344" ht="15.0" customHeight="1">
      <c r="A344" s="50">
        <f t="shared" si="9"/>
        <v>337</v>
      </c>
      <c r="B344" s="51" t="str">
        <f t="shared" si="2"/>
        <v>Chilli 🌶️ Killer ☠️ #337 | R23 - C5</v>
      </c>
      <c r="C344" s="52">
        <v>23.0</v>
      </c>
      <c r="D344" s="52">
        <v>5.0</v>
      </c>
      <c r="E344" s="53">
        <v>48.16060547</v>
      </c>
      <c r="F344" s="53">
        <v>17.14328263</v>
      </c>
      <c r="G344" s="54" t="s">
        <v>42</v>
      </c>
      <c r="H344" s="55" t="str">
        <f t="shared" si="12"/>
        <v>Neloras</v>
      </c>
      <c r="I344" s="56" t="s">
        <v>342</v>
      </c>
      <c r="J344" s="57"/>
      <c r="K344" s="58" t="b">
        <v>1</v>
      </c>
      <c r="L344" s="59">
        <f t="shared" si="13"/>
        <v>0</v>
      </c>
      <c r="M344" s="59">
        <f t="shared" si="14"/>
        <v>0</v>
      </c>
      <c r="N344" s="59">
        <f t="shared" si="15"/>
        <v>0</v>
      </c>
      <c r="O344" s="60" t="str">
        <f t="shared" si="16"/>
        <v/>
      </c>
      <c r="P344" s="61" t="str">
        <f>IFERROR(__xludf.DUMMYFUNCTION("IF($N344=1,IFERROR(IMPORTXML($I344, ""//p[@class='status-date']""), ""Not Loading""),"""")"),"")</f>
        <v/>
      </c>
      <c r="Q344" s="65"/>
      <c r="R344" s="65"/>
      <c r="S344" s="65"/>
      <c r="T344" s="65"/>
      <c r="U344" s="62" t="str">
        <f t="shared" si="8"/>
        <v>Neloras</v>
      </c>
      <c r="V344" s="63">
        <f>IFERROR(__xludf.DUMMYFUNCTION("iferror(VALUE(left(index(IMPORTXML(I346, ""//div[@class='col-lg-2 user-stat stat-green']""),2,1),len(index(IMPORTXML(I346, ""//div[@class='col-lg-2 user-stat stat-green']""),2,1))-8)),0)"),0.0)</f>
        <v>0</v>
      </c>
    </row>
    <row r="345" ht="15.0" customHeight="1">
      <c r="A345" s="50">
        <f t="shared" si="9"/>
        <v>338</v>
      </c>
      <c r="B345" s="51" t="str">
        <f t="shared" si="2"/>
        <v>Chilli 🌶️ Killer ☠️ #338 | R23 - C6</v>
      </c>
      <c r="C345" s="52">
        <v>23.0</v>
      </c>
      <c r="D345" s="52">
        <v>6.0</v>
      </c>
      <c r="E345" s="53">
        <v>48.16060547</v>
      </c>
      <c r="F345" s="53">
        <v>17.1434981</v>
      </c>
      <c r="G345" s="54" t="s">
        <v>42</v>
      </c>
      <c r="H345" s="55" t="str">
        <f t="shared" si="12"/>
        <v>and2470</v>
      </c>
      <c r="I345" s="56" t="s">
        <v>343</v>
      </c>
      <c r="J345" s="57"/>
      <c r="K345" s="58" t="b">
        <v>1</v>
      </c>
      <c r="L345" s="59">
        <f t="shared" si="13"/>
        <v>0</v>
      </c>
      <c r="M345" s="59">
        <f t="shared" si="14"/>
        <v>0</v>
      </c>
      <c r="N345" s="59">
        <f t="shared" si="15"/>
        <v>0</v>
      </c>
      <c r="O345" s="60" t="str">
        <f t="shared" si="16"/>
        <v/>
      </c>
      <c r="P345" s="61" t="str">
        <f>IFERROR(__xludf.DUMMYFUNCTION("IF($N345=1,IFERROR(IMPORTXML($I345, ""//p[@class='status-date']""), ""Not Loading""),"""")"),"")</f>
        <v/>
      </c>
      <c r="Q345" s="64"/>
      <c r="R345" s="64"/>
      <c r="S345" s="64"/>
      <c r="T345" s="64"/>
      <c r="U345" s="62" t="str">
        <f t="shared" si="8"/>
        <v>and2470</v>
      </c>
      <c r="V345" s="63">
        <f>IFERROR(__xludf.DUMMYFUNCTION("iferror(VALUE(left(index(IMPORTXML(I347, ""//div[@class='col-lg-2 user-stat stat-green']""),2,1),len(index(IMPORTXML(I347, ""//div[@class='col-lg-2 user-stat stat-green']""),2,1))-8)),0)"),0.0)</f>
        <v>0</v>
      </c>
    </row>
    <row r="346" ht="15.0" customHeight="1">
      <c r="A346" s="50">
        <f t="shared" si="9"/>
        <v>339</v>
      </c>
      <c r="B346" s="51" t="str">
        <f t="shared" si="2"/>
        <v>Chilli 🌶️ Killer ☠️ #339 | R23 - C7</v>
      </c>
      <c r="C346" s="52">
        <v>23.0</v>
      </c>
      <c r="D346" s="52">
        <v>7.0</v>
      </c>
      <c r="E346" s="53">
        <v>48.16060547</v>
      </c>
      <c r="F346" s="53">
        <v>17.14371357</v>
      </c>
      <c r="G346" s="54" t="s">
        <v>33</v>
      </c>
      <c r="H346" s="55" t="str">
        <f t="shared" si="12"/>
        <v>Insert URL ▶</v>
      </c>
      <c r="I346" s="56"/>
      <c r="J346" s="57"/>
      <c r="K346" s="58" t="b">
        <v>0</v>
      </c>
      <c r="L346" s="59">
        <f t="shared" si="13"/>
        <v>1</v>
      </c>
      <c r="M346" s="59">
        <f t="shared" si="14"/>
        <v>0</v>
      </c>
      <c r="N346" s="59">
        <f t="shared" si="15"/>
        <v>0</v>
      </c>
      <c r="O346" s="60" t="str">
        <f t="shared" si="16"/>
        <v/>
      </c>
      <c r="P346" s="61" t="str">
        <f>IFERROR(__xludf.DUMMYFUNCTION("IF($N346=1,IFERROR(IMPORTXML($I346, ""//p[@class='status-date']""), ""Not Loading""),"""")"),"")</f>
        <v/>
      </c>
      <c r="Q346" s="65"/>
      <c r="R346" s="65"/>
      <c r="S346" s="65"/>
      <c r="T346" s="65"/>
      <c r="U346" s="62" t="str">
        <f t="shared" si="8"/>
        <v/>
      </c>
      <c r="V346" s="63">
        <f>IFERROR(__xludf.DUMMYFUNCTION("iferror(VALUE(left(index(IMPORTXML(I348, ""//div[@class='col-lg-2 user-stat stat-green']""),2,1),len(index(IMPORTXML(I348, ""//div[@class='col-lg-2 user-stat stat-green']""),2,1))-8)),0)"),0.0)</f>
        <v>0</v>
      </c>
    </row>
    <row r="347" ht="15.0" customHeight="1">
      <c r="A347" s="50">
        <f t="shared" si="9"/>
        <v>340</v>
      </c>
      <c r="B347" s="51" t="str">
        <f t="shared" si="2"/>
        <v>Chilli 🌶️ Killer ☠️ #340 | R24 - C3</v>
      </c>
      <c r="C347" s="52">
        <v>24.0</v>
      </c>
      <c r="D347" s="52">
        <v>3.0</v>
      </c>
      <c r="E347" s="53">
        <v>48.16048099</v>
      </c>
      <c r="F347" s="53">
        <v>17.14295941</v>
      </c>
      <c r="G347" s="54" t="s">
        <v>33</v>
      </c>
      <c r="H347" s="55" t="str">
        <f t="shared" si="12"/>
        <v>Insert URL ▶</v>
      </c>
      <c r="I347" s="56"/>
      <c r="J347" s="57"/>
      <c r="K347" s="58" t="b">
        <v>0</v>
      </c>
      <c r="L347" s="59">
        <f t="shared" si="13"/>
        <v>1</v>
      </c>
      <c r="M347" s="59">
        <f t="shared" si="14"/>
        <v>0</v>
      </c>
      <c r="N347" s="59">
        <f t="shared" si="15"/>
        <v>0</v>
      </c>
      <c r="O347" s="60" t="str">
        <f t="shared" si="16"/>
        <v/>
      </c>
      <c r="P347" s="61" t="str">
        <f>IFERROR(__xludf.DUMMYFUNCTION("IF($N347=1,IFERROR(IMPORTXML($I347, ""//p[@class='status-date']""), ""Not Loading""),"""")"),"")</f>
        <v/>
      </c>
      <c r="Q347" s="64"/>
      <c r="R347" s="64"/>
      <c r="S347" s="64"/>
      <c r="T347" s="64"/>
      <c r="U347" s="62" t="str">
        <f t="shared" si="8"/>
        <v/>
      </c>
      <c r="V347" s="63">
        <f>IFERROR(__xludf.DUMMYFUNCTION("iferror(VALUE(left(index(IMPORTXML(I349, ""//div[@class='col-lg-2 user-stat stat-green']""),2,1),len(index(IMPORTXML(I349, ""//div[@class='col-lg-2 user-stat stat-green']""),2,1))-8)),0)"),0.0)</f>
        <v>0</v>
      </c>
    </row>
    <row r="348" ht="15.0" customHeight="1">
      <c r="A348" s="50">
        <f t="shared" si="9"/>
        <v>341</v>
      </c>
      <c r="B348" s="51" t="str">
        <f t="shared" si="2"/>
        <v>Chilli 🌶️ Killer ☠️ #341 | R24 - C4</v>
      </c>
      <c r="C348" s="52">
        <v>24.0</v>
      </c>
      <c r="D348" s="52">
        <v>4.0</v>
      </c>
      <c r="E348" s="53">
        <v>48.16048099</v>
      </c>
      <c r="F348" s="53">
        <v>17.14317488</v>
      </c>
      <c r="G348" s="54" t="s">
        <v>42</v>
      </c>
      <c r="H348" s="55" t="str">
        <f t="shared" si="12"/>
        <v>Kapor24</v>
      </c>
      <c r="I348" s="56" t="s">
        <v>344</v>
      </c>
      <c r="J348" s="57"/>
      <c r="K348" s="58" t="b">
        <v>1</v>
      </c>
      <c r="L348" s="59">
        <f t="shared" si="13"/>
        <v>0</v>
      </c>
      <c r="M348" s="59">
        <f t="shared" si="14"/>
        <v>0</v>
      </c>
      <c r="N348" s="59">
        <f t="shared" si="15"/>
        <v>0</v>
      </c>
      <c r="O348" s="60" t="str">
        <f t="shared" si="16"/>
        <v/>
      </c>
      <c r="P348" s="61" t="str">
        <f>IFERROR(__xludf.DUMMYFUNCTION("IF($N348=1,IFERROR(IMPORTXML($I348, ""//p[@class='status-date']""), ""Not Loading""),"""")"),"")</f>
        <v/>
      </c>
      <c r="Q348" s="65"/>
      <c r="R348" s="65"/>
      <c r="S348" s="65"/>
      <c r="T348" s="65"/>
      <c r="U348" s="62" t="str">
        <f t="shared" si="8"/>
        <v>Kapor24</v>
      </c>
      <c r="V348" s="63">
        <f>IFERROR(__xludf.DUMMYFUNCTION("iferror(VALUE(left(index(IMPORTXML(I350, ""//div[@class='col-lg-2 user-stat stat-green']""),2,1),len(index(IMPORTXML(I350, ""//div[@class='col-lg-2 user-stat stat-green']""),2,1))-8)),0)"),0.0)</f>
        <v>0</v>
      </c>
    </row>
    <row r="349" ht="15.0" customHeight="1">
      <c r="A349" s="50">
        <f t="shared" si="9"/>
        <v>342</v>
      </c>
      <c r="B349" s="51" t="str">
        <f t="shared" si="2"/>
        <v>Chilli 🌶️ Killer ☠️ #342 | R24 - C5</v>
      </c>
      <c r="C349" s="52">
        <v>24.0</v>
      </c>
      <c r="D349" s="52">
        <v>5.0</v>
      </c>
      <c r="E349" s="53">
        <v>48.16048099</v>
      </c>
      <c r="F349" s="53">
        <v>17.14339036</v>
      </c>
      <c r="G349" s="54" t="s">
        <v>42</v>
      </c>
      <c r="H349" s="55" t="str">
        <f t="shared" si="12"/>
        <v>tcguru</v>
      </c>
      <c r="I349" s="56" t="s">
        <v>345</v>
      </c>
      <c r="J349" s="57"/>
      <c r="K349" s="58" t="b">
        <v>1</v>
      </c>
      <c r="L349" s="59">
        <f t="shared" si="13"/>
        <v>0</v>
      </c>
      <c r="M349" s="59">
        <f t="shared" si="14"/>
        <v>0</v>
      </c>
      <c r="N349" s="59">
        <f t="shared" si="15"/>
        <v>0</v>
      </c>
      <c r="O349" s="60" t="str">
        <f t="shared" si="16"/>
        <v/>
      </c>
      <c r="P349" s="61" t="str">
        <f>IFERROR(__xludf.DUMMYFUNCTION("IF($N349=1,IFERROR(IMPORTXML($I349, ""//p[@class='status-date']""), ""Not Loading""),"""")"),"")</f>
        <v/>
      </c>
      <c r="Q349" s="64"/>
      <c r="R349" s="64"/>
      <c r="S349" s="64"/>
      <c r="T349" s="64"/>
      <c r="U349" s="62" t="str">
        <f t="shared" si="8"/>
        <v>tcguru</v>
      </c>
      <c r="V349" s="63">
        <f>IFERROR(__xludf.DUMMYFUNCTION("iferror(VALUE(left(index(IMPORTXML(I351, ""//div[@class='col-lg-2 user-stat stat-green']""),2,1),len(index(IMPORTXML(I351, ""//div[@class='col-lg-2 user-stat stat-green']""),2,1))-8)),0)"),0.0)</f>
        <v>0</v>
      </c>
    </row>
    <row r="350" ht="15.0" customHeight="1">
      <c r="A350" s="50">
        <f t="shared" si="9"/>
        <v>343</v>
      </c>
      <c r="B350" s="51" t="str">
        <f t="shared" si="2"/>
        <v>Chilli 🌶️ Killer ☠️ #343 | R24 - C6</v>
      </c>
      <c r="C350" s="52">
        <v>24.0</v>
      </c>
      <c r="D350" s="52">
        <v>6.0</v>
      </c>
      <c r="E350" s="53">
        <v>48.16048099</v>
      </c>
      <c r="F350" s="53">
        <v>17.14360583</v>
      </c>
      <c r="G350" s="54" t="s">
        <v>33</v>
      </c>
      <c r="H350" s="55" t="str">
        <f t="shared" si="12"/>
        <v>Insert URL ▶</v>
      </c>
      <c r="I350" s="56"/>
      <c r="J350" s="57"/>
      <c r="K350" s="58" t="b">
        <v>0</v>
      </c>
      <c r="L350" s="59">
        <f t="shared" si="13"/>
        <v>1</v>
      </c>
      <c r="M350" s="59">
        <f t="shared" si="14"/>
        <v>0</v>
      </c>
      <c r="N350" s="59">
        <f t="shared" si="15"/>
        <v>0</v>
      </c>
      <c r="O350" s="60" t="str">
        <f t="shared" si="16"/>
        <v/>
      </c>
      <c r="P350" s="61" t="str">
        <f>IFERROR(__xludf.DUMMYFUNCTION("IF($N350=1,IFERROR(IMPORTXML($I350, ""//p[@class='status-date']""), ""Not Loading""),"""")"),"")</f>
        <v/>
      </c>
      <c r="Q350" s="65"/>
      <c r="R350" s="65"/>
      <c r="S350" s="65"/>
      <c r="T350" s="65"/>
      <c r="U350" s="62" t="str">
        <f t="shared" si="8"/>
        <v/>
      </c>
      <c r="V350" s="63">
        <f>IFERROR(__xludf.DUMMYFUNCTION("iferror(VALUE(left(index(IMPORTXML(I352, ""//div[@class='col-lg-2 user-stat stat-green']""),2,1),len(index(IMPORTXML(I352, ""//div[@class='col-lg-2 user-stat stat-green']""),2,1))-8)),0)"),0.0)</f>
        <v>0</v>
      </c>
    </row>
    <row r="351" ht="15.0" customHeight="1">
      <c r="A351" s="50">
        <f t="shared" si="9"/>
        <v>344</v>
      </c>
      <c r="B351" s="51" t="str">
        <f t="shared" si="2"/>
        <v>Chilli 🌶️ Killer ☠️ #344 | R25 - C3</v>
      </c>
      <c r="C351" s="52">
        <v>25.0</v>
      </c>
      <c r="D351" s="52">
        <v>3.0</v>
      </c>
      <c r="E351" s="53">
        <v>48.16035652</v>
      </c>
      <c r="F351" s="53">
        <v>17.14285167</v>
      </c>
      <c r="G351" s="54" t="s">
        <v>33</v>
      </c>
      <c r="H351" s="55" t="str">
        <f t="shared" si="12"/>
        <v>Insert URL ▶</v>
      </c>
      <c r="I351" s="56"/>
      <c r="J351" s="57"/>
      <c r="K351" s="58" t="b">
        <v>0</v>
      </c>
      <c r="L351" s="59">
        <f t="shared" si="13"/>
        <v>1</v>
      </c>
      <c r="M351" s="59">
        <f t="shared" si="14"/>
        <v>0</v>
      </c>
      <c r="N351" s="59">
        <f t="shared" si="15"/>
        <v>0</v>
      </c>
      <c r="O351" s="60" t="str">
        <f t="shared" si="16"/>
        <v/>
      </c>
      <c r="P351" s="61" t="str">
        <f>IFERROR(__xludf.DUMMYFUNCTION("IF($N351=1,IFERROR(IMPORTXML($I351, ""//p[@class='status-date']""), ""Not Loading""),"""")"),"")</f>
        <v/>
      </c>
      <c r="Q351" s="64"/>
      <c r="R351" s="64"/>
      <c r="S351" s="64"/>
      <c r="T351" s="64"/>
      <c r="U351" s="62" t="str">
        <f t="shared" si="8"/>
        <v/>
      </c>
      <c r="V351" s="63">
        <f>IFERROR(__xludf.DUMMYFUNCTION("iferror(VALUE(left(index(IMPORTXML(I353, ""//div[@class='col-lg-2 user-stat stat-green']""),2,1),len(index(IMPORTXML(I353, ""//div[@class='col-lg-2 user-stat stat-green']""),2,1))-8)),0)"),0.0)</f>
        <v>0</v>
      </c>
    </row>
    <row r="352" ht="15.0" customHeight="1">
      <c r="A352" s="50">
        <f t="shared" si="9"/>
        <v>345</v>
      </c>
      <c r="B352" s="51" t="str">
        <f t="shared" si="2"/>
        <v>Chilli 🌶️ Killer ☠️ #345 | R25 - C4</v>
      </c>
      <c r="C352" s="52">
        <v>25.0</v>
      </c>
      <c r="D352" s="52">
        <v>4.0</v>
      </c>
      <c r="E352" s="53">
        <v>48.16035652</v>
      </c>
      <c r="F352" s="53">
        <v>17.14306714</v>
      </c>
      <c r="G352" s="54" t="s">
        <v>42</v>
      </c>
      <c r="H352" s="55" t="str">
        <f t="shared" si="12"/>
        <v>Nicolet</v>
      </c>
      <c r="I352" s="56" t="s">
        <v>346</v>
      </c>
      <c r="J352" s="57"/>
      <c r="K352" s="58" t="b">
        <v>1</v>
      </c>
      <c r="L352" s="59">
        <f t="shared" si="13"/>
        <v>0</v>
      </c>
      <c r="M352" s="59">
        <f t="shared" si="14"/>
        <v>0</v>
      </c>
      <c r="N352" s="59">
        <f t="shared" si="15"/>
        <v>0</v>
      </c>
      <c r="O352" s="60" t="str">
        <f t="shared" si="16"/>
        <v/>
      </c>
      <c r="P352" s="61" t="str">
        <f>IFERROR(__xludf.DUMMYFUNCTION("IF($N352=1,IFERROR(IMPORTXML($I352, ""//p[@class='status-date']""), ""Not Loading""),"""")"),"")</f>
        <v/>
      </c>
      <c r="Q352" s="65"/>
      <c r="R352" s="65"/>
      <c r="S352" s="65"/>
      <c r="T352" s="65"/>
      <c r="U352" s="62" t="str">
        <f t="shared" si="8"/>
        <v>Nicolet</v>
      </c>
      <c r="V352" s="63">
        <f>IFERROR(__xludf.DUMMYFUNCTION("iferror(VALUE(left(index(IMPORTXML(I354, ""//div[@class='col-lg-2 user-stat stat-green']""),2,1),len(index(IMPORTXML(I354, ""//div[@class='col-lg-2 user-stat stat-green']""),2,1))-8)),0)"),0.0)</f>
        <v>0</v>
      </c>
    </row>
    <row r="353" ht="15.0" customHeight="1">
      <c r="A353" s="50">
        <f t="shared" si="9"/>
        <v>346</v>
      </c>
      <c r="B353" s="51" t="str">
        <f t="shared" si="2"/>
        <v>Chilli 🌶️ Killer ☠️ #346 | R25 - C5</v>
      </c>
      <c r="C353" s="52">
        <v>25.0</v>
      </c>
      <c r="D353" s="52">
        <v>5.0</v>
      </c>
      <c r="E353" s="53">
        <v>48.16035652</v>
      </c>
      <c r="F353" s="53">
        <v>17.14328261</v>
      </c>
      <c r="G353" s="54" t="s">
        <v>33</v>
      </c>
      <c r="H353" s="55" t="str">
        <f t="shared" si="12"/>
        <v>mortonfox</v>
      </c>
      <c r="I353" s="56" t="s">
        <v>347</v>
      </c>
      <c r="J353" s="57"/>
      <c r="K353" s="58" t="b">
        <v>0</v>
      </c>
      <c r="L353" s="59">
        <f t="shared" si="13"/>
        <v>0</v>
      </c>
      <c r="M353" s="59">
        <f t="shared" si="14"/>
        <v>0</v>
      </c>
      <c r="N353" s="59">
        <f t="shared" si="15"/>
        <v>1</v>
      </c>
      <c r="O353" s="69" t="str">
        <f t="shared" si="16"/>
        <v>Munzee</v>
      </c>
      <c r="P353" s="61" t="str">
        <f>IFERROR(__xludf.DUMMYFUNCTION("IF($N353=1,IFERROR(IMPORTXML($I353, ""//p[@class='status-date']""), ""Not Loading""),"""")"),"Not Loading")</f>
        <v>Not Loading</v>
      </c>
      <c r="Q353" s="64"/>
      <c r="R353" s="64"/>
      <c r="S353" s="64"/>
      <c r="T353" s="64"/>
      <c r="U353" s="62" t="str">
        <f t="shared" si="8"/>
        <v>mortonfox</v>
      </c>
      <c r="V353" s="63">
        <f>IFERROR(__xludf.DUMMYFUNCTION("iferror(VALUE(left(index(IMPORTXML(I355, ""//div[@class='col-lg-2 user-stat stat-green']""),2,1),len(index(IMPORTXML(I355, ""//div[@class='col-lg-2 user-stat stat-green']""),2,1))-8)),0)"),0.0)</f>
        <v>0</v>
      </c>
    </row>
    <row r="354" ht="15.0" customHeight="1">
      <c r="A354" s="50">
        <f t="shared" si="9"/>
        <v>347</v>
      </c>
      <c r="B354" s="51" t="str">
        <f t="shared" si="2"/>
        <v>Chilli 🌶️ Killer ☠️ #347 | R25 - C6</v>
      </c>
      <c r="C354" s="52">
        <v>25.0</v>
      </c>
      <c r="D354" s="52">
        <v>6.0</v>
      </c>
      <c r="E354" s="53">
        <v>48.16035652</v>
      </c>
      <c r="F354" s="53">
        <v>17.14349808</v>
      </c>
      <c r="G354" s="54" t="s">
        <v>33</v>
      </c>
      <c r="H354" s="55" t="str">
        <f t="shared" si="12"/>
        <v>Insert URL ▶</v>
      </c>
      <c r="I354" s="56"/>
      <c r="J354" s="57"/>
      <c r="K354" s="58" t="b">
        <v>0</v>
      </c>
      <c r="L354" s="59">
        <f t="shared" si="13"/>
        <v>1</v>
      </c>
      <c r="M354" s="59">
        <f t="shared" si="14"/>
        <v>0</v>
      </c>
      <c r="N354" s="59">
        <f t="shared" si="15"/>
        <v>0</v>
      </c>
      <c r="O354" s="60" t="str">
        <f t="shared" si="16"/>
        <v/>
      </c>
      <c r="P354" s="61" t="str">
        <f>IFERROR(__xludf.DUMMYFUNCTION("IF($N354=1,IFERROR(IMPORTXML($I354, ""//p[@class='status-date']""), ""Not Loading""),"""")"),"")</f>
        <v/>
      </c>
      <c r="Q354" s="65"/>
      <c r="R354" s="65"/>
      <c r="S354" s="65"/>
      <c r="T354" s="65"/>
      <c r="U354" s="62" t="str">
        <f t="shared" si="8"/>
        <v/>
      </c>
      <c r="V354" s="63">
        <f>IFERROR(__xludf.DUMMYFUNCTION("iferror(VALUE(left(index(IMPORTXML(I356, ""//div[@class='col-lg-2 user-stat stat-green']""),2,1),len(index(IMPORTXML(I356, ""//div[@class='col-lg-2 user-stat stat-green']""),2,1))-8)),0)"),0.0)</f>
        <v>0</v>
      </c>
    </row>
    <row r="355" ht="15.0" customHeight="1">
      <c r="A355" s="50">
        <f t="shared" si="9"/>
        <v>348</v>
      </c>
      <c r="B355" s="51" t="str">
        <f t="shared" si="2"/>
        <v>Chilli 🌶️ Killer ☠️ #348 | R26 - C2</v>
      </c>
      <c r="C355" s="52">
        <v>26.0</v>
      </c>
      <c r="D355" s="52">
        <v>2.0</v>
      </c>
      <c r="E355" s="53">
        <v>48.16023204</v>
      </c>
      <c r="F355" s="53">
        <v>17.14274392</v>
      </c>
      <c r="G355" s="54" t="s">
        <v>33</v>
      </c>
      <c r="H355" s="55" t="str">
        <f t="shared" si="12"/>
        <v>Traycee</v>
      </c>
      <c r="I355" s="56" t="s">
        <v>348</v>
      </c>
      <c r="J355" s="57"/>
      <c r="K355" s="58" t="b">
        <v>1</v>
      </c>
      <c r="L355" s="59">
        <f t="shared" si="13"/>
        <v>0</v>
      </c>
      <c r="M355" s="59">
        <f t="shared" si="14"/>
        <v>0</v>
      </c>
      <c r="N355" s="59">
        <f t="shared" si="15"/>
        <v>0</v>
      </c>
      <c r="O355" s="60" t="str">
        <f t="shared" si="16"/>
        <v/>
      </c>
      <c r="P355" s="61" t="str">
        <f>IFERROR(__xludf.DUMMYFUNCTION("IF($N355=1,IFERROR(IMPORTXML($I355, ""//p[@class='status-date']""), ""Not Loading""),"""")"),"")</f>
        <v/>
      </c>
      <c r="Q355" s="64"/>
      <c r="R355" s="64"/>
      <c r="S355" s="64"/>
      <c r="T355" s="64"/>
      <c r="U355" s="62" t="str">
        <f t="shared" si="8"/>
        <v>Traycee</v>
      </c>
      <c r="V355" s="63">
        <f>IFERROR(__xludf.DUMMYFUNCTION("iferror(VALUE(left(index(IMPORTXML(I357, ""//div[@class='col-lg-2 user-stat stat-green']""),2,1),len(index(IMPORTXML(I357, ""//div[@class='col-lg-2 user-stat stat-green']""),2,1))-8)),0)"),0.0)</f>
        <v>0</v>
      </c>
    </row>
    <row r="356" ht="15.0" customHeight="1">
      <c r="A356" s="50">
        <f t="shared" si="9"/>
        <v>349</v>
      </c>
      <c r="B356" s="51" t="str">
        <f t="shared" si="2"/>
        <v>Chilli 🌶️ Killer ☠️ #349 | R26 - C3</v>
      </c>
      <c r="C356" s="52">
        <v>26.0</v>
      </c>
      <c r="D356" s="52">
        <v>3.0</v>
      </c>
      <c r="E356" s="53">
        <v>48.16023204</v>
      </c>
      <c r="F356" s="53">
        <v>17.1429594</v>
      </c>
      <c r="G356" s="54" t="s">
        <v>42</v>
      </c>
      <c r="H356" s="55" t="str">
        <f t="shared" si="12"/>
        <v>Neloras</v>
      </c>
      <c r="I356" s="56" t="s">
        <v>349</v>
      </c>
      <c r="J356" s="57"/>
      <c r="K356" s="58" t="b">
        <v>1</v>
      </c>
      <c r="L356" s="59">
        <f t="shared" si="13"/>
        <v>0</v>
      </c>
      <c r="M356" s="59">
        <f t="shared" si="14"/>
        <v>0</v>
      </c>
      <c r="N356" s="59">
        <f t="shared" si="15"/>
        <v>0</v>
      </c>
      <c r="O356" s="60" t="str">
        <f t="shared" si="16"/>
        <v/>
      </c>
      <c r="P356" s="61" t="str">
        <f>IFERROR(__xludf.DUMMYFUNCTION("IF($N356=1,IFERROR(IMPORTXML($I356, ""//p[@class='status-date']""), ""Not Loading""),"""")"),"")</f>
        <v/>
      </c>
      <c r="Q356" s="65"/>
      <c r="R356" s="65"/>
      <c r="S356" s="65"/>
      <c r="T356" s="65"/>
      <c r="U356" s="62" t="str">
        <f t="shared" si="8"/>
        <v>Neloras</v>
      </c>
      <c r="V356" s="63">
        <f>IFERROR(__xludf.DUMMYFUNCTION("iferror(VALUE(left(index(IMPORTXML(I358, ""//div[@class='col-lg-2 user-stat stat-green']""),2,1),len(index(IMPORTXML(I358, ""//div[@class='col-lg-2 user-stat stat-green']""),2,1))-8)),0)"),0.0)</f>
        <v>0</v>
      </c>
    </row>
    <row r="357" ht="15.0" customHeight="1">
      <c r="A357" s="50">
        <f t="shared" si="9"/>
        <v>350</v>
      </c>
      <c r="B357" s="51" t="str">
        <f t="shared" si="2"/>
        <v>Chilli 🌶️ Killer ☠️ #350 | R26 - C4</v>
      </c>
      <c r="C357" s="52">
        <v>26.0</v>
      </c>
      <c r="D357" s="52">
        <v>4.0</v>
      </c>
      <c r="E357" s="53">
        <v>48.16023204</v>
      </c>
      <c r="F357" s="53">
        <v>17.14317487</v>
      </c>
      <c r="G357" s="54" t="s">
        <v>33</v>
      </c>
      <c r="H357" s="55" t="str">
        <f t="shared" si="12"/>
        <v>florish</v>
      </c>
      <c r="I357" s="56" t="s">
        <v>350</v>
      </c>
      <c r="J357" s="57"/>
      <c r="K357" s="58" t="b">
        <v>1</v>
      </c>
      <c r="L357" s="59">
        <f t="shared" si="13"/>
        <v>0</v>
      </c>
      <c r="M357" s="59">
        <f t="shared" si="14"/>
        <v>0</v>
      </c>
      <c r="N357" s="59">
        <f t="shared" si="15"/>
        <v>0</v>
      </c>
      <c r="O357" s="60" t="str">
        <f t="shared" si="16"/>
        <v/>
      </c>
      <c r="P357" s="61" t="str">
        <f>IFERROR(__xludf.DUMMYFUNCTION("IF($N357=1,IFERROR(IMPORTXML($I357, ""//p[@class='status-date']""), ""Not Loading""),"""")"),"")</f>
        <v/>
      </c>
      <c r="Q357" s="64"/>
      <c r="R357" s="64"/>
      <c r="S357" s="64"/>
      <c r="T357" s="64"/>
      <c r="U357" s="62" t="str">
        <f t="shared" si="8"/>
        <v>florish</v>
      </c>
      <c r="V357" s="63">
        <f>IFERROR(__xludf.DUMMYFUNCTION("iferror(VALUE(left(index(IMPORTXML(I359, ""//div[@class='col-lg-2 user-stat stat-green']""),2,1),len(index(IMPORTXML(I359, ""//div[@class='col-lg-2 user-stat stat-green']""),2,1))-8)),0)"),0.0)</f>
        <v>0</v>
      </c>
    </row>
    <row r="358" ht="15.0" customHeight="1">
      <c r="A358" s="50">
        <f t="shared" si="9"/>
        <v>351</v>
      </c>
      <c r="B358" s="51" t="str">
        <f t="shared" si="2"/>
        <v>Chilli 🌶️ Killer ☠️ #351 | R27 - C2</v>
      </c>
      <c r="C358" s="52">
        <v>27.0</v>
      </c>
      <c r="D358" s="52">
        <v>2.0</v>
      </c>
      <c r="E358" s="53">
        <v>48.16010757</v>
      </c>
      <c r="F358" s="53">
        <v>17.14263618</v>
      </c>
      <c r="G358" s="54" t="s">
        <v>33</v>
      </c>
      <c r="H358" s="55" t="str">
        <f t="shared" si="12"/>
        <v>Kapor24</v>
      </c>
      <c r="I358" s="56" t="s">
        <v>351</v>
      </c>
      <c r="J358" s="57"/>
      <c r="K358" s="58" t="b">
        <v>1</v>
      </c>
      <c r="L358" s="59">
        <f t="shared" si="13"/>
        <v>0</v>
      </c>
      <c r="M358" s="59">
        <f t="shared" si="14"/>
        <v>0</v>
      </c>
      <c r="N358" s="59">
        <f t="shared" si="15"/>
        <v>0</v>
      </c>
      <c r="O358" s="60" t="str">
        <f t="shared" si="16"/>
        <v/>
      </c>
      <c r="P358" s="61" t="str">
        <f>IFERROR(__xludf.DUMMYFUNCTION("IF($N358=1,IFERROR(IMPORTXML($I358, ""//p[@class='status-date']""), ""Not Loading""),"""")"),"")</f>
        <v/>
      </c>
      <c r="Q358" s="65"/>
      <c r="R358" s="65"/>
      <c r="S358" s="65"/>
      <c r="T358" s="65"/>
      <c r="U358" s="62" t="str">
        <f t="shared" si="8"/>
        <v>Kapor24</v>
      </c>
      <c r="V358" s="63">
        <f>IFERROR(__xludf.DUMMYFUNCTION("iferror(VALUE(left(index(IMPORTXML(I360, ""//div[@class='col-lg-2 user-stat stat-green']""),2,1),len(index(IMPORTXML(I360, ""//div[@class='col-lg-2 user-stat stat-green']""),2,1))-8)),0)"),0.0)</f>
        <v>0</v>
      </c>
    </row>
    <row r="359" ht="15.0" customHeight="1">
      <c r="A359" s="50">
        <f t="shared" si="9"/>
        <v>352</v>
      </c>
      <c r="B359" s="51" t="str">
        <f t="shared" si="2"/>
        <v>Chilli 🌶️ Killer ☠️ #352 | R27 - C3</v>
      </c>
      <c r="C359" s="52">
        <v>27.0</v>
      </c>
      <c r="D359" s="52">
        <v>3.0</v>
      </c>
      <c r="E359" s="53">
        <v>48.16010757</v>
      </c>
      <c r="F359" s="53">
        <v>17.14285165</v>
      </c>
      <c r="G359" s="54" t="s">
        <v>42</v>
      </c>
      <c r="H359" s="55" t="str">
        <f t="shared" si="12"/>
        <v>and2470</v>
      </c>
      <c r="I359" s="56" t="s">
        <v>352</v>
      </c>
      <c r="J359" s="57"/>
      <c r="K359" s="58" t="b">
        <v>1</v>
      </c>
      <c r="L359" s="59">
        <f t="shared" si="13"/>
        <v>0</v>
      </c>
      <c r="M359" s="59">
        <f t="shared" si="14"/>
        <v>0</v>
      </c>
      <c r="N359" s="59">
        <f t="shared" si="15"/>
        <v>0</v>
      </c>
      <c r="O359" s="60" t="str">
        <f t="shared" si="16"/>
        <v/>
      </c>
      <c r="P359" s="61" t="str">
        <f>IFERROR(__xludf.DUMMYFUNCTION("IF($N359=1,IFERROR(IMPORTXML($I359, ""//p[@class='status-date']""), ""Not Loading""),"""")"),"")</f>
        <v/>
      </c>
      <c r="Q359" s="64"/>
      <c r="R359" s="64"/>
      <c r="S359" s="64"/>
      <c r="T359" s="64"/>
      <c r="U359" s="62" t="str">
        <f t="shared" si="8"/>
        <v>and2470</v>
      </c>
      <c r="V359" s="63">
        <f>IFERROR(__xludf.DUMMYFUNCTION("iferror(VALUE(left(index(IMPORTXML(I361, ""//div[@class='col-lg-2 user-stat stat-green']""),2,1),len(index(IMPORTXML(I361, ""//div[@class='col-lg-2 user-stat stat-green']""),2,1))-8)),0)"),0.0)</f>
        <v>0</v>
      </c>
    </row>
    <row r="360" ht="15.0" customHeight="1">
      <c r="A360" s="50">
        <f t="shared" si="9"/>
        <v>353</v>
      </c>
      <c r="B360" s="51" t="str">
        <f t="shared" si="2"/>
        <v>Chilli 🌶️ Killer ☠️ #353 | R27 - C4</v>
      </c>
      <c r="C360" s="52">
        <v>27.0</v>
      </c>
      <c r="D360" s="52">
        <v>4.0</v>
      </c>
      <c r="E360" s="53">
        <v>48.16010757</v>
      </c>
      <c r="F360" s="53">
        <v>17.14306712</v>
      </c>
      <c r="G360" s="54" t="s">
        <v>33</v>
      </c>
      <c r="H360" s="55" t="str">
        <f t="shared" si="12"/>
        <v>mathew611</v>
      </c>
      <c r="I360" s="56" t="s">
        <v>353</v>
      </c>
      <c r="J360" s="57"/>
      <c r="K360" s="58" t="b">
        <v>1</v>
      </c>
      <c r="L360" s="59">
        <f t="shared" si="13"/>
        <v>0</v>
      </c>
      <c r="M360" s="59">
        <f t="shared" si="14"/>
        <v>0</v>
      </c>
      <c r="N360" s="59">
        <f t="shared" si="15"/>
        <v>0</v>
      </c>
      <c r="O360" s="60" t="str">
        <f t="shared" si="16"/>
        <v/>
      </c>
      <c r="P360" s="61" t="str">
        <f>IFERROR(__xludf.DUMMYFUNCTION("IF($N360=1,IFERROR(IMPORTXML($I360, ""//p[@class='status-date']""), ""Not Loading""),"""")"),"")</f>
        <v/>
      </c>
      <c r="Q360" s="65"/>
      <c r="R360" s="65"/>
      <c r="S360" s="65"/>
      <c r="T360" s="65"/>
      <c r="U360" s="62" t="str">
        <f t="shared" si="8"/>
        <v>mathew611</v>
      </c>
      <c r="V360" s="63">
        <f>IFERROR(__xludf.DUMMYFUNCTION("iferror(VALUE(left(index(IMPORTXML(I362, ""//div[@class='col-lg-2 user-stat stat-green']""),2,1),len(index(IMPORTXML(I362, ""//div[@class='col-lg-2 user-stat stat-green']""),2,1))-8)),0)"),0.0)</f>
        <v>0</v>
      </c>
    </row>
    <row r="361" ht="15.0" customHeight="1">
      <c r="A361" s="50">
        <f t="shared" si="9"/>
        <v>354</v>
      </c>
      <c r="B361" s="51" t="str">
        <f t="shared" si="2"/>
        <v>Chilli 🌶️ Killer ☠️ #354 | R28 - C2</v>
      </c>
      <c r="C361" s="52">
        <v>28.0</v>
      </c>
      <c r="D361" s="52">
        <v>2.0</v>
      </c>
      <c r="E361" s="53">
        <v>48.15998309</v>
      </c>
      <c r="F361" s="53">
        <v>17.14274391</v>
      </c>
      <c r="G361" s="54" t="s">
        <v>33</v>
      </c>
      <c r="H361" s="55" t="str">
        <f t="shared" si="12"/>
        <v>Nicolet</v>
      </c>
      <c r="I361" s="56" t="s">
        <v>354</v>
      </c>
      <c r="J361" s="57"/>
      <c r="K361" s="58" t="b">
        <v>1</v>
      </c>
      <c r="L361" s="59">
        <f t="shared" si="13"/>
        <v>0</v>
      </c>
      <c r="M361" s="59">
        <f t="shared" si="14"/>
        <v>0</v>
      </c>
      <c r="N361" s="59">
        <f t="shared" si="15"/>
        <v>0</v>
      </c>
      <c r="O361" s="60" t="str">
        <f t="shared" si="16"/>
        <v/>
      </c>
      <c r="P361" s="61" t="str">
        <f>IFERROR(__xludf.DUMMYFUNCTION("IF($N361=1,IFERROR(IMPORTXML($I361, ""//p[@class='status-date']""), ""Not Loading""),"""")"),"")</f>
        <v/>
      </c>
      <c r="Q361" s="64"/>
      <c r="R361" s="64"/>
      <c r="S361" s="64"/>
      <c r="T361" s="64"/>
      <c r="U361" s="62" t="str">
        <f t="shared" si="8"/>
        <v>Nicolet</v>
      </c>
      <c r="V361" s="63">
        <f>IFERROR(__xludf.DUMMYFUNCTION("iferror(VALUE(left(index(IMPORTXML(I363, ""//div[@class='col-lg-2 user-stat stat-green']""),2,1),len(index(IMPORTXML(I363, ""//div[@class='col-lg-2 user-stat stat-green']""),2,1))-8)),0)"),0.0)</f>
        <v>0</v>
      </c>
    </row>
    <row r="362" ht="15.0" customHeight="1">
      <c r="A362" s="50">
        <f t="shared" si="9"/>
        <v>355</v>
      </c>
      <c r="B362" s="51" t="str">
        <f t="shared" si="2"/>
        <v>Chilli 🌶️ Killer ☠️ #355 | R28 - C3</v>
      </c>
      <c r="C362" s="52">
        <v>28.0</v>
      </c>
      <c r="D362" s="52">
        <v>3.0</v>
      </c>
      <c r="E362" s="53">
        <v>48.15998309</v>
      </c>
      <c r="F362" s="53">
        <v>17.14295938</v>
      </c>
      <c r="G362" s="54" t="s">
        <v>33</v>
      </c>
      <c r="H362" s="55" t="str">
        <f t="shared" si="12"/>
        <v>scarlettdragon</v>
      </c>
      <c r="I362" s="56" t="s">
        <v>355</v>
      </c>
      <c r="J362" s="57"/>
      <c r="K362" s="58" t="b">
        <v>1</v>
      </c>
      <c r="L362" s="59">
        <f t="shared" si="13"/>
        <v>0</v>
      </c>
      <c r="M362" s="59">
        <f t="shared" si="14"/>
        <v>0</v>
      </c>
      <c r="N362" s="59">
        <f t="shared" si="15"/>
        <v>0</v>
      </c>
      <c r="O362" s="60" t="str">
        <f t="shared" si="16"/>
        <v/>
      </c>
      <c r="P362" s="61" t="str">
        <f>IFERROR(__xludf.DUMMYFUNCTION("IF($N362=1,IFERROR(IMPORTXML($I362, ""//p[@class='status-date']""), ""Not Loading""),"""")"),"")</f>
        <v/>
      </c>
      <c r="Q362" s="65"/>
      <c r="R362" s="65"/>
      <c r="S362" s="65"/>
      <c r="T362" s="65"/>
      <c r="U362" s="62" t="str">
        <f t="shared" si="8"/>
        <v>scarlettdragon</v>
      </c>
      <c r="V362" s="63">
        <f>IFERROR(__xludf.DUMMYFUNCTION("iferror(VALUE(left(index(IMPORTXML(I364, ""//div[@class='col-lg-2 user-stat stat-green']""),2,1),len(index(IMPORTXML(I364, ""//div[@class='col-lg-2 user-stat stat-green']""),2,1))-8)),0)"),0.0)</f>
        <v>0</v>
      </c>
    </row>
    <row r="363" ht="15.0" customHeight="1">
      <c r="A363" s="50">
        <f t="shared" si="9"/>
        <v>356</v>
      </c>
      <c r="B363" s="51" t="str">
        <f t="shared" si="2"/>
        <v>Chilli 🌶️ Killer ☠️ #356 | R29 - C2</v>
      </c>
      <c r="C363" s="52">
        <v>29.0</v>
      </c>
      <c r="D363" s="52">
        <v>2.0</v>
      </c>
      <c r="E363" s="53">
        <v>48.15985862</v>
      </c>
      <c r="F363" s="53">
        <v>17.14263617</v>
      </c>
      <c r="G363" s="54" t="s">
        <v>33</v>
      </c>
      <c r="H363" s="55" t="str">
        <f t="shared" si="12"/>
        <v>barefootguru</v>
      </c>
      <c r="I363" s="56" t="s">
        <v>356</v>
      </c>
      <c r="J363" s="57"/>
      <c r="K363" s="58" t="b">
        <v>1</v>
      </c>
      <c r="L363" s="59">
        <f t="shared" si="13"/>
        <v>0</v>
      </c>
      <c r="M363" s="59">
        <f t="shared" si="14"/>
        <v>0</v>
      </c>
      <c r="N363" s="59">
        <f t="shared" si="15"/>
        <v>0</v>
      </c>
      <c r="O363" s="60" t="str">
        <f t="shared" si="16"/>
        <v/>
      </c>
      <c r="P363" s="61" t="str">
        <f>IFERROR(__xludf.DUMMYFUNCTION("IF($N363=1,IFERROR(IMPORTXML($I363, ""//p[@class='status-date']""), ""Not Loading""),"""")"),"")</f>
        <v/>
      </c>
      <c r="Q363" s="64"/>
      <c r="R363" s="64"/>
      <c r="S363" s="64"/>
      <c r="T363" s="64"/>
      <c r="U363" s="62" t="str">
        <f t="shared" si="8"/>
        <v>barefootguru</v>
      </c>
      <c r="V363" s="63">
        <f>IFERROR(__xludf.DUMMYFUNCTION("iferror(VALUE(left(index(IMPORTXML(#REF!, ""//div[@class='col-lg-2 user-stat stat-green']""),2,1),len(index(IMPORTXML(#REF!, ""//div[@class='col-lg-2 user-stat stat-green']""),2,1))-8)),0)"),0.0)</f>
        <v>0</v>
      </c>
    </row>
    <row r="364" ht="15.0" customHeight="1">
      <c r="A364" s="50">
        <f t="shared" si="9"/>
        <v>357</v>
      </c>
      <c r="B364" s="51" t="str">
        <f t="shared" si="2"/>
        <v>Chilli 🌶️ Killer ☠️ #357 | R30 - C1</v>
      </c>
      <c r="C364" s="52">
        <v>30.0</v>
      </c>
      <c r="D364" s="52">
        <v>1.0</v>
      </c>
      <c r="E364" s="53">
        <v>48.15973415</v>
      </c>
      <c r="F364" s="53">
        <v>17.14252843</v>
      </c>
      <c r="G364" s="54" t="s">
        <v>33</v>
      </c>
      <c r="H364" s="55" t="str">
        <f t="shared" si="12"/>
        <v>StaceyZ</v>
      </c>
      <c r="I364" s="56" t="s">
        <v>357</v>
      </c>
      <c r="J364" s="57"/>
      <c r="K364" s="58" t="b">
        <v>1</v>
      </c>
      <c r="L364" s="59">
        <f t="shared" si="13"/>
        <v>0</v>
      </c>
      <c r="M364" s="59">
        <f t="shared" si="14"/>
        <v>0</v>
      </c>
      <c r="N364" s="59">
        <f t="shared" si="15"/>
        <v>0</v>
      </c>
      <c r="O364" s="60" t="str">
        <f t="shared" si="16"/>
        <v/>
      </c>
      <c r="P364" s="61" t="str">
        <f>IFERROR(__xludf.DUMMYFUNCTION("IF($N364=1,IFERROR(IMPORTXML($I364, ""//p[@class='status-date']""), ""Not Loading""),"""")"),"")</f>
        <v/>
      </c>
      <c r="Q364" s="65"/>
      <c r="R364" s="65"/>
      <c r="S364" s="65"/>
      <c r="T364" s="65"/>
      <c r="U364" s="62" t="str">
        <f t="shared" si="8"/>
        <v>StaceyZ</v>
      </c>
      <c r="V364" s="63">
        <f>IFERROR(__xludf.DUMMYFUNCTION("iferror(VALUE(left(index(IMPORTXML(#REF!, ""//div[@class='col-lg-2 user-stat stat-green']""),2,1),len(index(IMPORTXML(#REF!, ""//div[@class='col-lg-2 user-stat stat-green']""),2,1))-8)),0)"),0.0)</f>
        <v>0</v>
      </c>
    </row>
  </sheetData>
  <autoFilter ref="$A$7:$P$130"/>
  <mergeCells count="2">
    <mergeCell ref="K1:P6"/>
    <mergeCell ref="G2:J6"/>
  </mergeCells>
  <conditionalFormatting sqref="H8:H364">
    <cfRule type="expression" dxfId="0" priority="1">
      <formula>$K8=TRUE</formula>
    </cfRule>
  </conditionalFormatting>
  <conditionalFormatting sqref="G1:G364">
    <cfRule type="containsText" dxfId="1" priority="2" operator="containsText" text="Goggles">
      <formula>NOT(ISERROR(SEARCH(("Goggles"),(G1))))</formula>
    </cfRule>
  </conditionalFormatting>
  <conditionalFormatting sqref="G1:G364">
    <cfRule type="containsText" dxfId="2" priority="3" operator="containsText" text="Citrine">
      <formula>NOT(ISERROR(SEARCH(("Citrine"),(G1))))</formula>
    </cfRule>
  </conditionalFormatting>
  <conditionalFormatting sqref="G1:G364">
    <cfRule type="containsText" dxfId="3" priority="4" operator="containsText" text="Onyx">
      <formula>NOT(ISERROR(SEARCH(("Onyx"),(G1))))</formula>
    </cfRule>
  </conditionalFormatting>
  <conditionalFormatting sqref="G1:G364">
    <cfRule type="containsText" dxfId="4" priority="5" operator="containsText" text="POI">
      <formula>NOT(ISERROR(SEARCH(("POI"),(G1))))</formula>
    </cfRule>
  </conditionalFormatting>
  <conditionalFormatting sqref="G1:G364">
    <cfRule type="containsText" dxfId="5" priority="6" operator="containsText" text="Electric M">
      <formula>NOT(ISERROR(SEARCH(("Electric M"),(G1))))</formula>
    </cfRule>
  </conditionalFormatting>
  <conditionalFormatting sqref="G1:G364">
    <cfRule type="containsText" dxfId="6" priority="7" operator="containsText" text="Family">
      <formula>NOT(ISERROR(SEARCH(("Family"),(G1))))</formula>
    </cfRule>
  </conditionalFormatting>
  <conditionalFormatting sqref="G1:G364">
    <cfRule type="containsText" dxfId="7" priority="8" operator="containsText" text="Jelly">
      <formula>NOT(ISERROR(SEARCH(("Jelly"),(G1))))</formula>
    </cfRule>
  </conditionalFormatting>
  <conditionalFormatting sqref="G1:G364">
    <cfRule type="containsText" dxfId="8" priority="9" operator="containsText" text="Bitter">
      <formula>NOT(ISERROR(SEARCH(("Bitter"),(G1))))</formula>
    </cfRule>
  </conditionalFormatting>
  <conditionalFormatting sqref="G1:G364">
    <cfRule type="containsText" dxfId="9" priority="10" operator="containsText" text="Virtual Red">
      <formula>NOT(ISERROR(SEARCH(("Virtual Red"),(G1))))</formula>
    </cfRule>
  </conditionalFormatting>
  <conditionalFormatting sqref="G1:G364">
    <cfRule type="containsText" dxfId="10" priority="11" operator="containsText" text="Timber">
      <formula>NOT(ISERROR(SEARCH(("Timber"),(G1))))</formula>
    </cfRule>
  </conditionalFormatting>
  <conditionalFormatting sqref="G1:G364">
    <cfRule type="containsText" dxfId="11" priority="12" operator="containsText" text="White">
      <formula>NOT(ISERROR(SEARCH(("White"),(G1))))</formula>
    </cfRule>
  </conditionalFormatting>
  <conditionalFormatting sqref="G1:G364">
    <cfRule type="containsText" dxfId="12" priority="13" operator="containsText" text="Rob">
      <formula>NOT(ISERROR(SEARCH(("Rob"),(G1))))</formula>
    </cfRule>
  </conditionalFormatting>
  <conditionalFormatting sqref="G1:G364">
    <cfRule type="containsText" dxfId="13" priority="14" operator="containsText" text="Joystick">
      <formula>NOT(ISERROR(SEARCH(("Joystick"),(G1))))</formula>
    </cfRule>
  </conditionalFormatting>
  <conditionalFormatting sqref="G1:G364">
    <cfRule type="containsText" dxfId="14" priority="15" operator="containsText" text="Wheel">
      <formula>NOT(ISERROR(SEARCH(("Wheel"),(G1))))</formula>
    </cfRule>
  </conditionalFormatting>
  <conditionalFormatting sqref="G1:G364">
    <cfRule type="containsText" dxfId="15" priority="16" operator="containsText" text="Carrot">
      <formula>NOT(ISERROR(SEARCH(("Carrot"),(G1))))</formula>
    </cfRule>
  </conditionalFormatting>
  <conditionalFormatting sqref="G1:G364">
    <cfRule type="cellIs" dxfId="16" priority="17" operator="equal">
      <formula>"Crossbow"</formula>
    </cfRule>
  </conditionalFormatting>
  <conditionalFormatting sqref="G1:G364">
    <cfRule type="containsText" dxfId="17" priority="18" operator="containsText" text="Catapult">
      <formula>NOT(ISERROR(SEARCH(("Catapult"),(G1))))</formula>
    </cfRule>
  </conditionalFormatting>
  <conditionalFormatting sqref="G1:G364">
    <cfRule type="containsText" dxfId="18" priority="19" operator="containsText" text="Car Evo">
      <formula>NOT(ISERROR(SEARCH(("Car Evo"),(G1))))</formula>
    </cfRule>
  </conditionalFormatting>
  <conditionalFormatting sqref="G1:G364">
    <cfRule type="containsText" dxfId="19" priority="20" operator="containsText" text="Sapphire">
      <formula>NOT(ISERROR(SEARCH(("Sapphire"),(G1))))</formula>
    </cfRule>
  </conditionalFormatting>
  <conditionalFormatting sqref="G1:G364">
    <cfRule type="containsText" dxfId="20" priority="21" operator="containsText" text="Dande">
      <formula>NOT(ISERROR(SEARCH(("Dande"),(G1))))</formula>
    </cfRule>
  </conditionalFormatting>
  <conditionalFormatting sqref="G1:G364">
    <cfRule type="containsText" dxfId="21" priority="22" operator="containsText" text="Surprise">
      <formula>NOT(ISERROR(SEARCH(("Surprise"),(G1))))</formula>
    </cfRule>
  </conditionalFormatting>
  <conditionalFormatting sqref="G1:G364">
    <cfRule type="containsText" dxfId="22" priority="23" operator="containsText" text="Field e">
      <formula>NOT(ISERROR(SEARCH(("Field e"),(G1))))</formula>
    </cfRule>
  </conditionalFormatting>
  <conditionalFormatting sqref="G1:G364">
    <cfRule type="containsText" dxfId="23" priority="24" operator="containsText" text="Air Mystery">
      <formula>NOT(ISERROR(SEARCH(("Air Mystery"),(G1))))</formula>
    </cfRule>
  </conditionalFormatting>
  <conditionalFormatting sqref="G1:G364">
    <cfRule type="containsText" dxfId="24" priority="25" operator="containsText" text="White">
      <formula>NOT(ISERROR(SEARCH(("White"),(G1))))</formula>
    </cfRule>
  </conditionalFormatting>
  <conditionalFormatting sqref="G1:G364">
    <cfRule type="containsText" dxfId="25" priority="26" operator="containsText" text="Peas">
      <formula>NOT(ISERROR(SEARCH(("Peas"),(G1))))</formula>
    </cfRule>
  </conditionalFormatting>
  <conditionalFormatting sqref="G1:G364">
    <cfRule type="containsText" dxfId="26" priority="27" operator="containsText" text="Burnt">
      <formula>NOT(ISERROR(SEARCH(("Burnt"),(G1))))</formula>
    </cfRule>
  </conditionalFormatting>
  <conditionalFormatting sqref="G1:G364">
    <cfRule type="containsText" dxfId="27" priority="28" operator="containsText" text="Forest">
      <formula>NOT(ISERROR(SEARCH(("Forest"),(G1))))</formula>
    </cfRule>
  </conditionalFormatting>
  <conditionalFormatting sqref="G1:G364">
    <cfRule type="containsText" dxfId="28" priority="29" operator="containsText" text="Asparagus">
      <formula>NOT(ISERROR(SEARCH(("Asparagus"),(G1))))</formula>
    </cfRule>
  </conditionalFormatting>
  <conditionalFormatting sqref="G1:G364">
    <cfRule type="containsText" dxfId="29" priority="30" operator="containsText" text="Olive">
      <formula>NOT(ISERROR(SEARCH(("Olive"),(G1))))</formula>
    </cfRule>
  </conditionalFormatting>
  <conditionalFormatting sqref="G1:G364">
    <cfRule type="containsText" dxfId="30" priority="31" operator="containsText" text="Yellow Gr">
      <formula>NOT(ISERROR(SEARCH(("Yellow Gr"),(G1))))</formula>
    </cfRule>
  </conditionalFormatting>
  <conditionalFormatting sqref="G1:G364">
    <cfRule type="containsText" dxfId="31" priority="32" operator="containsText" text="Silver">
      <formula>NOT(ISERROR(SEARCH(("Silver"),(G1))))</formula>
    </cfRule>
  </conditionalFormatting>
  <conditionalFormatting sqref="G1:G364">
    <cfRule type="containsText" dxfId="32" priority="33" operator="containsText" text="Eggs">
      <formula>NOT(ISERROR(SEARCH(("Eggs"),(G1))))</formula>
    </cfRule>
  </conditionalFormatting>
  <conditionalFormatting sqref="G1:G364">
    <cfRule type="containsText" dxfId="33" priority="34" operator="containsText" text="Submarine">
      <formula>NOT(ISERROR(SEARCH(("Submarine"),(G1))))</formula>
    </cfRule>
  </conditionalFormatting>
  <conditionalFormatting sqref="G1:G364">
    <cfRule type="containsText" dxfId="34" priority="35" operator="containsText" text="Safari">
      <formula>NOT(ISERROR(SEARCH(("Safari"),(G1))))</formula>
    </cfRule>
  </conditionalFormatting>
  <conditionalFormatting sqref="G1:G364">
    <cfRule type="containsText" dxfId="35" priority="36" operator="containsText" text="Horse">
      <formula>NOT(ISERROR(SEARCH(("Horse"),(G1))))</formula>
    </cfRule>
  </conditionalFormatting>
  <conditionalFormatting sqref="G1:G364">
    <cfRule type="containsText" dxfId="36" priority="37" operator="containsText" text="Amethyst">
      <formula>NOT(ISERROR(SEARCH(("Amethyst"),(G1))))</formula>
    </cfRule>
  </conditionalFormatting>
  <conditionalFormatting sqref="G1:G364">
    <cfRule type="containsText" dxfId="37" priority="38" operator="containsText" text="RUM">
      <formula>NOT(ISERROR(SEARCH(("RUM"),(G1))))</formula>
    </cfRule>
  </conditionalFormatting>
  <conditionalFormatting sqref="G1:G364">
    <cfRule type="containsText" dxfId="38" priority="39" operator="containsText" text="Green">
      <formula>NOT(ISERROR(SEARCH(("Green"),(G1))))</formula>
    </cfRule>
  </conditionalFormatting>
  <conditionalFormatting sqref="G1:G364">
    <cfRule type="containsText" dxfId="39" priority="40" operator="containsText" text="Zodiac">
      <formula>NOT(ISERROR(SEARCH(("Zodiac"),(G1))))</formula>
    </cfRule>
  </conditionalFormatting>
  <hyperlinks>
    <hyperlink r:id="rId1" ref="J1"/>
    <hyperlink r:id="rId2" ref="B2"/>
    <hyperlink r:id="rId3" ref="B3"/>
    <hyperlink r:id="rId4" ref="I8"/>
    <hyperlink r:id="rId5" ref="I9"/>
    <hyperlink r:id="rId6" ref="I10"/>
    <hyperlink r:id="rId7" ref="I11"/>
    <hyperlink r:id="rId8" ref="I12"/>
    <hyperlink r:id="rId9" ref="I13"/>
    <hyperlink r:id="rId10" ref="I14"/>
    <hyperlink r:id="rId11" ref="I15"/>
    <hyperlink r:id="rId12" ref="I16"/>
    <hyperlink r:id="rId13" ref="I17"/>
    <hyperlink r:id="rId14" ref="I18"/>
    <hyperlink r:id="rId15" ref="I19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  <hyperlink r:id="rId31" ref="I35"/>
    <hyperlink r:id="rId32" ref="I36"/>
    <hyperlink r:id="rId33" ref="I37"/>
    <hyperlink r:id="rId34" ref="I38"/>
    <hyperlink r:id="rId35" ref="I39"/>
    <hyperlink r:id="rId36" ref="I40"/>
    <hyperlink r:id="rId37" ref="I41"/>
    <hyperlink r:id="rId38" ref="I42"/>
    <hyperlink r:id="rId39" ref="I43"/>
    <hyperlink r:id="rId40" ref="I44"/>
    <hyperlink r:id="rId41" ref="I45"/>
    <hyperlink r:id="rId42" ref="I46"/>
    <hyperlink r:id="rId43" ref="I47"/>
    <hyperlink r:id="rId44" ref="I48"/>
    <hyperlink r:id="rId45" ref="I49"/>
    <hyperlink r:id="rId46" ref="I50"/>
    <hyperlink r:id="rId47" ref="I51"/>
    <hyperlink r:id="rId48" ref="I52"/>
    <hyperlink r:id="rId49" ref="I53"/>
    <hyperlink r:id="rId50" ref="I54"/>
    <hyperlink r:id="rId51" ref="I55"/>
    <hyperlink r:id="rId52" ref="I56"/>
    <hyperlink r:id="rId53" ref="I57"/>
    <hyperlink r:id="rId54" ref="I58"/>
    <hyperlink r:id="rId55" ref="I59"/>
    <hyperlink r:id="rId56" ref="I60"/>
    <hyperlink r:id="rId57" ref="I61"/>
    <hyperlink r:id="rId58" ref="I62"/>
    <hyperlink r:id="rId59" ref="I63"/>
    <hyperlink r:id="rId60" ref="I64"/>
    <hyperlink r:id="rId61" ref="I65"/>
    <hyperlink r:id="rId62" ref="I66"/>
    <hyperlink r:id="rId63" ref="I67"/>
    <hyperlink r:id="rId64" ref="I68"/>
    <hyperlink r:id="rId65" ref="I69"/>
    <hyperlink r:id="rId66" ref="I70"/>
    <hyperlink r:id="rId67" ref="I71"/>
    <hyperlink r:id="rId68" ref="I72"/>
    <hyperlink r:id="rId69" ref="I73"/>
    <hyperlink r:id="rId70" ref="I74"/>
    <hyperlink r:id="rId71" ref="I75"/>
    <hyperlink r:id="rId72" ref="I76"/>
    <hyperlink r:id="rId73" ref="I77"/>
    <hyperlink r:id="rId74" ref="I78"/>
    <hyperlink r:id="rId75" ref="I79"/>
    <hyperlink r:id="rId76" ref="I80"/>
    <hyperlink r:id="rId77" ref="I81"/>
    <hyperlink r:id="rId78" ref="I82"/>
    <hyperlink r:id="rId79" ref="I83"/>
    <hyperlink r:id="rId80" ref="I84"/>
    <hyperlink r:id="rId81" ref="I85"/>
    <hyperlink r:id="rId82" ref="I86"/>
    <hyperlink r:id="rId83" ref="I87"/>
    <hyperlink r:id="rId84" ref="I88"/>
    <hyperlink r:id="rId85" ref="I89"/>
    <hyperlink r:id="rId86" ref="I90"/>
    <hyperlink r:id="rId87" ref="I91"/>
    <hyperlink r:id="rId88" ref="I92"/>
    <hyperlink r:id="rId89" ref="I93"/>
    <hyperlink r:id="rId90" ref="I94"/>
    <hyperlink r:id="rId91" ref="I95"/>
    <hyperlink r:id="rId92" ref="I96"/>
    <hyperlink r:id="rId93" ref="I97"/>
    <hyperlink r:id="rId94" ref="I98"/>
    <hyperlink r:id="rId95" ref="I99"/>
    <hyperlink r:id="rId96" ref="I100"/>
    <hyperlink r:id="rId97" ref="I101"/>
    <hyperlink r:id="rId98" ref="I102"/>
    <hyperlink r:id="rId99" ref="I103"/>
    <hyperlink r:id="rId100" ref="I104"/>
    <hyperlink r:id="rId101" ref="I105"/>
    <hyperlink r:id="rId102" ref="I106"/>
    <hyperlink r:id="rId103" ref="I107"/>
    <hyperlink r:id="rId104" ref="I108"/>
    <hyperlink r:id="rId105" ref="I109"/>
    <hyperlink r:id="rId106" ref="I110"/>
    <hyperlink r:id="rId107" ref="I111"/>
    <hyperlink r:id="rId108" ref="I112"/>
    <hyperlink r:id="rId109" ref="I113"/>
    <hyperlink r:id="rId110" ref="I114"/>
    <hyperlink r:id="rId111" ref="I115"/>
    <hyperlink r:id="rId112" ref="I116"/>
    <hyperlink r:id="rId113" ref="I117"/>
    <hyperlink r:id="rId114" ref="I118"/>
    <hyperlink r:id="rId115" ref="I119"/>
    <hyperlink r:id="rId116" ref="I120"/>
    <hyperlink r:id="rId117" ref="I121"/>
    <hyperlink r:id="rId118" ref="I122"/>
    <hyperlink r:id="rId119" ref="I123"/>
    <hyperlink r:id="rId120" ref="I124"/>
    <hyperlink r:id="rId121" ref="I125"/>
    <hyperlink r:id="rId122" ref="I126"/>
    <hyperlink r:id="rId123" ref="I127"/>
    <hyperlink r:id="rId124" ref="I128"/>
    <hyperlink r:id="rId125" ref="I129"/>
    <hyperlink r:id="rId126" ref="I130"/>
    <hyperlink r:id="rId127" ref="I131"/>
    <hyperlink r:id="rId128" ref="I132"/>
    <hyperlink r:id="rId129" ref="I133"/>
    <hyperlink r:id="rId130" ref="I134"/>
    <hyperlink r:id="rId131" ref="I135"/>
    <hyperlink r:id="rId132" ref="I136"/>
    <hyperlink r:id="rId133" ref="I137"/>
    <hyperlink r:id="rId134" ref="I138"/>
    <hyperlink r:id="rId135" ref="I139"/>
    <hyperlink r:id="rId136" ref="I140"/>
    <hyperlink r:id="rId137" ref="I141"/>
    <hyperlink r:id="rId138" ref="I142"/>
    <hyperlink r:id="rId139" ref="I143"/>
    <hyperlink r:id="rId140" ref="I144"/>
    <hyperlink r:id="rId141" ref="I145"/>
    <hyperlink r:id="rId142" ref="I146"/>
    <hyperlink r:id="rId143" ref="I147"/>
    <hyperlink r:id="rId144" ref="I148"/>
    <hyperlink r:id="rId145" ref="I149"/>
    <hyperlink r:id="rId146" ref="I150"/>
    <hyperlink r:id="rId147" ref="I151"/>
    <hyperlink r:id="rId148" ref="I152"/>
    <hyperlink r:id="rId149" ref="I153"/>
    <hyperlink r:id="rId150" ref="I154"/>
    <hyperlink r:id="rId151" ref="I155"/>
    <hyperlink r:id="rId152" ref="I156"/>
    <hyperlink r:id="rId153" ref="I157"/>
    <hyperlink r:id="rId154" ref="I158"/>
    <hyperlink r:id="rId155" ref="I159"/>
    <hyperlink r:id="rId156" ref="I160"/>
    <hyperlink r:id="rId157" ref="I161"/>
    <hyperlink r:id="rId158" ref="I162"/>
    <hyperlink r:id="rId159" ref="I163"/>
    <hyperlink r:id="rId160" ref="I164"/>
    <hyperlink r:id="rId161" ref="I165"/>
    <hyperlink r:id="rId162" ref="I166"/>
    <hyperlink r:id="rId163" ref="I167"/>
    <hyperlink r:id="rId164" ref="I168"/>
    <hyperlink r:id="rId165" ref="I169"/>
    <hyperlink r:id="rId166" ref="I170"/>
    <hyperlink r:id="rId167" ref="I171"/>
    <hyperlink r:id="rId168" ref="I172"/>
    <hyperlink r:id="rId169" ref="I173"/>
    <hyperlink r:id="rId170" ref="I174"/>
    <hyperlink r:id="rId171" ref="I175"/>
    <hyperlink r:id="rId172" ref="I176"/>
    <hyperlink r:id="rId173" ref="I177"/>
    <hyperlink r:id="rId174" ref="I178"/>
    <hyperlink r:id="rId175" ref="I179"/>
    <hyperlink r:id="rId176" ref="I180"/>
    <hyperlink r:id="rId177" ref="I181"/>
    <hyperlink r:id="rId178" ref="I182"/>
    <hyperlink r:id="rId179" ref="I183"/>
    <hyperlink r:id="rId180" ref="I184"/>
    <hyperlink r:id="rId181" ref="I185"/>
    <hyperlink r:id="rId182" ref="I186"/>
    <hyperlink r:id="rId183" ref="I187"/>
    <hyperlink r:id="rId184" ref="I188"/>
    <hyperlink r:id="rId185" ref="I189"/>
    <hyperlink r:id="rId186" ref="I190"/>
    <hyperlink r:id="rId187" ref="I191"/>
    <hyperlink r:id="rId188" ref="I192"/>
    <hyperlink r:id="rId189" ref="I193"/>
    <hyperlink r:id="rId190" ref="I194"/>
    <hyperlink r:id="rId191" ref="I195"/>
    <hyperlink r:id="rId192" ref="I196"/>
    <hyperlink r:id="rId193" ref="I197"/>
    <hyperlink r:id="rId194" ref="I198"/>
    <hyperlink r:id="rId195" ref="I199"/>
    <hyperlink r:id="rId196" ref="I200"/>
    <hyperlink r:id="rId197" ref="I204"/>
    <hyperlink r:id="rId198" ref="I205"/>
    <hyperlink r:id="rId199" ref="I207"/>
    <hyperlink r:id="rId200" ref="I208"/>
    <hyperlink r:id="rId201" ref="I209"/>
    <hyperlink r:id="rId202" ref="I210"/>
    <hyperlink r:id="rId203" ref="I211"/>
    <hyperlink r:id="rId204" ref="I212"/>
    <hyperlink r:id="rId205" ref="I213"/>
    <hyperlink r:id="rId206" ref="I214"/>
    <hyperlink r:id="rId207" ref="I215"/>
    <hyperlink r:id="rId208" ref="I216"/>
    <hyperlink r:id="rId209" ref="I217"/>
    <hyperlink r:id="rId210" ref="I218"/>
    <hyperlink r:id="rId211" ref="I221"/>
    <hyperlink r:id="rId212" ref="I222"/>
    <hyperlink r:id="rId213" ref="I223"/>
    <hyperlink r:id="rId214" ref="I224"/>
    <hyperlink r:id="rId215" ref="I228"/>
    <hyperlink r:id="rId216" ref="I229"/>
    <hyperlink r:id="rId217" ref="I231"/>
    <hyperlink r:id="rId218" ref="I232"/>
    <hyperlink r:id="rId219" ref="I236"/>
    <hyperlink r:id="rId220" ref="I237"/>
    <hyperlink r:id="rId221" ref="I238"/>
    <hyperlink r:id="rId222" ref="I239"/>
    <hyperlink r:id="rId223" ref="I240"/>
    <hyperlink r:id="rId224" ref="I241"/>
    <hyperlink r:id="rId225" ref="I242"/>
    <hyperlink r:id="rId226" ref="I243"/>
    <hyperlink r:id="rId227" ref="I244"/>
    <hyperlink r:id="rId228" ref="I246"/>
    <hyperlink r:id="rId229" ref="I249"/>
    <hyperlink r:id="rId230" ref="I251"/>
    <hyperlink r:id="rId231" ref="I253"/>
    <hyperlink r:id="rId232" ref="I254"/>
    <hyperlink r:id="rId233" ref="I255"/>
    <hyperlink r:id="rId234" ref="I256"/>
    <hyperlink r:id="rId235" ref="I257"/>
    <hyperlink r:id="rId236" ref="I258"/>
    <hyperlink r:id="rId237" ref="I259"/>
    <hyperlink r:id="rId238" ref="I260"/>
    <hyperlink r:id="rId239" ref="I261"/>
    <hyperlink r:id="rId240" ref="I262"/>
    <hyperlink r:id="rId241" ref="I263"/>
    <hyperlink r:id="rId242" ref="I264"/>
    <hyperlink r:id="rId243" ref="I265"/>
    <hyperlink r:id="rId244" ref="I266"/>
    <hyperlink r:id="rId245" ref="I270"/>
    <hyperlink r:id="rId246" ref="I272"/>
    <hyperlink r:id="rId247" ref="I273"/>
    <hyperlink r:id="rId248" ref="I274"/>
    <hyperlink r:id="rId249" ref="I275"/>
    <hyperlink r:id="rId250" ref="I276"/>
    <hyperlink r:id="rId251" ref="I277"/>
    <hyperlink r:id="rId252" ref="I278"/>
    <hyperlink r:id="rId253" ref="I279"/>
    <hyperlink r:id="rId254" ref="I280"/>
    <hyperlink r:id="rId255" ref="I281"/>
    <hyperlink r:id="rId256" ref="I282"/>
    <hyperlink r:id="rId257" ref="I283"/>
    <hyperlink r:id="rId258" ref="I284"/>
    <hyperlink r:id="rId259" ref="I287"/>
    <hyperlink r:id="rId260" ref="I288"/>
    <hyperlink r:id="rId261" ref="I289"/>
    <hyperlink r:id="rId262" ref="I290"/>
    <hyperlink r:id="rId263" ref="I291"/>
    <hyperlink r:id="rId264" ref="I292"/>
    <hyperlink r:id="rId265" ref="I293"/>
    <hyperlink r:id="rId266" ref="I295"/>
    <hyperlink r:id="rId267" ref="I296"/>
    <hyperlink r:id="rId268" ref="I297"/>
    <hyperlink r:id="rId269" ref="I298"/>
    <hyperlink r:id="rId270" ref="I299"/>
    <hyperlink r:id="rId271" ref="I300"/>
    <hyperlink r:id="rId272" ref="I301"/>
    <hyperlink r:id="rId273" ref="I302"/>
    <hyperlink r:id="rId274" ref="I303"/>
    <hyperlink r:id="rId275" ref="I306"/>
    <hyperlink r:id="rId276" ref="I307"/>
    <hyperlink r:id="rId277" ref="I308"/>
    <hyperlink r:id="rId278" ref="I309"/>
    <hyperlink r:id="rId279" ref="I310"/>
    <hyperlink r:id="rId280" ref="I311"/>
    <hyperlink r:id="rId281" ref="I312"/>
    <hyperlink r:id="rId282" ref="I313"/>
    <hyperlink r:id="rId283" ref="I315"/>
    <hyperlink r:id="rId284" ref="I316"/>
    <hyperlink r:id="rId285" ref="I317"/>
    <hyperlink r:id="rId286" ref="I318"/>
    <hyperlink r:id="rId287" ref="I319"/>
    <hyperlink r:id="rId288" ref="I320"/>
    <hyperlink r:id="rId289" ref="I321"/>
    <hyperlink r:id="rId290" ref="I323"/>
    <hyperlink r:id="rId291" ref="I324"/>
    <hyperlink r:id="rId292" ref="I325"/>
    <hyperlink r:id="rId293" ref="I326"/>
    <hyperlink r:id="rId294" ref="I327"/>
    <hyperlink r:id="rId295" ref="I331"/>
    <hyperlink r:id="rId296" ref="I332"/>
    <hyperlink r:id="rId297" ref="I333"/>
    <hyperlink r:id="rId298" ref="I334"/>
    <hyperlink r:id="rId299" ref="I335"/>
    <hyperlink r:id="rId300" ref="I336"/>
    <hyperlink r:id="rId301" ref="I337"/>
    <hyperlink r:id="rId302" ref="I338"/>
    <hyperlink r:id="rId303" ref="I339"/>
    <hyperlink r:id="rId304" ref="I342"/>
    <hyperlink r:id="rId305" ref="I343"/>
    <hyperlink r:id="rId306" ref="I344"/>
    <hyperlink r:id="rId307" ref="I345"/>
    <hyperlink r:id="rId308" ref="I348"/>
    <hyperlink r:id="rId309" ref="I349"/>
    <hyperlink r:id="rId310" ref="I352"/>
    <hyperlink r:id="rId311" ref="I353"/>
    <hyperlink r:id="rId312" ref="I355"/>
    <hyperlink r:id="rId313" ref="I356"/>
    <hyperlink r:id="rId314" ref="I357"/>
    <hyperlink r:id="rId315" ref="I358"/>
    <hyperlink r:id="rId316" ref="I359"/>
    <hyperlink r:id="rId317" ref="I360"/>
    <hyperlink r:id="rId318" ref="I361"/>
    <hyperlink r:id="rId319" ref="I362"/>
    <hyperlink r:id="rId320" ref="I363"/>
    <hyperlink r:id="rId321" ref="I364"/>
  </hyperlinks>
  <drawing r:id="rId3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1.25"/>
    <col customWidth="1" min="2" max="2" width="24.13"/>
    <col customWidth="1" min="3" max="3" width="12.0"/>
    <col customWidth="1" min="4" max="7" width="10.75"/>
    <col customWidth="1" min="8" max="8" width="7.5"/>
    <col customWidth="1" min="9" max="9" width="10.75"/>
    <col customWidth="1" min="11" max="13" width="11.25"/>
    <col hidden="1" min="14" max="27" width="12.63"/>
  </cols>
  <sheetData>
    <row r="1" ht="27.75" customHeight="1">
      <c r="A1" s="85"/>
      <c r="B1" s="85" t="s">
        <v>358</v>
      </c>
      <c r="C1" s="85"/>
      <c r="D1" s="85"/>
      <c r="E1" s="85"/>
      <c r="F1" s="85"/>
      <c r="G1" s="85"/>
      <c r="H1" s="86"/>
      <c r="I1" s="87"/>
      <c r="J1" s="85"/>
      <c r="K1" s="86"/>
      <c r="L1" s="85"/>
      <c r="M1" s="86"/>
      <c r="N1" s="86"/>
      <c r="O1" s="86"/>
      <c r="P1" s="85"/>
      <c r="Q1" s="85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hidden="1">
      <c r="A2" s="89"/>
      <c r="B2" s="89"/>
      <c r="C2" s="89"/>
      <c r="D2" s="89"/>
      <c r="E2" s="89"/>
      <c r="F2" s="89"/>
      <c r="G2" s="89"/>
      <c r="H2" s="89"/>
      <c r="I2" s="90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</row>
    <row r="3" hidden="1">
      <c r="A3" s="89"/>
      <c r="B3" s="91"/>
      <c r="C3" s="89"/>
      <c r="D3" s="89"/>
      <c r="E3" s="89"/>
      <c r="F3" s="89"/>
      <c r="G3" s="89"/>
      <c r="H3" s="89"/>
      <c r="I3" s="90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</row>
    <row r="4">
      <c r="A4" s="92"/>
      <c r="B4" s="92"/>
      <c r="C4" s="92"/>
      <c r="D4" s="92"/>
      <c r="E4" s="92"/>
      <c r="F4" s="92"/>
      <c r="G4" s="92"/>
      <c r="H4" s="92"/>
      <c r="I4" s="93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</row>
    <row r="5">
      <c r="A5" s="94"/>
      <c r="B5" s="95" t="str">
        <f>Garden!$B$1</f>
        <v>Chilli 🌶️ Killer ☠️</v>
      </c>
      <c r="C5" s="96"/>
      <c r="D5" s="97" t="s">
        <v>359</v>
      </c>
      <c r="E5" s="98" t="s">
        <v>360</v>
      </c>
      <c r="F5" s="99" t="s">
        <v>361</v>
      </c>
      <c r="G5" s="100" t="s">
        <v>362</v>
      </c>
      <c r="H5" s="101" t="s">
        <v>26</v>
      </c>
      <c r="I5" s="102" t="s">
        <v>363</v>
      </c>
      <c r="J5" s="103"/>
      <c r="K5" s="103"/>
      <c r="L5" s="104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</row>
    <row r="6">
      <c r="B6" s="105" t="s">
        <v>364</v>
      </c>
      <c r="C6" s="106" t="s">
        <v>365</v>
      </c>
      <c r="D6" s="107">
        <f>counta(Garden!B8:B370)</f>
        <v>357</v>
      </c>
      <c r="E6" s="107">
        <f>countif(Garden!$K:$K,TRUE)</f>
        <v>315</v>
      </c>
      <c r="F6" s="107">
        <f>sum(Garden!$N:$N)</f>
        <v>3</v>
      </c>
      <c r="G6" s="107">
        <f>sum(Garden!$M:$M)</f>
        <v>0</v>
      </c>
      <c r="H6" s="108">
        <f>sum(Garden!$L:$L)</f>
        <v>39</v>
      </c>
      <c r="I6" s="109">
        <f t="shared" ref="I6:I9" si="1">iferror($E6/$D6,0)</f>
        <v>0.8823529412</v>
      </c>
      <c r="J6" s="92"/>
      <c r="K6" s="92"/>
      <c r="L6" s="110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</row>
    <row r="7">
      <c r="B7" s="111" t="s">
        <v>42</v>
      </c>
      <c r="C7" s="112" t="s">
        <v>366</v>
      </c>
      <c r="D7" s="113">
        <f>countif(Garden!$G:$G,$B7)</f>
        <v>203</v>
      </c>
      <c r="E7" s="113">
        <f>countifs(Garden!$G:$G,$B7,Garden!$K:$K,TRUE)</f>
        <v>203</v>
      </c>
      <c r="F7" s="113">
        <f>countifs(Garden!$G:$G,$B7,Garden!$N:$N,"1")</f>
        <v>0</v>
      </c>
      <c r="G7" s="113">
        <f>countifs(Garden!$G:$G,$B7,Garden!$M:$M,"1")</f>
        <v>0</v>
      </c>
      <c r="H7" s="114">
        <f>countifs(Garden!$G:$G,$B7,Garden!$L:$L,"1")</f>
        <v>0</v>
      </c>
      <c r="I7" s="115">
        <f t="shared" si="1"/>
        <v>1</v>
      </c>
      <c r="J7" s="92"/>
      <c r="K7" s="92"/>
      <c r="L7" s="110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</row>
    <row r="8">
      <c r="B8" s="111" t="s">
        <v>73</v>
      </c>
      <c r="C8" s="112" t="s">
        <v>366</v>
      </c>
      <c r="D8" s="116">
        <f>countif(Garden!$G:$G,$B8)</f>
        <v>23</v>
      </c>
      <c r="E8" s="116">
        <f>countifs(Garden!$G:$G,$B8,Garden!$K:$K,TRUE)</f>
        <v>23</v>
      </c>
      <c r="F8" s="116">
        <f>countifs(Garden!$G:$G,$B8,Garden!$N:$N,"1")</f>
        <v>0</v>
      </c>
      <c r="G8" s="116">
        <f>countifs(Garden!$G:$G,$B8,Garden!$M:$M,"1")</f>
        <v>0</v>
      </c>
      <c r="H8" s="117">
        <f>countifs(Garden!$G:$G,$B8,Garden!$L:$L,"1")</f>
        <v>0</v>
      </c>
      <c r="I8" s="118">
        <f t="shared" si="1"/>
        <v>1</v>
      </c>
      <c r="J8" s="92"/>
      <c r="K8" s="92"/>
      <c r="L8" s="110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>
      <c r="B9" s="119" t="s">
        <v>33</v>
      </c>
      <c r="C9" s="120" t="s">
        <v>367</v>
      </c>
      <c r="D9" s="121">
        <f>countif(Garden!$G:$G,$B9)</f>
        <v>118</v>
      </c>
      <c r="E9" s="121">
        <f>countifs(Garden!$G:$G,$B9,Garden!$K:$K,TRUE)</f>
        <v>76</v>
      </c>
      <c r="F9" s="121">
        <f>countifs(Garden!$G:$G,$B9,Garden!$N:$N,"1")</f>
        <v>3</v>
      </c>
      <c r="G9" s="121">
        <f>countifs(Garden!$G:$G,$B9,Garden!$M:$M,"1")</f>
        <v>0</v>
      </c>
      <c r="H9" s="122">
        <f>countifs(Garden!$G:$G,$B9,Garden!$L:$L,"1")</f>
        <v>39</v>
      </c>
      <c r="I9" s="123">
        <f t="shared" si="1"/>
        <v>0.6440677966</v>
      </c>
      <c r="J9" s="92"/>
      <c r="K9" s="92"/>
      <c r="L9" s="110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</row>
    <row r="10" hidden="1">
      <c r="B10" s="124"/>
      <c r="C10" s="112"/>
      <c r="D10" s="113"/>
      <c r="E10" s="113"/>
      <c r="F10" s="113"/>
      <c r="G10" s="113"/>
      <c r="H10" s="114"/>
      <c r="I10" s="125"/>
      <c r="J10" s="92"/>
      <c r="K10" s="92"/>
      <c r="L10" s="110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</row>
    <row r="11" hidden="1">
      <c r="B11" s="124"/>
      <c r="C11" s="112"/>
      <c r="D11" s="116"/>
      <c r="E11" s="116"/>
      <c r="F11" s="116"/>
      <c r="G11" s="116"/>
      <c r="H11" s="117"/>
      <c r="I11" s="126"/>
      <c r="J11" s="92"/>
      <c r="K11" s="92"/>
      <c r="L11" s="110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</row>
    <row r="12" hidden="1">
      <c r="B12" s="124"/>
      <c r="C12" s="112"/>
      <c r="D12" s="116"/>
      <c r="E12" s="116"/>
      <c r="F12" s="116"/>
      <c r="G12" s="116"/>
      <c r="H12" s="117"/>
      <c r="I12" s="126"/>
      <c r="J12" s="92"/>
      <c r="K12" s="92"/>
      <c r="L12" s="110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</row>
    <row r="13" hidden="1">
      <c r="B13" s="124"/>
      <c r="C13" s="112"/>
      <c r="D13" s="116"/>
      <c r="E13" s="116"/>
      <c r="F13" s="116"/>
      <c r="G13" s="116"/>
      <c r="H13" s="117"/>
      <c r="I13" s="126"/>
      <c r="J13" s="92"/>
      <c r="K13" s="92"/>
      <c r="L13" s="110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</row>
    <row r="14" hidden="1">
      <c r="B14" s="127"/>
      <c r="C14" s="128"/>
      <c r="D14" s="116"/>
      <c r="E14" s="116"/>
      <c r="F14" s="116"/>
      <c r="G14" s="116"/>
      <c r="H14" s="117"/>
      <c r="I14" s="126"/>
      <c r="J14" s="92"/>
      <c r="K14" s="92"/>
      <c r="L14" s="110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</row>
    <row r="15" hidden="1">
      <c r="B15" s="129"/>
      <c r="C15" s="130"/>
      <c r="D15" s="131"/>
      <c r="E15" s="131"/>
      <c r="F15" s="131"/>
      <c r="G15" s="131"/>
      <c r="H15" s="132"/>
      <c r="I15" s="133"/>
      <c r="J15" s="92"/>
      <c r="K15" s="92"/>
      <c r="L15" s="110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</row>
    <row r="16" hidden="1">
      <c r="B16" s="134"/>
      <c r="C16" s="112"/>
      <c r="D16" s="113">
        <f>countif(Garden!$G:$G,$B16)</f>
        <v>0</v>
      </c>
      <c r="E16" s="113">
        <f>countifs(Garden!$G:$G,$B16,Garden!$K:$K,TRUE)</f>
        <v>0</v>
      </c>
      <c r="F16" s="113">
        <f>countifs(Garden!$G:$G,$B16,Garden!$N:$N,"1")</f>
        <v>0</v>
      </c>
      <c r="G16" s="113">
        <f>countifs(Garden!$G:$G,$B16,Garden!$M:$M,"1")</f>
        <v>0</v>
      </c>
      <c r="H16" s="114">
        <f>countifs(Garden!$G:$G,$B16,Garden!$L:$L,"1")</f>
        <v>0</v>
      </c>
      <c r="I16" s="135">
        <f t="shared" ref="I16:I25" si="2">iferror($E16/$D16,0)</f>
        <v>0</v>
      </c>
      <c r="J16" s="92"/>
      <c r="K16" s="92"/>
      <c r="L16" s="110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</row>
    <row r="17" hidden="1">
      <c r="B17" s="136"/>
      <c r="C17" s="137"/>
      <c r="D17" s="116">
        <f>countif(Garden!$G:$G,$B17)</f>
        <v>0</v>
      </c>
      <c r="E17" s="116">
        <f>countifs(Garden!$G:$G,$B17,Garden!$K:$K,TRUE)</f>
        <v>0</v>
      </c>
      <c r="F17" s="116">
        <f>countifs(Garden!$G:$G,$B17,Garden!$N:$N,"1")</f>
        <v>0</v>
      </c>
      <c r="G17" s="116">
        <f>countifs(Garden!$G:$G,$B17,Garden!$M:$M,"1")</f>
        <v>0</v>
      </c>
      <c r="H17" s="117">
        <f>countifs(Garden!$G:$G,$B17,Garden!$L:$L,"1")</f>
        <v>0</v>
      </c>
      <c r="I17" s="138">
        <f t="shared" si="2"/>
        <v>0</v>
      </c>
      <c r="J17" s="92"/>
      <c r="K17" s="92"/>
      <c r="L17" s="110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</row>
    <row r="18" hidden="1">
      <c r="B18" s="139"/>
      <c r="C18" s="137"/>
      <c r="D18" s="116">
        <f>countif(Garden!$G:$G,$B18)</f>
        <v>0</v>
      </c>
      <c r="E18" s="116">
        <f>countifs(Garden!$G:$G,$B18,Garden!$K:$K,TRUE)</f>
        <v>0</v>
      </c>
      <c r="F18" s="116">
        <f>countifs(Garden!$G:$G,$B18,Garden!$N:$N,"1")</f>
        <v>0</v>
      </c>
      <c r="G18" s="116">
        <f>countifs(Garden!$G:$G,$B18,Garden!$M:$M,"1")</f>
        <v>0</v>
      </c>
      <c r="H18" s="117">
        <f>countifs(Garden!$G:$G,$B18,Garden!$L:$L,"1")</f>
        <v>0</v>
      </c>
      <c r="I18" s="138">
        <f t="shared" si="2"/>
        <v>0</v>
      </c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</row>
    <row r="19" hidden="1">
      <c r="B19" s="139"/>
      <c r="C19" s="137"/>
      <c r="D19" s="116">
        <f>countif(Garden!$G:$G,$B19)</f>
        <v>0</v>
      </c>
      <c r="E19" s="116">
        <f>countifs(Garden!$G:$G,$B19,Garden!$K:$K,TRUE)</f>
        <v>0</v>
      </c>
      <c r="F19" s="116">
        <f>countifs(Garden!$G:$G,$B19,Garden!$N:$N,"1")</f>
        <v>0</v>
      </c>
      <c r="G19" s="116">
        <f>countifs(Garden!$G:$G,$B19,Garden!$M:$M,"1")</f>
        <v>0</v>
      </c>
      <c r="H19" s="117">
        <f>countifs(Garden!$G:$G,$B19,Garden!$L:$L,"1")</f>
        <v>0</v>
      </c>
      <c r="I19" s="138">
        <f t="shared" si="2"/>
        <v>0</v>
      </c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</row>
    <row r="20" hidden="1">
      <c r="B20" s="136"/>
      <c r="C20" s="137"/>
      <c r="D20" s="116">
        <f>countif(Garden!$G:$G,$B20)</f>
        <v>0</v>
      </c>
      <c r="E20" s="116">
        <f>countifs(Garden!$G:$G,$B20,Garden!$K:$K,TRUE)</f>
        <v>0</v>
      </c>
      <c r="F20" s="116">
        <f>countifs(Garden!$G:$G,$B20,Garden!$N:$N,"1")</f>
        <v>0</v>
      </c>
      <c r="G20" s="116">
        <f>countifs(Garden!$G:$G,$B20,Garden!$M:$M,"1")</f>
        <v>0</v>
      </c>
      <c r="H20" s="117">
        <f>countifs(Garden!$G:$G,$B20,Garden!$L:$L,"1")</f>
        <v>0</v>
      </c>
      <c r="I20" s="138">
        <f t="shared" si="2"/>
        <v>0</v>
      </c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</row>
    <row r="21" hidden="1">
      <c r="B21" s="136"/>
      <c r="C21" s="137"/>
      <c r="D21" s="116">
        <f>countif(Garden!$G:$G,$B21)</f>
        <v>0</v>
      </c>
      <c r="E21" s="116">
        <f>countifs(Garden!$G:$G,$B21,Garden!$K:$K,TRUE)</f>
        <v>0</v>
      </c>
      <c r="F21" s="116">
        <f>countifs(Garden!$G:$G,$B21,Garden!$N:$N,"1")</f>
        <v>0</v>
      </c>
      <c r="G21" s="116">
        <f>countifs(Garden!$G:$G,$B21,Garden!$M:$M,"1")</f>
        <v>0</v>
      </c>
      <c r="H21" s="117">
        <f>countifs(Garden!$G:$G,$B21,Garden!$L:$L,"1")</f>
        <v>0</v>
      </c>
      <c r="I21" s="138">
        <f t="shared" si="2"/>
        <v>0</v>
      </c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</row>
    <row r="22" hidden="1">
      <c r="B22" s="136"/>
      <c r="C22" s="137"/>
      <c r="D22" s="116">
        <f>countif(Garden!$G:$G,$B22)</f>
        <v>0</v>
      </c>
      <c r="E22" s="116">
        <f>countifs(Garden!$G:$G,$B22,Garden!$K:$K,TRUE)</f>
        <v>0</v>
      </c>
      <c r="F22" s="116">
        <f>countifs(Garden!$G:$G,$B22,Garden!$N:$N,"1")</f>
        <v>0</v>
      </c>
      <c r="G22" s="116">
        <f>countifs(Garden!$G:$G,$B22,Garden!$M:$M,"1")</f>
        <v>0</v>
      </c>
      <c r="H22" s="117">
        <f>countifs(Garden!$G:$G,$B22,Garden!$L:$L,"1")</f>
        <v>0</v>
      </c>
      <c r="I22" s="138">
        <f t="shared" si="2"/>
        <v>0</v>
      </c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</row>
    <row r="23" hidden="1">
      <c r="B23" s="136"/>
      <c r="C23" s="137"/>
      <c r="D23" s="116">
        <f>countif(Garden!$G:$G,$B23)</f>
        <v>0</v>
      </c>
      <c r="E23" s="116">
        <f>countifs(Garden!$G:$G,$B23,Garden!$K:$K,TRUE)</f>
        <v>0</v>
      </c>
      <c r="F23" s="116">
        <f>countifs(Garden!$G:$G,$B23,Garden!$N:$N,"1")</f>
        <v>0</v>
      </c>
      <c r="G23" s="116">
        <f>countifs(Garden!$G:$G,$B23,Garden!$M:$M,"1")</f>
        <v>0</v>
      </c>
      <c r="H23" s="117">
        <f>countifs(Garden!$G:$G,$B23,Garden!$L:$L,"1")</f>
        <v>0</v>
      </c>
      <c r="I23" s="138">
        <f t="shared" si="2"/>
        <v>0</v>
      </c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</row>
    <row r="24" hidden="1">
      <c r="B24" s="140"/>
      <c r="C24" s="141"/>
      <c r="D24" s="142">
        <f>countif(Garden!$G:$G,$B24)</f>
        <v>0</v>
      </c>
      <c r="E24" s="142">
        <f>countifs(Garden!$G:$G,$B24,Garden!$K:$K,TRUE)</f>
        <v>0</v>
      </c>
      <c r="F24" s="142">
        <f>countifs(Garden!$G:$G,$B24,Garden!$N:$N,"1")</f>
        <v>0</v>
      </c>
      <c r="G24" s="142">
        <f>countifs(Garden!$G:$G,$B24,Garden!$M:$M,"1")</f>
        <v>0</v>
      </c>
      <c r="H24" s="143">
        <f>countifs(Garden!$G:$G,$B24,Garden!$L:$L,"1")</f>
        <v>0</v>
      </c>
      <c r="I24" s="144">
        <f t="shared" si="2"/>
        <v>0</v>
      </c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</row>
    <row r="25">
      <c r="B25" s="119" t="s">
        <v>111</v>
      </c>
      <c r="C25" s="120" t="s">
        <v>368</v>
      </c>
      <c r="D25" s="121">
        <f>countif(Garden!$G:$G,$B25)</f>
        <v>12</v>
      </c>
      <c r="E25" s="121">
        <f>countifs(Garden!$G:$G,$B25,Garden!$K:$K,TRUE)</f>
        <v>12</v>
      </c>
      <c r="F25" s="121">
        <f>countifs(Garden!$G:$G,$B25,Garden!$N:$N,"1")</f>
        <v>0</v>
      </c>
      <c r="G25" s="121">
        <f>countifs(Garden!$G:$G,$B25,Garden!$M:$M,"1")</f>
        <v>0</v>
      </c>
      <c r="H25" s="122">
        <f>countifs(Garden!$G:$G,$B25,Garden!$L:$L,"1")</f>
        <v>0</v>
      </c>
      <c r="I25" s="123">
        <f t="shared" si="2"/>
        <v>1</v>
      </c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</row>
    <row r="26">
      <c r="B26" s="145"/>
      <c r="C26" s="89"/>
      <c r="D26" s="89"/>
      <c r="E26" s="91"/>
      <c r="F26" s="91"/>
      <c r="G26" s="89"/>
      <c r="H26" s="89"/>
      <c r="I26" s="90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</row>
    <row r="27" hidden="1">
      <c r="B27" s="145"/>
      <c r="C27" s="89"/>
      <c r="D27" s="89"/>
      <c r="E27" s="89"/>
      <c r="F27" s="89"/>
      <c r="G27" s="89"/>
      <c r="H27" s="89"/>
      <c r="I27" s="90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</row>
    <row r="28" hidden="1">
      <c r="B28" s="145"/>
      <c r="C28" s="89"/>
      <c r="D28" s="89"/>
      <c r="E28" s="89"/>
      <c r="F28" s="89"/>
      <c r="G28" s="89"/>
      <c r="H28" s="89"/>
      <c r="I28" s="90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</row>
    <row r="29" hidden="1">
      <c r="B29" s="146"/>
      <c r="C29" s="89"/>
      <c r="D29" s="89"/>
      <c r="E29" s="89"/>
      <c r="F29" s="89"/>
      <c r="G29" s="89"/>
      <c r="H29" s="89"/>
      <c r="I29" s="90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</row>
    <row r="30">
      <c r="B30" s="146" t="s">
        <v>369</v>
      </c>
      <c r="C30" s="89"/>
      <c r="D30" s="89"/>
      <c r="E30" s="89"/>
      <c r="F30" s="91"/>
      <c r="G30" s="89"/>
      <c r="H30" s="89"/>
      <c r="I30" s="90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</row>
    <row r="31">
      <c r="B31" s="147" t="s">
        <v>370</v>
      </c>
      <c r="C31" s="89"/>
      <c r="D31" s="89"/>
      <c r="E31" s="89"/>
      <c r="F31" s="89"/>
      <c r="G31" s="89"/>
      <c r="H31" s="89"/>
      <c r="I31" s="90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</row>
    <row r="32">
      <c r="B32" s="148"/>
      <c r="C32" s="89"/>
      <c r="D32" s="89"/>
      <c r="E32" s="89"/>
      <c r="F32" s="89"/>
      <c r="G32" s="89"/>
      <c r="H32" s="89"/>
      <c r="I32" s="90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</row>
    <row r="33">
      <c r="B33" s="148"/>
      <c r="C33" s="89"/>
      <c r="D33" s="89"/>
      <c r="E33" s="89"/>
      <c r="F33" s="89"/>
      <c r="G33" s="89"/>
      <c r="H33" s="89"/>
      <c r="I33" s="90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</row>
    <row r="34" hidden="1">
      <c r="A34" s="89"/>
      <c r="B34" s="148"/>
      <c r="C34" s="89"/>
      <c r="D34" s="89"/>
      <c r="E34" s="89"/>
      <c r="F34" s="89"/>
      <c r="G34" s="89"/>
      <c r="H34" s="89"/>
      <c r="I34" s="90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</row>
    <row r="35" hidden="1">
      <c r="A35" s="89"/>
      <c r="B35" s="148"/>
      <c r="C35" s="89"/>
      <c r="D35" s="89"/>
      <c r="E35" s="89"/>
      <c r="F35" s="89"/>
      <c r="G35" s="89"/>
      <c r="H35" s="89"/>
      <c r="I35" s="90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</row>
    <row r="36" hidden="1">
      <c r="A36" s="89"/>
      <c r="B36" s="89"/>
      <c r="C36" s="89"/>
      <c r="D36" s="89"/>
      <c r="E36" s="89"/>
      <c r="F36" s="89"/>
      <c r="G36" s="89"/>
      <c r="H36" s="89"/>
      <c r="I36" s="90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</row>
    <row r="37" hidden="1">
      <c r="A37" s="89"/>
      <c r="B37" s="89"/>
      <c r="C37" s="89"/>
      <c r="D37" s="89"/>
      <c r="E37" s="89"/>
      <c r="F37" s="89"/>
      <c r="G37" s="89"/>
      <c r="H37" s="89"/>
      <c r="I37" s="90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</row>
    <row r="38" hidden="1">
      <c r="A38" s="89"/>
      <c r="B38" s="89"/>
      <c r="C38" s="89"/>
      <c r="D38" s="89"/>
      <c r="E38" s="89"/>
      <c r="F38" s="89"/>
      <c r="G38" s="89"/>
      <c r="H38" s="89"/>
      <c r="I38" s="90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</row>
    <row r="39" hidden="1">
      <c r="A39" s="89"/>
      <c r="B39" s="89"/>
      <c r="C39" s="89"/>
      <c r="D39" s="89"/>
      <c r="E39" s="89"/>
      <c r="F39" s="89"/>
      <c r="G39" s="89"/>
      <c r="H39" s="89"/>
      <c r="I39" s="90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</row>
    <row r="40" hidden="1">
      <c r="A40" s="89"/>
      <c r="B40" s="89"/>
      <c r="C40" s="89"/>
      <c r="D40" s="89"/>
      <c r="E40" s="89"/>
      <c r="F40" s="89"/>
      <c r="G40" s="89"/>
      <c r="H40" s="89"/>
      <c r="I40" s="90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</row>
    <row r="41" hidden="1">
      <c r="A41" s="89"/>
      <c r="B41" s="89"/>
      <c r="C41" s="89"/>
      <c r="D41" s="89"/>
      <c r="E41" s="89"/>
      <c r="F41" s="89"/>
      <c r="G41" s="89"/>
      <c r="H41" s="89"/>
      <c r="I41" s="90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</row>
    <row r="42" hidden="1">
      <c r="A42" s="89"/>
      <c r="B42" s="89"/>
      <c r="C42" s="89"/>
      <c r="D42" s="89"/>
      <c r="E42" s="89"/>
      <c r="F42" s="89"/>
      <c r="G42" s="89"/>
      <c r="H42" s="89"/>
      <c r="I42" s="90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</row>
    <row r="43" hidden="1">
      <c r="A43" s="89"/>
      <c r="B43" s="89"/>
      <c r="C43" s="89"/>
      <c r="D43" s="89"/>
      <c r="E43" s="89"/>
      <c r="F43" s="89"/>
      <c r="G43" s="89"/>
      <c r="H43" s="89"/>
      <c r="I43" s="90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</row>
    <row r="44" hidden="1">
      <c r="A44" s="89"/>
      <c r="B44" s="89"/>
      <c r="C44" s="89"/>
      <c r="D44" s="89"/>
      <c r="E44" s="89"/>
      <c r="F44" s="89"/>
      <c r="G44" s="89"/>
      <c r="H44" s="89"/>
      <c r="I44" s="90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</row>
    <row r="45" hidden="1">
      <c r="A45" s="89"/>
      <c r="B45" s="89"/>
      <c r="C45" s="89"/>
      <c r="D45" s="89"/>
      <c r="E45" s="89"/>
      <c r="F45" s="89"/>
      <c r="G45" s="89"/>
      <c r="H45" s="89"/>
      <c r="I45" s="90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</row>
    <row r="46" hidden="1">
      <c r="A46" s="89"/>
      <c r="B46" s="89"/>
      <c r="C46" s="89"/>
      <c r="D46" s="89"/>
      <c r="E46" s="89"/>
      <c r="F46" s="89"/>
      <c r="G46" s="89"/>
      <c r="H46" s="89"/>
      <c r="I46" s="90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</row>
    <row r="47" hidden="1">
      <c r="A47" s="89"/>
      <c r="B47" s="89"/>
      <c r="C47" s="89"/>
      <c r="D47" s="89"/>
      <c r="E47" s="89"/>
      <c r="F47" s="89"/>
      <c r="G47" s="89"/>
      <c r="H47" s="89"/>
      <c r="I47" s="90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</row>
    <row r="48" hidden="1">
      <c r="A48" s="89"/>
      <c r="B48" s="89"/>
      <c r="C48" s="89"/>
      <c r="D48" s="89"/>
      <c r="E48" s="89"/>
      <c r="F48" s="89"/>
      <c r="G48" s="89"/>
      <c r="H48" s="89"/>
      <c r="I48" s="90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</row>
    <row r="49" hidden="1">
      <c r="A49" s="89"/>
      <c r="B49" s="89"/>
      <c r="C49" s="89"/>
      <c r="D49" s="89"/>
      <c r="E49" s="89"/>
      <c r="F49" s="89"/>
      <c r="G49" s="89"/>
      <c r="H49" s="89"/>
      <c r="I49" s="90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</row>
    <row r="50" hidden="1">
      <c r="A50" s="89"/>
      <c r="B50" s="89"/>
      <c r="C50" s="89"/>
      <c r="D50" s="89"/>
      <c r="E50" s="89"/>
      <c r="F50" s="89"/>
      <c r="G50" s="89"/>
      <c r="H50" s="89"/>
      <c r="I50" s="90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</row>
    <row r="51" hidden="1">
      <c r="A51" s="89"/>
      <c r="B51" s="89"/>
      <c r="C51" s="89"/>
      <c r="D51" s="89"/>
      <c r="E51" s="89"/>
      <c r="F51" s="89"/>
      <c r="G51" s="89"/>
      <c r="H51" s="89"/>
      <c r="I51" s="90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</row>
    <row r="52" hidden="1">
      <c r="A52" s="89"/>
      <c r="B52" s="89"/>
      <c r="C52" s="89"/>
      <c r="D52" s="89"/>
      <c r="E52" s="89"/>
      <c r="F52" s="89"/>
      <c r="G52" s="89"/>
      <c r="H52" s="89"/>
      <c r="I52" s="90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</row>
    <row r="53" hidden="1">
      <c r="A53" s="89"/>
      <c r="B53" s="89"/>
      <c r="C53" s="89"/>
      <c r="D53" s="89"/>
      <c r="E53" s="89"/>
      <c r="F53" s="89"/>
      <c r="G53" s="89"/>
      <c r="H53" s="89"/>
      <c r="I53" s="90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</row>
    <row r="54" hidden="1">
      <c r="A54" s="89"/>
      <c r="B54" s="89"/>
      <c r="C54" s="89"/>
      <c r="D54" s="89"/>
      <c r="E54" s="89"/>
      <c r="F54" s="89"/>
      <c r="G54" s="89"/>
      <c r="H54" s="89"/>
      <c r="I54" s="90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</row>
    <row r="55" hidden="1">
      <c r="A55" s="89"/>
      <c r="B55" s="89"/>
      <c r="C55" s="89"/>
      <c r="D55" s="89"/>
      <c r="E55" s="89"/>
      <c r="F55" s="89"/>
      <c r="G55" s="89"/>
      <c r="H55" s="89"/>
      <c r="I55" s="90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</row>
    <row r="56" hidden="1">
      <c r="A56" s="89"/>
      <c r="B56" s="89"/>
      <c r="C56" s="89"/>
      <c r="D56" s="89"/>
      <c r="E56" s="89"/>
      <c r="F56" s="89"/>
      <c r="G56" s="89"/>
      <c r="H56" s="89"/>
      <c r="I56" s="90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</row>
    <row r="57" hidden="1">
      <c r="A57" s="89"/>
      <c r="B57" s="89"/>
      <c r="C57" s="89"/>
      <c r="D57" s="89"/>
      <c r="E57" s="89"/>
      <c r="F57" s="89"/>
      <c r="G57" s="89"/>
      <c r="H57" s="89"/>
      <c r="I57" s="90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</row>
    <row r="58" hidden="1">
      <c r="A58" s="89"/>
      <c r="B58" s="89"/>
      <c r="C58" s="89"/>
      <c r="D58" s="89"/>
      <c r="E58" s="89"/>
      <c r="F58" s="89"/>
      <c r="G58" s="89"/>
      <c r="H58" s="89"/>
      <c r="I58" s="90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</row>
    <row r="59" hidden="1">
      <c r="A59" s="89"/>
      <c r="B59" s="89"/>
      <c r="C59" s="89"/>
      <c r="D59" s="89"/>
      <c r="E59" s="89"/>
      <c r="F59" s="89"/>
      <c r="G59" s="89"/>
      <c r="H59" s="89"/>
      <c r="I59" s="90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</row>
    <row r="60" hidden="1">
      <c r="A60" s="89"/>
      <c r="B60" s="89"/>
      <c r="C60" s="89"/>
      <c r="D60" s="89"/>
      <c r="E60" s="89"/>
      <c r="F60" s="89"/>
      <c r="G60" s="89"/>
      <c r="H60" s="89"/>
      <c r="I60" s="90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</row>
    <row r="61" hidden="1">
      <c r="A61" s="89"/>
      <c r="B61" s="89"/>
      <c r="C61" s="89"/>
      <c r="D61" s="89"/>
      <c r="E61" s="89"/>
      <c r="F61" s="89"/>
      <c r="G61" s="89"/>
      <c r="H61" s="89"/>
      <c r="I61" s="90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</row>
    <row r="62" hidden="1">
      <c r="A62" s="89"/>
      <c r="B62" s="89"/>
      <c r="C62" s="89"/>
      <c r="D62" s="89"/>
      <c r="E62" s="89"/>
      <c r="F62" s="89"/>
      <c r="G62" s="89"/>
      <c r="H62" s="89"/>
      <c r="I62" s="90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</row>
    <row r="63" hidden="1">
      <c r="A63" s="89"/>
      <c r="B63" s="89"/>
      <c r="C63" s="89"/>
      <c r="D63" s="89"/>
      <c r="E63" s="89"/>
      <c r="F63" s="89"/>
      <c r="G63" s="89"/>
      <c r="H63" s="89"/>
      <c r="I63" s="90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</row>
    <row r="64" hidden="1">
      <c r="A64" s="89"/>
      <c r="B64" s="89"/>
      <c r="C64" s="89"/>
      <c r="D64" s="89"/>
      <c r="E64" s="89"/>
      <c r="F64" s="89"/>
      <c r="G64" s="89"/>
      <c r="H64" s="89"/>
      <c r="I64" s="90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</row>
    <row r="65" hidden="1">
      <c r="A65" s="89"/>
      <c r="B65" s="89"/>
      <c r="C65" s="89"/>
      <c r="D65" s="89"/>
      <c r="E65" s="89"/>
      <c r="F65" s="89"/>
      <c r="G65" s="89"/>
      <c r="H65" s="89"/>
      <c r="I65" s="90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</row>
    <row r="66" hidden="1">
      <c r="A66" s="89"/>
      <c r="B66" s="89"/>
      <c r="C66" s="89"/>
      <c r="D66" s="89"/>
      <c r="E66" s="89"/>
      <c r="F66" s="89"/>
      <c r="G66" s="89"/>
      <c r="H66" s="89"/>
      <c r="I66" s="90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</row>
    <row r="67" hidden="1">
      <c r="A67" s="89"/>
      <c r="B67" s="89"/>
      <c r="C67" s="89"/>
      <c r="D67" s="89"/>
      <c r="E67" s="89"/>
      <c r="F67" s="89"/>
      <c r="G67" s="89"/>
      <c r="H67" s="89"/>
      <c r="I67" s="90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</row>
    <row r="68" hidden="1">
      <c r="A68" s="89"/>
      <c r="B68" s="89"/>
      <c r="C68" s="89"/>
      <c r="D68" s="89"/>
      <c r="E68" s="89"/>
      <c r="F68" s="89"/>
      <c r="G68" s="89"/>
      <c r="H68" s="89"/>
      <c r="I68" s="90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</row>
    <row r="69" hidden="1">
      <c r="A69" s="89"/>
      <c r="B69" s="89"/>
      <c r="C69" s="89"/>
      <c r="D69" s="89"/>
      <c r="E69" s="89"/>
      <c r="F69" s="89"/>
      <c r="G69" s="89"/>
      <c r="H69" s="89"/>
      <c r="I69" s="90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</row>
    <row r="70" hidden="1">
      <c r="A70" s="89"/>
      <c r="B70" s="89"/>
      <c r="C70" s="89"/>
      <c r="D70" s="89"/>
      <c r="E70" s="89"/>
      <c r="F70" s="89"/>
      <c r="G70" s="89"/>
      <c r="H70" s="89"/>
      <c r="I70" s="90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</row>
    <row r="71" hidden="1">
      <c r="A71" s="89"/>
      <c r="B71" s="89"/>
      <c r="C71" s="89"/>
      <c r="D71" s="89"/>
      <c r="E71" s="89"/>
      <c r="F71" s="89"/>
      <c r="G71" s="89"/>
      <c r="H71" s="89"/>
      <c r="I71" s="90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</row>
    <row r="72" hidden="1">
      <c r="A72" s="89"/>
      <c r="B72" s="89"/>
      <c r="C72" s="89"/>
      <c r="D72" s="89"/>
      <c r="E72" s="89"/>
      <c r="F72" s="89"/>
      <c r="G72" s="89"/>
      <c r="H72" s="89"/>
      <c r="I72" s="90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</row>
    <row r="73" hidden="1">
      <c r="A73" s="89"/>
      <c r="B73" s="89"/>
      <c r="C73" s="89"/>
      <c r="D73" s="89"/>
      <c r="E73" s="89"/>
      <c r="F73" s="89"/>
      <c r="G73" s="89"/>
      <c r="H73" s="89"/>
      <c r="I73" s="90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</row>
    <row r="74" hidden="1">
      <c r="A74" s="89"/>
      <c r="B74" s="89"/>
      <c r="C74" s="89"/>
      <c r="D74" s="89"/>
      <c r="E74" s="89"/>
      <c r="F74" s="89"/>
      <c r="G74" s="89"/>
      <c r="H74" s="89"/>
      <c r="I74" s="90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</row>
    <row r="75" hidden="1">
      <c r="A75" s="89"/>
      <c r="B75" s="89"/>
      <c r="C75" s="89"/>
      <c r="D75" s="89"/>
      <c r="E75" s="89"/>
      <c r="F75" s="89"/>
      <c r="G75" s="89"/>
      <c r="H75" s="89"/>
      <c r="I75" s="90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</row>
    <row r="76" hidden="1">
      <c r="A76" s="89"/>
      <c r="B76" s="89"/>
      <c r="C76" s="89"/>
      <c r="D76" s="89"/>
      <c r="E76" s="89"/>
      <c r="F76" s="89"/>
      <c r="G76" s="89"/>
      <c r="H76" s="89"/>
      <c r="I76" s="90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</row>
    <row r="77" hidden="1">
      <c r="A77" s="89"/>
      <c r="B77" s="89"/>
      <c r="C77" s="89"/>
      <c r="D77" s="89"/>
      <c r="E77" s="89"/>
      <c r="F77" s="89"/>
      <c r="G77" s="89"/>
      <c r="H77" s="89"/>
      <c r="I77" s="90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</row>
    <row r="78" hidden="1">
      <c r="A78" s="89"/>
      <c r="B78" s="89"/>
      <c r="C78" s="89"/>
      <c r="D78" s="89"/>
      <c r="E78" s="89"/>
      <c r="F78" s="89"/>
      <c r="G78" s="89"/>
      <c r="H78" s="89"/>
      <c r="I78" s="90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</row>
    <row r="79" hidden="1">
      <c r="A79" s="89"/>
      <c r="B79" s="89"/>
      <c r="C79" s="89"/>
      <c r="D79" s="89"/>
      <c r="E79" s="89"/>
      <c r="F79" s="89"/>
      <c r="G79" s="89"/>
      <c r="H79" s="89"/>
      <c r="I79" s="90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</row>
    <row r="80" hidden="1">
      <c r="A80" s="89"/>
      <c r="B80" s="89"/>
      <c r="C80" s="89"/>
      <c r="D80" s="89"/>
      <c r="E80" s="89"/>
      <c r="F80" s="89"/>
      <c r="G80" s="89"/>
      <c r="H80" s="89"/>
      <c r="I80" s="90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</row>
    <row r="81" hidden="1">
      <c r="A81" s="89"/>
      <c r="B81" s="89"/>
      <c r="C81" s="89"/>
      <c r="D81" s="89"/>
      <c r="E81" s="89"/>
      <c r="F81" s="89"/>
      <c r="G81" s="89"/>
      <c r="H81" s="89"/>
      <c r="I81" s="90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</row>
    <row r="82" hidden="1">
      <c r="A82" s="89"/>
      <c r="B82" s="89"/>
      <c r="C82" s="89"/>
      <c r="D82" s="89"/>
      <c r="E82" s="89"/>
      <c r="F82" s="89"/>
      <c r="G82" s="89"/>
      <c r="H82" s="89"/>
      <c r="I82" s="90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</row>
    <row r="83" hidden="1">
      <c r="A83" s="89"/>
      <c r="B83" s="89"/>
      <c r="C83" s="89"/>
      <c r="D83" s="89"/>
      <c r="E83" s="89"/>
      <c r="F83" s="89"/>
      <c r="G83" s="89"/>
      <c r="H83" s="89"/>
      <c r="I83" s="90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</row>
    <row r="84" hidden="1">
      <c r="A84" s="89"/>
      <c r="B84" s="89"/>
      <c r="C84" s="89"/>
      <c r="D84" s="89"/>
      <c r="E84" s="89"/>
      <c r="F84" s="89"/>
      <c r="G84" s="89"/>
      <c r="H84" s="89"/>
      <c r="I84" s="90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</row>
    <row r="85" hidden="1">
      <c r="A85" s="89"/>
      <c r="B85" s="89"/>
      <c r="C85" s="89"/>
      <c r="D85" s="89"/>
      <c r="E85" s="89"/>
      <c r="F85" s="89"/>
      <c r="G85" s="89"/>
      <c r="H85" s="89"/>
      <c r="I85" s="90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</row>
    <row r="86" hidden="1">
      <c r="A86" s="89"/>
      <c r="B86" s="89"/>
      <c r="C86" s="89"/>
      <c r="D86" s="89"/>
      <c r="E86" s="89"/>
      <c r="F86" s="89"/>
      <c r="G86" s="89"/>
      <c r="H86" s="89"/>
      <c r="I86" s="90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</row>
    <row r="87" hidden="1">
      <c r="A87" s="89"/>
      <c r="B87" s="89"/>
      <c r="C87" s="89"/>
      <c r="D87" s="89"/>
      <c r="E87" s="89"/>
      <c r="F87" s="89"/>
      <c r="G87" s="89"/>
      <c r="H87" s="89"/>
      <c r="I87" s="90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</row>
    <row r="88" hidden="1">
      <c r="A88" s="89"/>
      <c r="B88" s="89"/>
      <c r="C88" s="89"/>
      <c r="D88" s="89"/>
      <c r="E88" s="89"/>
      <c r="F88" s="89"/>
      <c r="G88" s="89"/>
      <c r="H88" s="89"/>
      <c r="I88" s="90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</row>
    <row r="89" hidden="1">
      <c r="A89" s="89"/>
      <c r="B89" s="89"/>
      <c r="C89" s="89"/>
      <c r="D89" s="89"/>
      <c r="E89" s="89"/>
      <c r="F89" s="89"/>
      <c r="G89" s="89"/>
      <c r="H89" s="89"/>
      <c r="I89" s="90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</row>
    <row r="90" hidden="1">
      <c r="A90" s="89"/>
      <c r="B90" s="89"/>
      <c r="C90" s="89"/>
      <c r="D90" s="89"/>
      <c r="E90" s="89"/>
      <c r="F90" s="89"/>
      <c r="G90" s="89"/>
      <c r="H90" s="89"/>
      <c r="I90" s="90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</row>
    <row r="91" hidden="1">
      <c r="A91" s="89"/>
      <c r="B91" s="89"/>
      <c r="C91" s="89"/>
      <c r="D91" s="89"/>
      <c r="E91" s="89"/>
      <c r="F91" s="89"/>
      <c r="G91" s="89"/>
      <c r="H91" s="89"/>
      <c r="I91" s="90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</row>
    <row r="92" hidden="1">
      <c r="A92" s="89"/>
      <c r="B92" s="89"/>
      <c r="C92" s="89"/>
      <c r="D92" s="89"/>
      <c r="E92" s="89"/>
      <c r="F92" s="89"/>
      <c r="G92" s="89"/>
      <c r="H92" s="89"/>
      <c r="I92" s="90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</row>
    <row r="93" hidden="1">
      <c r="A93" s="89"/>
      <c r="B93" s="89"/>
      <c r="C93" s="89"/>
      <c r="D93" s="89"/>
      <c r="E93" s="89"/>
      <c r="F93" s="89"/>
      <c r="G93" s="89"/>
      <c r="H93" s="89"/>
      <c r="I93" s="90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</row>
    <row r="94" hidden="1">
      <c r="A94" s="89"/>
      <c r="B94" s="89"/>
      <c r="C94" s="89"/>
      <c r="D94" s="89"/>
      <c r="E94" s="89"/>
      <c r="F94" s="89"/>
      <c r="G94" s="89"/>
      <c r="H94" s="89"/>
      <c r="I94" s="90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</row>
    <row r="95" hidden="1">
      <c r="A95" s="89"/>
      <c r="B95" s="89"/>
      <c r="C95" s="89"/>
      <c r="D95" s="89"/>
      <c r="E95" s="89"/>
      <c r="F95" s="89"/>
      <c r="G95" s="89"/>
      <c r="H95" s="89"/>
      <c r="I95" s="90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</row>
    <row r="96" hidden="1">
      <c r="A96" s="89"/>
      <c r="B96" s="89"/>
      <c r="C96" s="89"/>
      <c r="D96" s="89"/>
      <c r="E96" s="89"/>
      <c r="F96" s="89"/>
      <c r="G96" s="89"/>
      <c r="H96" s="89"/>
      <c r="I96" s="90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</row>
    <row r="97" hidden="1">
      <c r="A97" s="89"/>
      <c r="B97" s="89"/>
      <c r="C97" s="89"/>
      <c r="D97" s="89"/>
      <c r="E97" s="89"/>
      <c r="F97" s="89"/>
      <c r="G97" s="89"/>
      <c r="H97" s="89"/>
      <c r="I97" s="90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</row>
    <row r="98" hidden="1">
      <c r="A98" s="89"/>
      <c r="B98" s="89"/>
      <c r="C98" s="89"/>
      <c r="D98" s="89"/>
      <c r="E98" s="89"/>
      <c r="F98" s="89"/>
      <c r="G98" s="89"/>
      <c r="H98" s="89"/>
      <c r="I98" s="90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</row>
    <row r="99" hidden="1">
      <c r="A99" s="89"/>
      <c r="B99" s="89"/>
      <c r="C99" s="89"/>
      <c r="D99" s="89"/>
      <c r="E99" s="89"/>
      <c r="F99" s="89"/>
      <c r="G99" s="89"/>
      <c r="H99" s="89"/>
      <c r="I99" s="90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</row>
    <row r="100" hidden="1">
      <c r="A100" s="89"/>
      <c r="B100" s="89"/>
      <c r="C100" s="89"/>
      <c r="D100" s="89"/>
      <c r="E100" s="89"/>
      <c r="F100" s="89"/>
      <c r="G100" s="89"/>
      <c r="H100" s="89"/>
      <c r="I100" s="90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</row>
    <row r="101" hidden="1">
      <c r="A101" s="89"/>
      <c r="B101" s="89"/>
      <c r="C101" s="89"/>
      <c r="D101" s="89"/>
      <c r="E101" s="89"/>
      <c r="F101" s="89"/>
      <c r="G101" s="89"/>
      <c r="H101" s="89"/>
      <c r="I101" s="90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</row>
    <row r="102" hidden="1">
      <c r="A102" s="89"/>
      <c r="B102" s="89"/>
      <c r="C102" s="89"/>
      <c r="D102" s="89"/>
      <c r="E102" s="89"/>
      <c r="F102" s="89"/>
      <c r="G102" s="89"/>
      <c r="H102" s="89"/>
      <c r="I102" s="90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</row>
    <row r="103" hidden="1">
      <c r="A103" s="89"/>
      <c r="B103" s="89"/>
      <c r="C103" s="89"/>
      <c r="D103" s="89"/>
      <c r="E103" s="89"/>
      <c r="F103" s="89"/>
      <c r="G103" s="89"/>
      <c r="H103" s="89"/>
      <c r="I103" s="90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</row>
    <row r="104" hidden="1">
      <c r="A104" s="89"/>
      <c r="B104" s="89"/>
      <c r="C104" s="89"/>
      <c r="D104" s="89"/>
      <c r="E104" s="89"/>
      <c r="F104" s="89"/>
      <c r="G104" s="89"/>
      <c r="H104" s="89"/>
      <c r="I104" s="90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</row>
    <row r="105" hidden="1">
      <c r="A105" s="89"/>
      <c r="B105" s="89"/>
      <c r="C105" s="89"/>
      <c r="D105" s="89"/>
      <c r="E105" s="89"/>
      <c r="F105" s="89"/>
      <c r="G105" s="89"/>
      <c r="H105" s="89"/>
      <c r="I105" s="90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</row>
    <row r="106" hidden="1">
      <c r="A106" s="89"/>
      <c r="B106" s="89"/>
      <c r="C106" s="89"/>
      <c r="D106" s="89"/>
      <c r="E106" s="89"/>
      <c r="F106" s="89"/>
      <c r="G106" s="89"/>
      <c r="H106" s="89"/>
      <c r="I106" s="90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</row>
    <row r="107" hidden="1">
      <c r="A107" s="89"/>
      <c r="B107" s="89"/>
      <c r="C107" s="89"/>
      <c r="D107" s="89"/>
      <c r="E107" s="89"/>
      <c r="F107" s="89"/>
      <c r="G107" s="89"/>
      <c r="H107" s="89"/>
      <c r="I107" s="90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</row>
    <row r="108" hidden="1">
      <c r="A108" s="89"/>
      <c r="B108" s="89"/>
      <c r="C108" s="89"/>
      <c r="D108" s="89"/>
      <c r="E108" s="89"/>
      <c r="F108" s="89"/>
      <c r="G108" s="89"/>
      <c r="H108" s="89"/>
      <c r="I108" s="90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</row>
    <row r="109" hidden="1">
      <c r="A109" s="89"/>
      <c r="B109" s="89"/>
      <c r="C109" s="89"/>
      <c r="D109" s="89"/>
      <c r="E109" s="89"/>
      <c r="F109" s="89"/>
      <c r="G109" s="89"/>
      <c r="H109" s="89"/>
      <c r="I109" s="90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</row>
    <row r="110" hidden="1">
      <c r="A110" s="89"/>
      <c r="B110" s="89"/>
      <c r="C110" s="89"/>
      <c r="D110" s="89"/>
      <c r="E110" s="89"/>
      <c r="F110" s="89"/>
      <c r="G110" s="89"/>
      <c r="H110" s="89"/>
      <c r="I110" s="90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</row>
    <row r="111" hidden="1">
      <c r="A111" s="89"/>
      <c r="B111" s="89"/>
      <c r="C111" s="89"/>
      <c r="D111" s="89"/>
      <c r="E111" s="89"/>
      <c r="F111" s="89"/>
      <c r="G111" s="89"/>
      <c r="H111" s="89"/>
      <c r="I111" s="90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</row>
    <row r="112" hidden="1">
      <c r="A112" s="89"/>
      <c r="B112" s="89"/>
      <c r="C112" s="89"/>
      <c r="D112" s="89"/>
      <c r="E112" s="89"/>
      <c r="F112" s="89"/>
      <c r="G112" s="89"/>
      <c r="H112" s="89"/>
      <c r="I112" s="90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</row>
    <row r="113" hidden="1">
      <c r="A113" s="89"/>
      <c r="B113" s="89"/>
      <c r="C113" s="89"/>
      <c r="D113" s="89"/>
      <c r="E113" s="89"/>
      <c r="F113" s="89"/>
      <c r="G113" s="89"/>
      <c r="H113" s="89"/>
      <c r="I113" s="90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</row>
    <row r="114" hidden="1">
      <c r="A114" s="89"/>
      <c r="B114" s="89"/>
      <c r="C114" s="89"/>
      <c r="D114" s="89"/>
      <c r="E114" s="89"/>
      <c r="F114" s="89"/>
      <c r="G114" s="89"/>
      <c r="H114" s="89"/>
      <c r="I114" s="90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</row>
    <row r="115" hidden="1">
      <c r="A115" s="89"/>
      <c r="B115" s="89"/>
      <c r="C115" s="89"/>
      <c r="D115" s="89"/>
      <c r="E115" s="89"/>
      <c r="F115" s="89"/>
      <c r="G115" s="89"/>
      <c r="H115" s="89"/>
      <c r="I115" s="90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</row>
    <row r="116" hidden="1">
      <c r="A116" s="89"/>
      <c r="B116" s="89"/>
      <c r="C116" s="89"/>
      <c r="D116" s="89"/>
      <c r="E116" s="89"/>
      <c r="F116" s="89"/>
      <c r="G116" s="89"/>
      <c r="H116" s="89"/>
      <c r="I116" s="90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</row>
    <row r="117" hidden="1">
      <c r="A117" s="89"/>
      <c r="B117" s="89"/>
      <c r="C117" s="89"/>
      <c r="D117" s="89"/>
      <c r="E117" s="89"/>
      <c r="F117" s="89"/>
      <c r="G117" s="89"/>
      <c r="H117" s="89"/>
      <c r="I117" s="90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</row>
    <row r="118" hidden="1">
      <c r="A118" s="89"/>
      <c r="B118" s="89"/>
      <c r="C118" s="89"/>
      <c r="D118" s="89"/>
      <c r="E118" s="89"/>
      <c r="F118" s="89"/>
      <c r="G118" s="89"/>
      <c r="H118" s="89"/>
      <c r="I118" s="90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</row>
    <row r="119" hidden="1">
      <c r="A119" s="89"/>
      <c r="B119" s="89"/>
      <c r="C119" s="89"/>
      <c r="D119" s="89"/>
      <c r="E119" s="89"/>
      <c r="F119" s="89"/>
      <c r="G119" s="89"/>
      <c r="H119" s="89"/>
      <c r="I119" s="90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</row>
    <row r="120" hidden="1">
      <c r="A120" s="89"/>
      <c r="B120" s="89"/>
      <c r="C120" s="89"/>
      <c r="D120" s="89"/>
      <c r="E120" s="89"/>
      <c r="F120" s="89"/>
      <c r="G120" s="89"/>
      <c r="H120" s="89"/>
      <c r="I120" s="90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</row>
    <row r="121" hidden="1">
      <c r="A121" s="89"/>
      <c r="B121" s="89"/>
      <c r="C121" s="89"/>
      <c r="D121" s="89"/>
      <c r="E121" s="89"/>
      <c r="F121" s="89"/>
      <c r="G121" s="89"/>
      <c r="H121" s="89"/>
      <c r="I121" s="90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</row>
    <row r="122" hidden="1">
      <c r="A122" s="89"/>
      <c r="B122" s="89"/>
      <c r="C122" s="89"/>
      <c r="D122" s="89"/>
      <c r="E122" s="89"/>
      <c r="F122" s="89"/>
      <c r="G122" s="89"/>
      <c r="H122" s="89"/>
      <c r="I122" s="90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</row>
    <row r="123" hidden="1">
      <c r="A123" s="89"/>
      <c r="B123" s="89"/>
      <c r="C123" s="89"/>
      <c r="D123" s="89"/>
      <c r="E123" s="89"/>
      <c r="F123" s="89"/>
      <c r="G123" s="89"/>
      <c r="H123" s="89"/>
      <c r="I123" s="90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</row>
    <row r="124" hidden="1">
      <c r="A124" s="89"/>
      <c r="B124" s="89"/>
      <c r="C124" s="89"/>
      <c r="D124" s="89"/>
      <c r="E124" s="89"/>
      <c r="F124" s="89"/>
      <c r="G124" s="89"/>
      <c r="H124" s="89"/>
      <c r="I124" s="90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</row>
    <row r="125" hidden="1">
      <c r="A125" s="89"/>
      <c r="B125" s="89"/>
      <c r="C125" s="89"/>
      <c r="D125" s="89"/>
      <c r="E125" s="89"/>
      <c r="F125" s="89"/>
      <c r="G125" s="89"/>
      <c r="H125" s="89"/>
      <c r="I125" s="90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</row>
    <row r="126" hidden="1">
      <c r="A126" s="89"/>
      <c r="B126" s="89"/>
      <c r="C126" s="89"/>
      <c r="D126" s="89"/>
      <c r="E126" s="89"/>
      <c r="F126" s="89"/>
      <c r="G126" s="89"/>
      <c r="H126" s="89"/>
      <c r="I126" s="90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</row>
    <row r="127" hidden="1">
      <c r="A127" s="89"/>
      <c r="B127" s="89"/>
      <c r="C127" s="89"/>
      <c r="D127" s="89"/>
      <c r="E127" s="89"/>
      <c r="F127" s="89"/>
      <c r="G127" s="89"/>
      <c r="H127" s="89"/>
      <c r="I127" s="90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</row>
    <row r="128" hidden="1">
      <c r="A128" s="89"/>
      <c r="B128" s="89"/>
      <c r="C128" s="89"/>
      <c r="D128" s="89"/>
      <c r="E128" s="89"/>
      <c r="F128" s="89"/>
      <c r="G128" s="89"/>
      <c r="H128" s="89"/>
      <c r="I128" s="90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</row>
    <row r="129" hidden="1">
      <c r="A129" s="89"/>
      <c r="B129" s="89"/>
      <c r="C129" s="89"/>
      <c r="D129" s="89"/>
      <c r="E129" s="89"/>
      <c r="F129" s="89"/>
      <c r="G129" s="89"/>
      <c r="H129" s="89"/>
      <c r="I129" s="90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</row>
    <row r="130" hidden="1">
      <c r="A130" s="89"/>
      <c r="B130" s="89"/>
      <c r="C130" s="89"/>
      <c r="D130" s="89"/>
      <c r="E130" s="89"/>
      <c r="F130" s="89"/>
      <c r="G130" s="89"/>
      <c r="H130" s="89"/>
      <c r="I130" s="90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</row>
    <row r="131" hidden="1">
      <c r="A131" s="89"/>
      <c r="B131" s="89"/>
      <c r="C131" s="89"/>
      <c r="D131" s="89"/>
      <c r="E131" s="89"/>
      <c r="F131" s="89"/>
      <c r="G131" s="89"/>
      <c r="H131" s="89"/>
      <c r="I131" s="90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</row>
    <row r="132" hidden="1">
      <c r="A132" s="89"/>
      <c r="B132" s="89"/>
      <c r="C132" s="89"/>
      <c r="D132" s="89"/>
      <c r="E132" s="89"/>
      <c r="F132" s="89"/>
      <c r="G132" s="89"/>
      <c r="H132" s="89"/>
      <c r="I132" s="90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</row>
    <row r="133" hidden="1">
      <c r="A133" s="89"/>
      <c r="B133" s="89"/>
      <c r="C133" s="89"/>
      <c r="D133" s="89"/>
      <c r="E133" s="89"/>
      <c r="F133" s="89"/>
      <c r="G133" s="89"/>
      <c r="H133" s="89"/>
      <c r="I133" s="90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</row>
    <row r="134" hidden="1">
      <c r="A134" s="89"/>
      <c r="B134" s="89"/>
      <c r="C134" s="89"/>
      <c r="D134" s="89"/>
      <c r="E134" s="89"/>
      <c r="F134" s="89"/>
      <c r="G134" s="89"/>
      <c r="H134" s="89"/>
      <c r="I134" s="90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</row>
    <row r="135" hidden="1">
      <c r="A135" s="89"/>
      <c r="B135" s="89"/>
      <c r="C135" s="89"/>
      <c r="D135" s="89"/>
      <c r="E135" s="89"/>
      <c r="F135" s="89"/>
      <c r="G135" s="89"/>
      <c r="H135" s="89"/>
      <c r="I135" s="90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</row>
    <row r="136" hidden="1">
      <c r="A136" s="89"/>
      <c r="B136" s="89"/>
      <c r="C136" s="89"/>
      <c r="D136" s="89"/>
      <c r="E136" s="89"/>
      <c r="F136" s="89"/>
      <c r="G136" s="89"/>
      <c r="H136" s="89"/>
      <c r="I136" s="90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</row>
    <row r="137" hidden="1">
      <c r="A137" s="89"/>
      <c r="B137" s="89"/>
      <c r="C137" s="89"/>
      <c r="D137" s="89"/>
      <c r="E137" s="89"/>
      <c r="F137" s="89"/>
      <c r="G137" s="89"/>
      <c r="H137" s="89"/>
      <c r="I137" s="90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</row>
    <row r="138" hidden="1">
      <c r="A138" s="89"/>
      <c r="B138" s="89"/>
      <c r="C138" s="89"/>
      <c r="D138" s="89"/>
      <c r="E138" s="89"/>
      <c r="F138" s="89"/>
      <c r="G138" s="89"/>
      <c r="H138" s="89"/>
      <c r="I138" s="90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</row>
    <row r="139" hidden="1">
      <c r="A139" s="89"/>
      <c r="B139" s="89"/>
      <c r="C139" s="89"/>
      <c r="D139" s="89"/>
      <c r="E139" s="89"/>
      <c r="F139" s="89"/>
      <c r="G139" s="89"/>
      <c r="H139" s="89"/>
      <c r="I139" s="90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</row>
    <row r="140" hidden="1">
      <c r="A140" s="89"/>
      <c r="B140" s="89"/>
      <c r="C140" s="89"/>
      <c r="D140" s="89"/>
      <c r="E140" s="89"/>
      <c r="F140" s="89"/>
      <c r="G140" s="89"/>
      <c r="H140" s="89"/>
      <c r="I140" s="90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</row>
    <row r="141" hidden="1">
      <c r="A141" s="89"/>
      <c r="B141" s="89"/>
      <c r="C141" s="89"/>
      <c r="D141" s="89"/>
      <c r="E141" s="89"/>
      <c r="F141" s="89"/>
      <c r="G141" s="89"/>
      <c r="H141" s="89"/>
      <c r="I141" s="90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</row>
    <row r="142" hidden="1">
      <c r="A142" s="89"/>
      <c r="B142" s="89"/>
      <c r="C142" s="89"/>
      <c r="D142" s="89"/>
      <c r="E142" s="89"/>
      <c r="F142" s="89"/>
      <c r="G142" s="89"/>
      <c r="H142" s="89"/>
      <c r="I142" s="90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</row>
    <row r="143" hidden="1">
      <c r="A143" s="89"/>
      <c r="B143" s="89"/>
      <c r="C143" s="89"/>
      <c r="D143" s="89"/>
      <c r="E143" s="89"/>
      <c r="F143" s="89"/>
      <c r="G143" s="89"/>
      <c r="H143" s="89"/>
      <c r="I143" s="90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</row>
    <row r="144" hidden="1">
      <c r="A144" s="89"/>
      <c r="B144" s="89"/>
      <c r="C144" s="89"/>
      <c r="D144" s="89"/>
      <c r="E144" s="89"/>
      <c r="F144" s="89"/>
      <c r="G144" s="89"/>
      <c r="H144" s="89"/>
      <c r="I144" s="90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</row>
    <row r="145" hidden="1">
      <c r="A145" s="89"/>
      <c r="B145" s="89"/>
      <c r="C145" s="89"/>
      <c r="D145" s="89"/>
      <c r="E145" s="89"/>
      <c r="F145" s="89"/>
      <c r="G145" s="89"/>
      <c r="H145" s="89"/>
      <c r="I145" s="90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</row>
    <row r="146" hidden="1">
      <c r="A146" s="89"/>
      <c r="B146" s="89"/>
      <c r="C146" s="89"/>
      <c r="D146" s="89"/>
      <c r="E146" s="89"/>
      <c r="F146" s="89"/>
      <c r="G146" s="89"/>
      <c r="H146" s="89"/>
      <c r="I146" s="90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</row>
    <row r="147" hidden="1">
      <c r="A147" s="89"/>
      <c r="B147" s="89"/>
      <c r="C147" s="89"/>
      <c r="D147" s="89"/>
      <c r="E147" s="89"/>
      <c r="F147" s="89"/>
      <c r="G147" s="89"/>
      <c r="H147" s="89"/>
      <c r="I147" s="90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</row>
    <row r="148" hidden="1">
      <c r="A148" s="89"/>
      <c r="B148" s="89"/>
      <c r="C148" s="89"/>
      <c r="D148" s="89"/>
      <c r="E148" s="89"/>
      <c r="F148" s="89"/>
      <c r="G148" s="89"/>
      <c r="H148" s="89"/>
      <c r="I148" s="90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</row>
    <row r="149" hidden="1">
      <c r="A149" s="89"/>
      <c r="B149" s="89"/>
      <c r="C149" s="89"/>
      <c r="D149" s="89"/>
      <c r="E149" s="89"/>
      <c r="F149" s="89"/>
      <c r="G149" s="89"/>
      <c r="H149" s="89"/>
      <c r="I149" s="90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</row>
    <row r="150" hidden="1">
      <c r="A150" s="89"/>
      <c r="B150" s="89"/>
      <c r="C150" s="89"/>
      <c r="D150" s="89"/>
      <c r="E150" s="89"/>
      <c r="F150" s="89"/>
      <c r="G150" s="89"/>
      <c r="H150" s="89"/>
      <c r="I150" s="90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</row>
    <row r="151" hidden="1">
      <c r="A151" s="89"/>
      <c r="B151" s="89"/>
      <c r="C151" s="89"/>
      <c r="D151" s="89"/>
      <c r="E151" s="89"/>
      <c r="F151" s="89"/>
      <c r="G151" s="89"/>
      <c r="H151" s="89"/>
      <c r="I151" s="90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</row>
    <row r="152" hidden="1">
      <c r="A152" s="89"/>
      <c r="B152" s="89"/>
      <c r="C152" s="89"/>
      <c r="D152" s="89"/>
      <c r="E152" s="89"/>
      <c r="F152" s="89"/>
      <c r="G152" s="89"/>
      <c r="H152" s="89"/>
      <c r="I152" s="90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</row>
    <row r="153" hidden="1">
      <c r="A153" s="89"/>
      <c r="B153" s="89"/>
      <c r="C153" s="89"/>
      <c r="D153" s="89"/>
      <c r="E153" s="89"/>
      <c r="F153" s="89"/>
      <c r="G153" s="89"/>
      <c r="H153" s="89"/>
      <c r="I153" s="90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</row>
    <row r="154" hidden="1">
      <c r="A154" s="89"/>
      <c r="B154" s="89"/>
      <c r="C154" s="89"/>
      <c r="D154" s="89"/>
      <c r="E154" s="89"/>
      <c r="F154" s="89"/>
      <c r="G154" s="89"/>
      <c r="H154" s="89"/>
      <c r="I154" s="90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</row>
    <row r="155" hidden="1">
      <c r="A155" s="89"/>
      <c r="B155" s="89"/>
      <c r="C155" s="89"/>
      <c r="D155" s="89"/>
      <c r="E155" s="89"/>
      <c r="F155" s="89"/>
      <c r="G155" s="89"/>
      <c r="H155" s="89"/>
      <c r="I155" s="90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</row>
    <row r="156" hidden="1">
      <c r="A156" s="89"/>
      <c r="B156" s="89"/>
      <c r="C156" s="89"/>
      <c r="D156" s="89"/>
      <c r="E156" s="89"/>
      <c r="F156" s="89"/>
      <c r="G156" s="89"/>
      <c r="H156" s="89"/>
      <c r="I156" s="90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</row>
    <row r="157" hidden="1">
      <c r="A157" s="89"/>
      <c r="B157" s="89"/>
      <c r="C157" s="89"/>
      <c r="D157" s="89"/>
      <c r="E157" s="89"/>
      <c r="F157" s="89"/>
      <c r="G157" s="89"/>
      <c r="H157" s="89"/>
      <c r="I157" s="90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</row>
    <row r="158" hidden="1">
      <c r="A158" s="89"/>
      <c r="B158" s="89"/>
      <c r="C158" s="89"/>
      <c r="D158" s="89"/>
      <c r="E158" s="89"/>
      <c r="F158" s="89"/>
      <c r="G158" s="89"/>
      <c r="H158" s="89"/>
      <c r="I158" s="90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</row>
    <row r="159" hidden="1">
      <c r="A159" s="89"/>
      <c r="B159" s="89"/>
      <c r="C159" s="89"/>
      <c r="D159" s="89"/>
      <c r="E159" s="89"/>
      <c r="F159" s="89"/>
      <c r="G159" s="89"/>
      <c r="H159" s="89"/>
      <c r="I159" s="90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</row>
    <row r="160" hidden="1">
      <c r="A160" s="89"/>
      <c r="B160" s="89"/>
      <c r="C160" s="89"/>
      <c r="D160" s="89"/>
      <c r="E160" s="89"/>
      <c r="F160" s="89"/>
      <c r="G160" s="89"/>
      <c r="H160" s="89"/>
      <c r="I160" s="90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</row>
    <row r="161" hidden="1">
      <c r="A161" s="89"/>
      <c r="B161" s="89"/>
      <c r="C161" s="89"/>
      <c r="D161" s="89"/>
      <c r="E161" s="89"/>
      <c r="F161" s="89"/>
      <c r="G161" s="89"/>
      <c r="H161" s="89"/>
      <c r="I161" s="90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</row>
    <row r="162" hidden="1">
      <c r="A162" s="89"/>
      <c r="B162" s="89"/>
      <c r="C162" s="89"/>
      <c r="D162" s="89"/>
      <c r="E162" s="89"/>
      <c r="F162" s="89"/>
      <c r="G162" s="89"/>
      <c r="H162" s="89"/>
      <c r="I162" s="90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</row>
    <row r="163" hidden="1">
      <c r="A163" s="89"/>
      <c r="B163" s="89"/>
      <c r="C163" s="89"/>
      <c r="D163" s="89"/>
      <c r="E163" s="89"/>
      <c r="F163" s="89"/>
      <c r="G163" s="89"/>
      <c r="H163" s="89"/>
      <c r="I163" s="90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</row>
    <row r="164" hidden="1">
      <c r="A164" s="89"/>
      <c r="B164" s="89"/>
      <c r="C164" s="89"/>
      <c r="D164" s="89"/>
      <c r="E164" s="89"/>
      <c r="F164" s="89"/>
      <c r="G164" s="89"/>
      <c r="H164" s="89"/>
      <c r="I164" s="90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</row>
    <row r="165" hidden="1">
      <c r="A165" s="89"/>
      <c r="B165" s="89"/>
      <c r="C165" s="89"/>
      <c r="D165" s="89"/>
      <c r="E165" s="89"/>
      <c r="F165" s="89"/>
      <c r="G165" s="89"/>
      <c r="H165" s="89"/>
      <c r="I165" s="90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</row>
    <row r="166" hidden="1">
      <c r="A166" s="89"/>
      <c r="B166" s="89"/>
      <c r="C166" s="89"/>
      <c r="D166" s="89"/>
      <c r="E166" s="89"/>
      <c r="F166" s="89"/>
      <c r="G166" s="89"/>
      <c r="H166" s="89"/>
      <c r="I166" s="90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</row>
    <row r="167" hidden="1">
      <c r="A167" s="89"/>
      <c r="B167" s="89"/>
      <c r="C167" s="89"/>
      <c r="D167" s="89"/>
      <c r="E167" s="89"/>
      <c r="F167" s="89"/>
      <c r="G167" s="89"/>
      <c r="H167" s="89"/>
      <c r="I167" s="90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</row>
    <row r="168" hidden="1">
      <c r="A168" s="89"/>
      <c r="B168" s="89"/>
      <c r="C168" s="89"/>
      <c r="D168" s="89"/>
      <c r="E168" s="89"/>
      <c r="F168" s="89"/>
      <c r="G168" s="89"/>
      <c r="H168" s="89"/>
      <c r="I168" s="90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</row>
    <row r="169" hidden="1">
      <c r="A169" s="89"/>
      <c r="B169" s="89"/>
      <c r="C169" s="89"/>
      <c r="D169" s="89"/>
      <c r="E169" s="89"/>
      <c r="F169" s="89"/>
      <c r="G169" s="89"/>
      <c r="H169" s="89"/>
      <c r="I169" s="90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</row>
    <row r="170" hidden="1">
      <c r="A170" s="89"/>
      <c r="B170" s="89"/>
      <c r="C170" s="89"/>
      <c r="D170" s="89"/>
      <c r="E170" s="89"/>
      <c r="F170" s="89"/>
      <c r="G170" s="89"/>
      <c r="H170" s="89"/>
      <c r="I170" s="90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</row>
    <row r="171" hidden="1">
      <c r="A171" s="89"/>
      <c r="B171" s="89"/>
      <c r="C171" s="89"/>
      <c r="D171" s="89"/>
      <c r="E171" s="89"/>
      <c r="F171" s="89"/>
      <c r="G171" s="89"/>
      <c r="H171" s="89"/>
      <c r="I171" s="90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</row>
    <row r="172" hidden="1">
      <c r="A172" s="89"/>
      <c r="B172" s="89"/>
      <c r="C172" s="89"/>
      <c r="D172" s="89"/>
      <c r="E172" s="89"/>
      <c r="F172" s="89"/>
      <c r="G172" s="89"/>
      <c r="H172" s="89"/>
      <c r="I172" s="90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</row>
    <row r="173" hidden="1">
      <c r="A173" s="89"/>
      <c r="B173" s="89"/>
      <c r="C173" s="89"/>
      <c r="D173" s="89"/>
      <c r="E173" s="89"/>
      <c r="F173" s="89"/>
      <c r="G173" s="89"/>
      <c r="H173" s="89"/>
      <c r="I173" s="90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</row>
    <row r="174" hidden="1">
      <c r="A174" s="89"/>
      <c r="B174" s="89"/>
      <c r="C174" s="89"/>
      <c r="D174" s="89"/>
      <c r="E174" s="89"/>
      <c r="F174" s="89"/>
      <c r="G174" s="89"/>
      <c r="H174" s="89"/>
      <c r="I174" s="90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</row>
    <row r="175" hidden="1">
      <c r="A175" s="89"/>
      <c r="B175" s="89"/>
      <c r="C175" s="89"/>
      <c r="D175" s="89"/>
      <c r="E175" s="89"/>
      <c r="F175" s="89"/>
      <c r="G175" s="89"/>
      <c r="H175" s="89"/>
      <c r="I175" s="90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</row>
    <row r="176" hidden="1">
      <c r="A176" s="89"/>
      <c r="B176" s="89"/>
      <c r="C176" s="89"/>
      <c r="D176" s="89"/>
      <c r="E176" s="89"/>
      <c r="F176" s="89"/>
      <c r="G176" s="89"/>
      <c r="H176" s="89"/>
      <c r="I176" s="90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</row>
    <row r="177" hidden="1">
      <c r="A177" s="89"/>
      <c r="B177" s="89"/>
      <c r="C177" s="89"/>
      <c r="D177" s="89"/>
      <c r="E177" s="89"/>
      <c r="F177" s="89"/>
      <c r="G177" s="89"/>
      <c r="H177" s="89"/>
      <c r="I177" s="90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</row>
    <row r="178" hidden="1">
      <c r="A178" s="89"/>
      <c r="B178" s="89"/>
      <c r="C178" s="89"/>
      <c r="D178" s="89"/>
      <c r="E178" s="89"/>
      <c r="F178" s="89"/>
      <c r="G178" s="89"/>
      <c r="H178" s="89"/>
      <c r="I178" s="90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</row>
    <row r="179" hidden="1">
      <c r="A179" s="89"/>
      <c r="B179" s="89"/>
      <c r="C179" s="89"/>
      <c r="D179" s="89"/>
      <c r="E179" s="89"/>
      <c r="F179" s="89"/>
      <c r="G179" s="89"/>
      <c r="H179" s="89"/>
      <c r="I179" s="90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</row>
    <row r="180" hidden="1">
      <c r="A180" s="89"/>
      <c r="B180" s="89"/>
      <c r="C180" s="89"/>
      <c r="D180" s="89"/>
      <c r="E180" s="89"/>
      <c r="F180" s="89"/>
      <c r="G180" s="89"/>
      <c r="H180" s="89"/>
      <c r="I180" s="90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</row>
    <row r="181" hidden="1">
      <c r="A181" s="89"/>
      <c r="B181" s="89"/>
      <c r="C181" s="89"/>
      <c r="D181" s="89"/>
      <c r="E181" s="89"/>
      <c r="F181" s="89"/>
      <c r="G181" s="89"/>
      <c r="H181" s="89"/>
      <c r="I181" s="90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</row>
    <row r="182" hidden="1">
      <c r="A182" s="89"/>
      <c r="B182" s="89"/>
      <c r="C182" s="89"/>
      <c r="D182" s="89"/>
      <c r="E182" s="89"/>
      <c r="F182" s="89"/>
      <c r="G182" s="89"/>
      <c r="H182" s="89"/>
      <c r="I182" s="90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</row>
    <row r="183" hidden="1">
      <c r="A183" s="89"/>
      <c r="B183" s="89"/>
      <c r="C183" s="89"/>
      <c r="D183" s="89"/>
      <c r="E183" s="89"/>
      <c r="F183" s="89"/>
      <c r="G183" s="89"/>
      <c r="H183" s="89"/>
      <c r="I183" s="90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</row>
    <row r="184" hidden="1">
      <c r="A184" s="89"/>
      <c r="B184" s="89"/>
      <c r="C184" s="89"/>
      <c r="D184" s="89"/>
      <c r="E184" s="89"/>
      <c r="F184" s="89"/>
      <c r="G184" s="89"/>
      <c r="H184" s="89"/>
      <c r="I184" s="90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</row>
    <row r="185" hidden="1">
      <c r="A185" s="89"/>
      <c r="B185" s="89"/>
      <c r="C185" s="89"/>
      <c r="D185" s="89"/>
      <c r="E185" s="89"/>
      <c r="F185" s="89"/>
      <c r="G185" s="89"/>
      <c r="H185" s="89"/>
      <c r="I185" s="90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</row>
    <row r="186" hidden="1">
      <c r="A186" s="89"/>
      <c r="B186" s="89"/>
      <c r="C186" s="89"/>
      <c r="D186" s="89"/>
      <c r="E186" s="89"/>
      <c r="F186" s="89"/>
      <c r="G186" s="89"/>
      <c r="H186" s="89"/>
      <c r="I186" s="90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</row>
    <row r="187" hidden="1">
      <c r="A187" s="89"/>
      <c r="B187" s="89"/>
      <c r="C187" s="89"/>
      <c r="D187" s="89"/>
      <c r="E187" s="89"/>
      <c r="F187" s="89"/>
      <c r="G187" s="89"/>
      <c r="H187" s="89"/>
      <c r="I187" s="90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</row>
    <row r="188" hidden="1">
      <c r="A188" s="89"/>
      <c r="B188" s="89"/>
      <c r="C188" s="89"/>
      <c r="D188" s="89"/>
      <c r="E188" s="89"/>
      <c r="F188" s="89"/>
      <c r="G188" s="89"/>
      <c r="H188" s="89"/>
      <c r="I188" s="90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</row>
    <row r="189" hidden="1">
      <c r="A189" s="89"/>
      <c r="B189" s="89"/>
      <c r="C189" s="89"/>
      <c r="D189" s="89"/>
      <c r="E189" s="89"/>
      <c r="F189" s="89"/>
      <c r="G189" s="89"/>
      <c r="H189" s="89"/>
      <c r="I189" s="90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</row>
    <row r="190" hidden="1">
      <c r="A190" s="89"/>
      <c r="B190" s="89"/>
      <c r="C190" s="89"/>
      <c r="D190" s="89"/>
      <c r="E190" s="89"/>
      <c r="F190" s="89"/>
      <c r="G190" s="89"/>
      <c r="H190" s="89"/>
      <c r="I190" s="90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</row>
    <row r="191" hidden="1">
      <c r="A191" s="89"/>
      <c r="B191" s="89"/>
      <c r="C191" s="89"/>
      <c r="D191" s="89"/>
      <c r="E191" s="89"/>
      <c r="F191" s="89"/>
      <c r="G191" s="89"/>
      <c r="H191" s="89"/>
      <c r="I191" s="90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</row>
    <row r="192" hidden="1">
      <c r="A192" s="89"/>
      <c r="B192" s="89"/>
      <c r="C192" s="89"/>
      <c r="D192" s="89"/>
      <c r="E192" s="89"/>
      <c r="F192" s="89"/>
      <c r="G192" s="89"/>
      <c r="H192" s="89"/>
      <c r="I192" s="90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</row>
    <row r="193" hidden="1">
      <c r="A193" s="89"/>
      <c r="B193" s="89"/>
      <c r="C193" s="89"/>
      <c r="D193" s="89"/>
      <c r="E193" s="89"/>
      <c r="F193" s="89"/>
      <c r="G193" s="89"/>
      <c r="H193" s="89"/>
      <c r="I193" s="90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</row>
    <row r="194" hidden="1">
      <c r="A194" s="89"/>
      <c r="B194" s="89"/>
      <c r="C194" s="89"/>
      <c r="D194" s="89"/>
      <c r="E194" s="89"/>
      <c r="F194" s="89"/>
      <c r="G194" s="89"/>
      <c r="H194" s="89"/>
      <c r="I194" s="90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</row>
    <row r="195" hidden="1">
      <c r="A195" s="89"/>
      <c r="B195" s="89"/>
      <c r="C195" s="89"/>
      <c r="D195" s="89"/>
      <c r="E195" s="89"/>
      <c r="F195" s="89"/>
      <c r="G195" s="89"/>
      <c r="H195" s="89"/>
      <c r="I195" s="90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</row>
    <row r="196" hidden="1">
      <c r="A196" s="89"/>
      <c r="B196" s="89"/>
      <c r="C196" s="89"/>
      <c r="D196" s="89"/>
      <c r="E196" s="89"/>
      <c r="F196" s="89"/>
      <c r="G196" s="89"/>
      <c r="H196" s="89"/>
      <c r="I196" s="90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</row>
    <row r="197" hidden="1">
      <c r="A197" s="89"/>
      <c r="B197" s="89"/>
      <c r="C197" s="89"/>
      <c r="D197" s="89"/>
      <c r="E197" s="89"/>
      <c r="F197" s="89"/>
      <c r="G197" s="89"/>
      <c r="H197" s="89"/>
      <c r="I197" s="90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</row>
    <row r="198" hidden="1">
      <c r="A198" s="89"/>
      <c r="B198" s="89"/>
      <c r="C198" s="89"/>
      <c r="D198" s="89"/>
      <c r="E198" s="89"/>
      <c r="F198" s="89"/>
      <c r="G198" s="89"/>
      <c r="H198" s="89"/>
      <c r="I198" s="90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</row>
    <row r="199" hidden="1">
      <c r="A199" s="89"/>
      <c r="B199" s="89"/>
      <c r="C199" s="89"/>
      <c r="D199" s="89"/>
      <c r="E199" s="89"/>
      <c r="F199" s="89"/>
      <c r="G199" s="89"/>
      <c r="H199" s="89"/>
      <c r="I199" s="90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</row>
    <row r="200" hidden="1">
      <c r="A200" s="89"/>
      <c r="B200" s="89"/>
      <c r="C200" s="89"/>
      <c r="D200" s="89"/>
      <c r="E200" s="89"/>
      <c r="F200" s="89"/>
      <c r="G200" s="89"/>
      <c r="H200" s="89"/>
      <c r="I200" s="90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</row>
    <row r="201" hidden="1">
      <c r="A201" s="89"/>
      <c r="B201" s="89"/>
      <c r="C201" s="89"/>
      <c r="D201" s="89"/>
      <c r="E201" s="89"/>
      <c r="F201" s="89"/>
      <c r="G201" s="89"/>
      <c r="H201" s="89"/>
      <c r="I201" s="90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</row>
    <row r="202" hidden="1">
      <c r="A202" s="89"/>
      <c r="B202" s="89"/>
      <c r="C202" s="89"/>
      <c r="D202" s="89"/>
      <c r="E202" s="89"/>
      <c r="F202" s="89"/>
      <c r="G202" s="89"/>
      <c r="H202" s="89"/>
      <c r="I202" s="90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</row>
    <row r="203" hidden="1">
      <c r="A203" s="89"/>
      <c r="B203" s="89"/>
      <c r="C203" s="89"/>
      <c r="D203" s="89"/>
      <c r="E203" s="89"/>
      <c r="F203" s="89"/>
      <c r="G203" s="89"/>
      <c r="H203" s="89"/>
      <c r="I203" s="90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</row>
    <row r="204" hidden="1">
      <c r="A204" s="89"/>
      <c r="B204" s="89"/>
      <c r="C204" s="89"/>
      <c r="D204" s="89"/>
      <c r="E204" s="89"/>
      <c r="F204" s="89"/>
      <c r="G204" s="89"/>
      <c r="H204" s="89"/>
      <c r="I204" s="90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</row>
    <row r="205" hidden="1">
      <c r="A205" s="89"/>
      <c r="B205" s="89"/>
      <c r="C205" s="89"/>
      <c r="D205" s="89"/>
      <c r="E205" s="89"/>
      <c r="F205" s="89"/>
      <c r="G205" s="89"/>
      <c r="H205" s="89"/>
      <c r="I205" s="90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</row>
    <row r="206" hidden="1">
      <c r="A206" s="89"/>
      <c r="B206" s="89"/>
      <c r="C206" s="89"/>
      <c r="D206" s="89"/>
      <c r="E206" s="89"/>
      <c r="F206" s="89"/>
      <c r="G206" s="89"/>
      <c r="H206" s="89"/>
      <c r="I206" s="90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</row>
    <row r="207" hidden="1">
      <c r="A207" s="89"/>
      <c r="B207" s="89"/>
      <c r="C207" s="89"/>
      <c r="D207" s="89"/>
      <c r="E207" s="89"/>
      <c r="F207" s="89"/>
      <c r="G207" s="89"/>
      <c r="H207" s="89"/>
      <c r="I207" s="90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</row>
    <row r="208" hidden="1">
      <c r="A208" s="89"/>
      <c r="B208" s="89"/>
      <c r="C208" s="89"/>
      <c r="D208" s="89"/>
      <c r="E208" s="89"/>
      <c r="F208" s="89"/>
      <c r="G208" s="89"/>
      <c r="H208" s="89"/>
      <c r="I208" s="90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</row>
    <row r="209" hidden="1">
      <c r="A209" s="89"/>
      <c r="B209" s="89"/>
      <c r="C209" s="89"/>
      <c r="D209" s="89"/>
      <c r="E209" s="89"/>
      <c r="F209" s="89"/>
      <c r="G209" s="89"/>
      <c r="H209" s="89"/>
      <c r="I209" s="90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</row>
    <row r="210" hidden="1">
      <c r="A210" s="89"/>
      <c r="B210" s="89"/>
      <c r="C210" s="89"/>
      <c r="D210" s="89"/>
      <c r="E210" s="89"/>
      <c r="F210" s="89"/>
      <c r="G210" s="89"/>
      <c r="H210" s="89"/>
      <c r="I210" s="90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</row>
    <row r="211" hidden="1">
      <c r="A211" s="89"/>
      <c r="B211" s="89"/>
      <c r="C211" s="89"/>
      <c r="D211" s="89"/>
      <c r="E211" s="89"/>
      <c r="F211" s="89"/>
      <c r="G211" s="89"/>
      <c r="H211" s="89"/>
      <c r="I211" s="90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</row>
    <row r="212" hidden="1">
      <c r="A212" s="89"/>
      <c r="B212" s="89"/>
      <c r="C212" s="89"/>
      <c r="D212" s="89"/>
      <c r="E212" s="89"/>
      <c r="F212" s="89"/>
      <c r="G212" s="89"/>
      <c r="H212" s="89"/>
      <c r="I212" s="90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</row>
    <row r="213" hidden="1">
      <c r="A213" s="89"/>
      <c r="B213" s="89"/>
      <c r="C213" s="89"/>
      <c r="D213" s="89"/>
      <c r="E213" s="89"/>
      <c r="F213" s="89"/>
      <c r="G213" s="89"/>
      <c r="H213" s="89"/>
      <c r="I213" s="90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</row>
    <row r="214" hidden="1">
      <c r="A214" s="89"/>
      <c r="B214" s="89"/>
      <c r="C214" s="89"/>
      <c r="D214" s="89"/>
      <c r="E214" s="89"/>
      <c r="F214" s="89"/>
      <c r="G214" s="89"/>
      <c r="H214" s="89"/>
      <c r="I214" s="90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</row>
    <row r="215" hidden="1">
      <c r="A215" s="89"/>
      <c r="B215" s="89"/>
      <c r="C215" s="89"/>
      <c r="D215" s="89"/>
      <c r="E215" s="89"/>
      <c r="F215" s="89"/>
      <c r="G215" s="89"/>
      <c r="H215" s="89"/>
      <c r="I215" s="90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</row>
    <row r="216" hidden="1">
      <c r="A216" s="89"/>
      <c r="B216" s="89"/>
      <c r="C216" s="89"/>
      <c r="D216" s="89"/>
      <c r="E216" s="89"/>
      <c r="F216" s="89"/>
      <c r="G216" s="89"/>
      <c r="H216" s="89"/>
      <c r="I216" s="90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</row>
    <row r="217" hidden="1">
      <c r="A217" s="89"/>
      <c r="B217" s="89"/>
      <c r="C217" s="89"/>
      <c r="D217" s="89"/>
      <c r="E217" s="89"/>
      <c r="F217" s="89"/>
      <c r="G217" s="89"/>
      <c r="H217" s="89"/>
      <c r="I217" s="90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</row>
    <row r="218" hidden="1">
      <c r="A218" s="89"/>
      <c r="B218" s="89"/>
      <c r="C218" s="89"/>
      <c r="D218" s="89"/>
      <c r="E218" s="89"/>
      <c r="F218" s="89"/>
      <c r="G218" s="89"/>
      <c r="H218" s="89"/>
      <c r="I218" s="90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</row>
    <row r="219" hidden="1">
      <c r="A219" s="89"/>
      <c r="B219" s="89"/>
      <c r="C219" s="89"/>
      <c r="D219" s="89"/>
      <c r="E219" s="89"/>
      <c r="F219" s="89"/>
      <c r="G219" s="89"/>
      <c r="H219" s="89"/>
      <c r="I219" s="90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</row>
    <row r="220" hidden="1">
      <c r="A220" s="89"/>
      <c r="B220" s="89"/>
      <c r="C220" s="89"/>
      <c r="D220" s="89"/>
      <c r="E220" s="89"/>
      <c r="F220" s="89"/>
      <c r="G220" s="89"/>
      <c r="H220" s="89"/>
      <c r="I220" s="90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</row>
    <row r="221" hidden="1">
      <c r="A221" s="89"/>
      <c r="B221" s="89"/>
      <c r="C221" s="89"/>
      <c r="D221" s="89"/>
      <c r="E221" s="89"/>
      <c r="F221" s="89"/>
      <c r="G221" s="89"/>
      <c r="H221" s="89"/>
      <c r="I221" s="90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</row>
    <row r="222" hidden="1">
      <c r="A222" s="89"/>
      <c r="B222" s="89"/>
      <c r="C222" s="89"/>
      <c r="D222" s="89"/>
      <c r="E222" s="89"/>
      <c r="F222" s="89"/>
      <c r="G222" s="89"/>
      <c r="H222" s="89"/>
      <c r="I222" s="90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</row>
    <row r="223" hidden="1">
      <c r="A223" s="89"/>
      <c r="B223" s="89"/>
      <c r="C223" s="89"/>
      <c r="D223" s="89"/>
      <c r="E223" s="89"/>
      <c r="F223" s="89"/>
      <c r="G223" s="89"/>
      <c r="H223" s="89"/>
      <c r="I223" s="90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</row>
    <row r="224" hidden="1">
      <c r="A224" s="89"/>
      <c r="B224" s="89"/>
      <c r="C224" s="89"/>
      <c r="D224" s="89"/>
      <c r="E224" s="89"/>
      <c r="F224" s="89"/>
      <c r="G224" s="89"/>
      <c r="H224" s="89"/>
      <c r="I224" s="90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</row>
    <row r="225" hidden="1">
      <c r="A225" s="89"/>
      <c r="B225" s="89"/>
      <c r="C225" s="89"/>
      <c r="D225" s="89"/>
      <c r="E225" s="89"/>
      <c r="F225" s="89"/>
      <c r="G225" s="89"/>
      <c r="H225" s="89"/>
      <c r="I225" s="90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</row>
    <row r="226" hidden="1">
      <c r="A226" s="89"/>
      <c r="B226" s="89"/>
      <c r="C226" s="89"/>
      <c r="D226" s="89"/>
      <c r="E226" s="89"/>
      <c r="F226" s="89"/>
      <c r="G226" s="89"/>
      <c r="H226" s="89"/>
      <c r="I226" s="90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</row>
    <row r="227" hidden="1">
      <c r="A227" s="89"/>
      <c r="B227" s="89"/>
      <c r="C227" s="89"/>
      <c r="D227" s="89"/>
      <c r="E227" s="89"/>
      <c r="F227" s="89"/>
      <c r="G227" s="89"/>
      <c r="H227" s="89"/>
      <c r="I227" s="90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</row>
    <row r="228" hidden="1">
      <c r="A228" s="89"/>
      <c r="B228" s="89"/>
      <c r="C228" s="89"/>
      <c r="D228" s="89"/>
      <c r="E228" s="89"/>
      <c r="F228" s="89"/>
      <c r="G228" s="89"/>
      <c r="H228" s="89"/>
      <c r="I228" s="90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</row>
    <row r="229" hidden="1">
      <c r="A229" s="89"/>
      <c r="B229" s="89"/>
      <c r="C229" s="89"/>
      <c r="D229" s="89"/>
      <c r="E229" s="89"/>
      <c r="F229" s="89"/>
      <c r="G229" s="89"/>
      <c r="H229" s="89"/>
      <c r="I229" s="90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</row>
    <row r="230" hidden="1">
      <c r="A230" s="89"/>
      <c r="B230" s="89"/>
      <c r="C230" s="89"/>
      <c r="D230" s="89"/>
      <c r="E230" s="89"/>
      <c r="F230" s="89"/>
      <c r="G230" s="89"/>
      <c r="H230" s="89"/>
      <c r="I230" s="90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</row>
    <row r="231" hidden="1">
      <c r="A231" s="89"/>
      <c r="B231" s="89"/>
      <c r="C231" s="89"/>
      <c r="D231" s="89"/>
      <c r="E231" s="89"/>
      <c r="F231" s="89"/>
      <c r="G231" s="89"/>
      <c r="H231" s="89"/>
      <c r="I231" s="90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</row>
    <row r="232" hidden="1">
      <c r="A232" s="89"/>
      <c r="B232" s="89"/>
      <c r="C232" s="89"/>
      <c r="D232" s="89"/>
      <c r="E232" s="89"/>
      <c r="F232" s="89"/>
      <c r="G232" s="89"/>
      <c r="H232" s="89"/>
      <c r="I232" s="90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</row>
    <row r="233" hidden="1">
      <c r="A233" s="89"/>
      <c r="B233" s="89"/>
      <c r="C233" s="89"/>
      <c r="D233" s="89"/>
      <c r="E233" s="89"/>
      <c r="F233" s="89"/>
      <c r="G233" s="89"/>
      <c r="H233" s="89"/>
      <c r="I233" s="90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</row>
    <row r="234" hidden="1">
      <c r="A234" s="89"/>
      <c r="B234" s="89"/>
      <c r="C234" s="89"/>
      <c r="D234" s="89"/>
      <c r="E234" s="89"/>
      <c r="F234" s="89"/>
      <c r="G234" s="89"/>
      <c r="H234" s="89"/>
      <c r="I234" s="90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</row>
    <row r="235" hidden="1">
      <c r="A235" s="89"/>
      <c r="B235" s="89"/>
      <c r="C235" s="89"/>
      <c r="D235" s="89"/>
      <c r="E235" s="89"/>
      <c r="F235" s="89"/>
      <c r="G235" s="89"/>
      <c r="H235" s="89"/>
      <c r="I235" s="90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</row>
    <row r="236" hidden="1">
      <c r="A236" s="89"/>
      <c r="B236" s="89"/>
      <c r="C236" s="89"/>
      <c r="D236" s="89"/>
      <c r="E236" s="89"/>
      <c r="F236" s="89"/>
      <c r="G236" s="89"/>
      <c r="H236" s="89"/>
      <c r="I236" s="90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</row>
    <row r="237" hidden="1">
      <c r="A237" s="89"/>
      <c r="B237" s="89"/>
      <c r="C237" s="89"/>
      <c r="D237" s="89"/>
      <c r="E237" s="89"/>
      <c r="F237" s="89"/>
      <c r="G237" s="89"/>
      <c r="H237" s="89"/>
      <c r="I237" s="90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</row>
    <row r="238" hidden="1">
      <c r="A238" s="89"/>
      <c r="B238" s="89"/>
      <c r="C238" s="89"/>
      <c r="D238" s="89"/>
      <c r="E238" s="89"/>
      <c r="F238" s="89"/>
      <c r="G238" s="89"/>
      <c r="H238" s="89"/>
      <c r="I238" s="90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</row>
    <row r="239" hidden="1">
      <c r="A239" s="89"/>
      <c r="B239" s="89"/>
      <c r="C239" s="89"/>
      <c r="D239" s="89"/>
      <c r="E239" s="89"/>
      <c r="F239" s="89"/>
      <c r="G239" s="89"/>
      <c r="H239" s="89"/>
      <c r="I239" s="90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</row>
    <row r="240" hidden="1">
      <c r="A240" s="89"/>
      <c r="B240" s="89"/>
      <c r="C240" s="89"/>
      <c r="D240" s="89"/>
      <c r="E240" s="89"/>
      <c r="F240" s="89"/>
      <c r="G240" s="89"/>
      <c r="H240" s="89"/>
      <c r="I240" s="90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</row>
    <row r="241" hidden="1">
      <c r="A241" s="89"/>
      <c r="B241" s="89"/>
      <c r="C241" s="89"/>
      <c r="D241" s="89"/>
      <c r="E241" s="89"/>
      <c r="F241" s="89"/>
      <c r="G241" s="89"/>
      <c r="H241" s="89"/>
      <c r="I241" s="90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</row>
    <row r="242" hidden="1">
      <c r="A242" s="89"/>
      <c r="B242" s="89"/>
      <c r="C242" s="89"/>
      <c r="D242" s="89"/>
      <c r="E242" s="89"/>
      <c r="F242" s="89"/>
      <c r="G242" s="89"/>
      <c r="H242" s="89"/>
      <c r="I242" s="90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</row>
    <row r="243" hidden="1">
      <c r="A243" s="89"/>
      <c r="B243" s="89"/>
      <c r="C243" s="89"/>
      <c r="D243" s="89"/>
      <c r="E243" s="89"/>
      <c r="F243" s="89"/>
      <c r="G243" s="89"/>
      <c r="H243" s="89"/>
      <c r="I243" s="90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</row>
    <row r="244" hidden="1">
      <c r="A244" s="89"/>
      <c r="B244" s="89"/>
      <c r="C244" s="89"/>
      <c r="D244" s="89"/>
      <c r="E244" s="89"/>
      <c r="F244" s="89"/>
      <c r="G244" s="89"/>
      <c r="H244" s="89"/>
      <c r="I244" s="90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</row>
    <row r="245" hidden="1">
      <c r="A245" s="89"/>
      <c r="B245" s="89"/>
      <c r="C245" s="89"/>
      <c r="D245" s="89"/>
      <c r="E245" s="89"/>
      <c r="F245" s="89"/>
      <c r="G245" s="89"/>
      <c r="H245" s="89"/>
      <c r="I245" s="90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</row>
    <row r="246" hidden="1">
      <c r="A246" s="89"/>
      <c r="B246" s="89"/>
      <c r="C246" s="89"/>
      <c r="D246" s="89"/>
      <c r="E246" s="89"/>
      <c r="F246" s="89"/>
      <c r="G246" s="89"/>
      <c r="H246" s="89"/>
      <c r="I246" s="90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</row>
    <row r="247" hidden="1">
      <c r="A247" s="89"/>
      <c r="B247" s="89"/>
      <c r="C247" s="89"/>
      <c r="D247" s="89"/>
      <c r="E247" s="89"/>
      <c r="F247" s="89"/>
      <c r="G247" s="89"/>
      <c r="H247" s="89"/>
      <c r="I247" s="90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</row>
    <row r="248" hidden="1">
      <c r="A248" s="89"/>
      <c r="B248" s="89"/>
      <c r="C248" s="89"/>
      <c r="D248" s="89"/>
      <c r="E248" s="89"/>
      <c r="F248" s="89"/>
      <c r="G248" s="89"/>
      <c r="H248" s="89"/>
      <c r="I248" s="90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</row>
    <row r="249" hidden="1">
      <c r="A249" s="89"/>
      <c r="B249" s="89"/>
      <c r="C249" s="89"/>
      <c r="D249" s="89"/>
      <c r="E249" s="89"/>
      <c r="F249" s="89"/>
      <c r="G249" s="89"/>
      <c r="H249" s="89"/>
      <c r="I249" s="90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</row>
    <row r="250" hidden="1">
      <c r="A250" s="89"/>
      <c r="B250" s="89"/>
      <c r="C250" s="89"/>
      <c r="D250" s="89"/>
      <c r="E250" s="89"/>
      <c r="F250" s="89"/>
      <c r="G250" s="89"/>
      <c r="H250" s="89"/>
      <c r="I250" s="90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</row>
    <row r="251" hidden="1">
      <c r="A251" s="89"/>
      <c r="B251" s="89"/>
      <c r="C251" s="89"/>
      <c r="D251" s="89"/>
      <c r="E251" s="89"/>
      <c r="F251" s="89"/>
      <c r="G251" s="89"/>
      <c r="H251" s="89"/>
      <c r="I251" s="90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</row>
    <row r="252" hidden="1">
      <c r="A252" s="89"/>
      <c r="B252" s="89"/>
      <c r="C252" s="89"/>
      <c r="D252" s="89"/>
      <c r="E252" s="89"/>
      <c r="F252" s="89"/>
      <c r="G252" s="89"/>
      <c r="H252" s="89"/>
      <c r="I252" s="90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</row>
    <row r="253" hidden="1">
      <c r="A253" s="89"/>
      <c r="B253" s="89"/>
      <c r="C253" s="89"/>
      <c r="D253" s="89"/>
      <c r="E253" s="89"/>
      <c r="F253" s="89"/>
      <c r="G253" s="89"/>
      <c r="H253" s="89"/>
      <c r="I253" s="90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</row>
    <row r="254" hidden="1">
      <c r="A254" s="89"/>
      <c r="B254" s="89"/>
      <c r="C254" s="89"/>
      <c r="D254" s="89"/>
      <c r="E254" s="89"/>
      <c r="F254" s="89"/>
      <c r="G254" s="89"/>
      <c r="H254" s="89"/>
      <c r="I254" s="90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</row>
    <row r="255" hidden="1">
      <c r="A255" s="89"/>
      <c r="B255" s="89"/>
      <c r="C255" s="89"/>
      <c r="D255" s="89"/>
      <c r="E255" s="89"/>
      <c r="F255" s="89"/>
      <c r="G255" s="89"/>
      <c r="H255" s="89"/>
      <c r="I255" s="90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</row>
    <row r="256" hidden="1">
      <c r="A256" s="89"/>
      <c r="B256" s="89"/>
      <c r="C256" s="89"/>
      <c r="D256" s="89"/>
      <c r="E256" s="89"/>
      <c r="F256" s="89"/>
      <c r="G256" s="89"/>
      <c r="H256" s="89"/>
      <c r="I256" s="90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</row>
    <row r="257" hidden="1">
      <c r="A257" s="89"/>
      <c r="B257" s="89"/>
      <c r="C257" s="89"/>
      <c r="D257" s="89"/>
      <c r="E257" s="89"/>
      <c r="F257" s="89"/>
      <c r="G257" s="89"/>
      <c r="H257" s="89"/>
      <c r="I257" s="90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</row>
    <row r="258" hidden="1">
      <c r="A258" s="89"/>
      <c r="B258" s="89"/>
      <c r="C258" s="89"/>
      <c r="D258" s="89"/>
      <c r="E258" s="89"/>
      <c r="F258" s="89"/>
      <c r="G258" s="89"/>
      <c r="H258" s="89"/>
      <c r="I258" s="90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</row>
    <row r="259" hidden="1">
      <c r="A259" s="89"/>
      <c r="B259" s="89"/>
      <c r="C259" s="89"/>
      <c r="D259" s="89"/>
      <c r="E259" s="89"/>
      <c r="F259" s="89"/>
      <c r="G259" s="89"/>
      <c r="H259" s="89"/>
      <c r="I259" s="90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</row>
    <row r="260" hidden="1">
      <c r="A260" s="89"/>
      <c r="B260" s="89"/>
      <c r="C260" s="89"/>
      <c r="D260" s="89"/>
      <c r="E260" s="89"/>
      <c r="F260" s="89"/>
      <c r="G260" s="89"/>
      <c r="H260" s="89"/>
      <c r="I260" s="90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</row>
    <row r="261" hidden="1">
      <c r="A261" s="89"/>
      <c r="B261" s="89"/>
      <c r="C261" s="89"/>
      <c r="D261" s="89"/>
      <c r="E261" s="89"/>
      <c r="F261" s="89"/>
      <c r="G261" s="89"/>
      <c r="H261" s="89"/>
      <c r="I261" s="90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</row>
    <row r="262" hidden="1">
      <c r="A262" s="89"/>
      <c r="B262" s="89"/>
      <c r="C262" s="89"/>
      <c r="D262" s="89"/>
      <c r="E262" s="89"/>
      <c r="F262" s="89"/>
      <c r="G262" s="89"/>
      <c r="H262" s="89"/>
      <c r="I262" s="90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</row>
    <row r="263" hidden="1">
      <c r="A263" s="89"/>
      <c r="B263" s="89"/>
      <c r="C263" s="89"/>
      <c r="D263" s="89"/>
      <c r="E263" s="89"/>
      <c r="F263" s="89"/>
      <c r="G263" s="89"/>
      <c r="H263" s="89"/>
      <c r="I263" s="90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</row>
    <row r="264" hidden="1">
      <c r="A264" s="89"/>
      <c r="B264" s="89"/>
      <c r="C264" s="89"/>
      <c r="D264" s="89"/>
      <c r="E264" s="89"/>
      <c r="F264" s="89"/>
      <c r="G264" s="89"/>
      <c r="H264" s="89"/>
      <c r="I264" s="90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</row>
    <row r="265" hidden="1">
      <c r="A265" s="89"/>
      <c r="B265" s="89"/>
      <c r="C265" s="89"/>
      <c r="D265" s="89"/>
      <c r="E265" s="89"/>
      <c r="F265" s="89"/>
      <c r="G265" s="89"/>
      <c r="H265" s="89"/>
      <c r="I265" s="90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</row>
    <row r="266" hidden="1">
      <c r="A266" s="89"/>
      <c r="B266" s="89"/>
      <c r="C266" s="89"/>
      <c r="D266" s="89"/>
      <c r="E266" s="89"/>
      <c r="F266" s="89"/>
      <c r="G266" s="89"/>
      <c r="H266" s="89"/>
      <c r="I266" s="90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</row>
    <row r="267" hidden="1">
      <c r="A267" s="89"/>
      <c r="B267" s="89"/>
      <c r="C267" s="89"/>
      <c r="D267" s="89"/>
      <c r="E267" s="89"/>
      <c r="F267" s="89"/>
      <c r="G267" s="89"/>
      <c r="H267" s="89"/>
      <c r="I267" s="90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</row>
    <row r="268" hidden="1">
      <c r="A268" s="89"/>
      <c r="B268" s="89"/>
      <c r="C268" s="89"/>
      <c r="D268" s="89"/>
      <c r="E268" s="89"/>
      <c r="F268" s="89"/>
      <c r="G268" s="89"/>
      <c r="H268" s="89"/>
      <c r="I268" s="90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</row>
    <row r="269" hidden="1">
      <c r="A269" s="89"/>
      <c r="B269" s="89"/>
      <c r="C269" s="89"/>
      <c r="D269" s="89"/>
      <c r="E269" s="89"/>
      <c r="F269" s="89"/>
      <c r="G269" s="89"/>
      <c r="H269" s="89"/>
      <c r="I269" s="90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</row>
    <row r="270" hidden="1">
      <c r="A270" s="89"/>
      <c r="B270" s="89"/>
      <c r="C270" s="89"/>
      <c r="D270" s="89"/>
      <c r="E270" s="89"/>
      <c r="F270" s="89"/>
      <c r="G270" s="89"/>
      <c r="H270" s="89"/>
      <c r="I270" s="90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</row>
    <row r="271" hidden="1">
      <c r="A271" s="89"/>
      <c r="B271" s="89"/>
      <c r="C271" s="89"/>
      <c r="D271" s="89"/>
      <c r="E271" s="89"/>
      <c r="F271" s="89"/>
      <c r="G271" s="89"/>
      <c r="H271" s="89"/>
      <c r="I271" s="90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</row>
    <row r="272" hidden="1">
      <c r="A272" s="89"/>
      <c r="B272" s="89"/>
      <c r="C272" s="89"/>
      <c r="D272" s="89"/>
      <c r="E272" s="89"/>
      <c r="F272" s="89"/>
      <c r="G272" s="89"/>
      <c r="H272" s="89"/>
      <c r="I272" s="90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</row>
    <row r="273" hidden="1">
      <c r="A273" s="89"/>
      <c r="B273" s="89"/>
      <c r="C273" s="89"/>
      <c r="D273" s="89"/>
      <c r="E273" s="89"/>
      <c r="F273" s="89"/>
      <c r="G273" s="89"/>
      <c r="H273" s="89"/>
      <c r="I273" s="90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</row>
    <row r="274" hidden="1">
      <c r="A274" s="89"/>
      <c r="B274" s="89"/>
      <c r="C274" s="89"/>
      <c r="D274" s="89"/>
      <c r="E274" s="89"/>
      <c r="F274" s="89"/>
      <c r="G274" s="89"/>
      <c r="H274" s="89"/>
      <c r="I274" s="90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</row>
    <row r="275" hidden="1">
      <c r="A275" s="89"/>
      <c r="B275" s="89"/>
      <c r="C275" s="89"/>
      <c r="D275" s="89"/>
      <c r="E275" s="89"/>
      <c r="F275" s="89"/>
      <c r="G275" s="89"/>
      <c r="H275" s="89"/>
      <c r="I275" s="90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</row>
    <row r="276" hidden="1">
      <c r="A276" s="89"/>
      <c r="B276" s="89"/>
      <c r="C276" s="89"/>
      <c r="D276" s="89"/>
      <c r="E276" s="89"/>
      <c r="F276" s="89"/>
      <c r="G276" s="89"/>
      <c r="H276" s="89"/>
      <c r="I276" s="90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</row>
    <row r="277" hidden="1">
      <c r="A277" s="89"/>
      <c r="B277" s="89"/>
      <c r="C277" s="89"/>
      <c r="D277" s="89"/>
      <c r="E277" s="89"/>
      <c r="F277" s="89"/>
      <c r="G277" s="89"/>
      <c r="H277" s="89"/>
      <c r="I277" s="90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</row>
    <row r="278" hidden="1">
      <c r="A278" s="89"/>
      <c r="B278" s="89"/>
      <c r="C278" s="89"/>
      <c r="D278" s="89"/>
      <c r="E278" s="89"/>
      <c r="F278" s="89"/>
      <c r="G278" s="89"/>
      <c r="H278" s="89"/>
      <c r="I278" s="90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</row>
    <row r="279" hidden="1">
      <c r="A279" s="89"/>
      <c r="B279" s="89"/>
      <c r="C279" s="89"/>
      <c r="D279" s="89"/>
      <c r="E279" s="89"/>
      <c r="F279" s="89"/>
      <c r="G279" s="89"/>
      <c r="H279" s="89"/>
      <c r="I279" s="90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</row>
    <row r="280" hidden="1">
      <c r="A280" s="89"/>
      <c r="B280" s="89"/>
      <c r="C280" s="89"/>
      <c r="D280" s="89"/>
      <c r="E280" s="89"/>
      <c r="F280" s="89"/>
      <c r="G280" s="89"/>
      <c r="H280" s="89"/>
      <c r="I280" s="90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</row>
    <row r="281" hidden="1">
      <c r="A281" s="89"/>
      <c r="B281" s="89"/>
      <c r="C281" s="89"/>
      <c r="D281" s="89"/>
      <c r="E281" s="89"/>
      <c r="F281" s="89"/>
      <c r="G281" s="89"/>
      <c r="H281" s="89"/>
      <c r="I281" s="90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</row>
    <row r="282" hidden="1">
      <c r="A282" s="89"/>
      <c r="B282" s="89"/>
      <c r="C282" s="89"/>
      <c r="D282" s="89"/>
      <c r="E282" s="89"/>
      <c r="F282" s="89"/>
      <c r="G282" s="89"/>
      <c r="H282" s="89"/>
      <c r="I282" s="90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</row>
    <row r="283" hidden="1">
      <c r="A283" s="89"/>
      <c r="B283" s="89"/>
      <c r="C283" s="89"/>
      <c r="D283" s="89"/>
      <c r="E283" s="89"/>
      <c r="F283" s="89"/>
      <c r="G283" s="89"/>
      <c r="H283" s="89"/>
      <c r="I283" s="90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</row>
    <row r="284" hidden="1">
      <c r="A284" s="89"/>
      <c r="B284" s="89"/>
      <c r="C284" s="89"/>
      <c r="D284" s="89"/>
      <c r="E284" s="89"/>
      <c r="F284" s="89"/>
      <c r="G284" s="89"/>
      <c r="H284" s="89"/>
      <c r="I284" s="90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</row>
    <row r="285" hidden="1">
      <c r="A285" s="89"/>
      <c r="B285" s="89"/>
      <c r="C285" s="89"/>
      <c r="D285" s="89"/>
      <c r="E285" s="89"/>
      <c r="F285" s="89"/>
      <c r="G285" s="89"/>
      <c r="H285" s="89"/>
      <c r="I285" s="90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</row>
    <row r="286" hidden="1">
      <c r="A286" s="89"/>
      <c r="B286" s="89"/>
      <c r="C286" s="89"/>
      <c r="D286" s="89"/>
      <c r="E286" s="89"/>
      <c r="F286" s="89"/>
      <c r="G286" s="89"/>
      <c r="H286" s="89"/>
      <c r="I286" s="90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</row>
    <row r="287" hidden="1">
      <c r="A287" s="89"/>
      <c r="B287" s="89"/>
      <c r="C287" s="89"/>
      <c r="D287" s="89"/>
      <c r="E287" s="89"/>
      <c r="F287" s="89"/>
      <c r="G287" s="89"/>
      <c r="H287" s="89"/>
      <c r="I287" s="90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</row>
    <row r="288" hidden="1">
      <c r="A288" s="89"/>
      <c r="B288" s="89"/>
      <c r="C288" s="89"/>
      <c r="D288" s="89"/>
      <c r="E288" s="89"/>
      <c r="F288" s="89"/>
      <c r="G288" s="89"/>
      <c r="H288" s="89"/>
      <c r="I288" s="90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</row>
    <row r="289" hidden="1">
      <c r="A289" s="89"/>
      <c r="B289" s="89"/>
      <c r="C289" s="89"/>
      <c r="D289" s="89"/>
      <c r="E289" s="89"/>
      <c r="F289" s="89"/>
      <c r="G289" s="89"/>
      <c r="H289" s="89"/>
      <c r="I289" s="90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</row>
    <row r="290" hidden="1">
      <c r="A290" s="89"/>
      <c r="B290" s="89"/>
      <c r="C290" s="89"/>
      <c r="D290" s="89"/>
      <c r="E290" s="89"/>
      <c r="F290" s="89"/>
      <c r="G290" s="89"/>
      <c r="H290" s="89"/>
      <c r="I290" s="90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</row>
    <row r="291" hidden="1">
      <c r="A291" s="89"/>
      <c r="B291" s="89"/>
      <c r="C291" s="89"/>
      <c r="D291" s="89"/>
      <c r="E291" s="89"/>
      <c r="F291" s="89"/>
      <c r="G291" s="89"/>
      <c r="H291" s="89"/>
      <c r="I291" s="90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</row>
    <row r="292" hidden="1">
      <c r="A292" s="89"/>
      <c r="B292" s="89"/>
      <c r="C292" s="89"/>
      <c r="D292" s="89"/>
      <c r="E292" s="89"/>
      <c r="F292" s="89"/>
      <c r="G292" s="89"/>
      <c r="H292" s="89"/>
      <c r="I292" s="90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</row>
    <row r="293" hidden="1">
      <c r="A293" s="89"/>
      <c r="B293" s="89"/>
      <c r="C293" s="89"/>
      <c r="D293" s="89"/>
      <c r="E293" s="89"/>
      <c r="F293" s="89"/>
      <c r="G293" s="89"/>
      <c r="H293" s="89"/>
      <c r="I293" s="90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</row>
    <row r="294" hidden="1">
      <c r="A294" s="89"/>
      <c r="B294" s="89"/>
      <c r="C294" s="89"/>
      <c r="D294" s="89"/>
      <c r="E294" s="89"/>
      <c r="F294" s="89"/>
      <c r="G294" s="89"/>
      <c r="H294" s="89"/>
      <c r="I294" s="90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</row>
    <row r="295" hidden="1">
      <c r="A295" s="89"/>
      <c r="B295" s="89"/>
      <c r="C295" s="89"/>
      <c r="D295" s="89"/>
      <c r="E295" s="89"/>
      <c r="F295" s="89"/>
      <c r="G295" s="89"/>
      <c r="H295" s="89"/>
      <c r="I295" s="90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</row>
    <row r="296" hidden="1">
      <c r="A296" s="89"/>
      <c r="B296" s="89"/>
      <c r="C296" s="89"/>
      <c r="D296" s="89"/>
      <c r="E296" s="89"/>
      <c r="F296" s="89"/>
      <c r="G296" s="89"/>
      <c r="H296" s="89"/>
      <c r="I296" s="90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</row>
    <row r="297" hidden="1">
      <c r="A297" s="89"/>
      <c r="B297" s="89"/>
      <c r="C297" s="89"/>
      <c r="D297" s="89"/>
      <c r="E297" s="89"/>
      <c r="F297" s="89"/>
      <c r="G297" s="89"/>
      <c r="H297" s="89"/>
      <c r="I297" s="90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</row>
    <row r="298" hidden="1">
      <c r="A298" s="89"/>
      <c r="B298" s="89"/>
      <c r="C298" s="89"/>
      <c r="D298" s="89"/>
      <c r="E298" s="89"/>
      <c r="F298" s="89"/>
      <c r="G298" s="89"/>
      <c r="H298" s="89"/>
      <c r="I298" s="90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</row>
    <row r="299" hidden="1">
      <c r="A299" s="89"/>
      <c r="B299" s="89"/>
      <c r="C299" s="89"/>
      <c r="D299" s="89"/>
      <c r="E299" s="89"/>
      <c r="F299" s="89"/>
      <c r="G299" s="89"/>
      <c r="H299" s="89"/>
      <c r="I299" s="90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</row>
    <row r="300" hidden="1">
      <c r="A300" s="89"/>
      <c r="B300" s="89"/>
      <c r="C300" s="89"/>
      <c r="D300" s="89"/>
      <c r="E300" s="89"/>
      <c r="F300" s="89"/>
      <c r="G300" s="89"/>
      <c r="H300" s="89"/>
      <c r="I300" s="90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</row>
    <row r="301" hidden="1">
      <c r="A301" s="89"/>
      <c r="B301" s="89"/>
      <c r="C301" s="89"/>
      <c r="D301" s="89"/>
      <c r="E301" s="89"/>
      <c r="F301" s="89"/>
      <c r="G301" s="89"/>
      <c r="H301" s="89"/>
      <c r="I301" s="90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</row>
    <row r="302" hidden="1">
      <c r="A302" s="89"/>
      <c r="B302" s="89"/>
      <c r="C302" s="89"/>
      <c r="D302" s="89"/>
      <c r="E302" s="89"/>
      <c r="F302" s="89"/>
      <c r="G302" s="89"/>
      <c r="H302" s="89"/>
      <c r="I302" s="90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</row>
    <row r="303" hidden="1">
      <c r="A303" s="89"/>
      <c r="B303" s="89"/>
      <c r="C303" s="89"/>
      <c r="D303" s="89"/>
      <c r="E303" s="89"/>
      <c r="F303" s="89"/>
      <c r="G303" s="89"/>
      <c r="H303" s="89"/>
      <c r="I303" s="90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</row>
    <row r="304" hidden="1">
      <c r="A304" s="89"/>
      <c r="B304" s="89"/>
      <c r="C304" s="89"/>
      <c r="D304" s="89"/>
      <c r="E304" s="89"/>
      <c r="F304" s="89"/>
      <c r="G304" s="89"/>
      <c r="H304" s="89"/>
      <c r="I304" s="90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</row>
    <row r="305" hidden="1">
      <c r="A305" s="89"/>
      <c r="B305" s="89"/>
      <c r="C305" s="89"/>
      <c r="D305" s="89"/>
      <c r="E305" s="89"/>
      <c r="F305" s="89"/>
      <c r="G305" s="89"/>
      <c r="H305" s="89"/>
      <c r="I305" s="90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</row>
    <row r="306" hidden="1">
      <c r="A306" s="89"/>
      <c r="B306" s="89"/>
      <c r="C306" s="89"/>
      <c r="D306" s="89"/>
      <c r="E306" s="89"/>
      <c r="F306" s="89"/>
      <c r="G306" s="89"/>
      <c r="H306" s="89"/>
      <c r="I306" s="90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</row>
    <row r="307" hidden="1">
      <c r="A307" s="89"/>
      <c r="B307" s="89"/>
      <c r="C307" s="89"/>
      <c r="D307" s="89"/>
      <c r="E307" s="89"/>
      <c r="F307" s="89"/>
      <c r="G307" s="89"/>
      <c r="H307" s="89"/>
      <c r="I307" s="90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</row>
    <row r="308" hidden="1">
      <c r="A308" s="89"/>
      <c r="B308" s="89"/>
      <c r="C308" s="89"/>
      <c r="D308" s="89"/>
      <c r="E308" s="89"/>
      <c r="F308" s="89"/>
      <c r="G308" s="89"/>
      <c r="H308" s="89"/>
      <c r="I308" s="90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</row>
    <row r="309" hidden="1">
      <c r="A309" s="89"/>
      <c r="B309" s="89"/>
      <c r="C309" s="89"/>
      <c r="D309" s="89"/>
      <c r="E309" s="89"/>
      <c r="F309" s="89"/>
      <c r="G309" s="89"/>
      <c r="H309" s="89"/>
      <c r="I309" s="90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</row>
    <row r="310" hidden="1">
      <c r="A310" s="89"/>
      <c r="B310" s="89"/>
      <c r="C310" s="89"/>
      <c r="D310" s="89"/>
      <c r="E310" s="89"/>
      <c r="F310" s="89"/>
      <c r="G310" s="89"/>
      <c r="H310" s="89"/>
      <c r="I310" s="90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</row>
    <row r="311" hidden="1">
      <c r="A311" s="89"/>
      <c r="B311" s="89"/>
      <c r="C311" s="89"/>
      <c r="D311" s="89"/>
      <c r="E311" s="89"/>
      <c r="F311" s="89"/>
      <c r="G311" s="89"/>
      <c r="H311" s="89"/>
      <c r="I311" s="90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</row>
    <row r="312" hidden="1">
      <c r="A312" s="89"/>
      <c r="B312" s="89"/>
      <c r="C312" s="89"/>
      <c r="D312" s="89"/>
      <c r="E312" s="89"/>
      <c r="F312" s="89"/>
      <c r="G312" s="89"/>
      <c r="H312" s="89"/>
      <c r="I312" s="90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</row>
    <row r="313" hidden="1">
      <c r="A313" s="89"/>
      <c r="B313" s="89"/>
      <c r="C313" s="89"/>
      <c r="D313" s="89"/>
      <c r="E313" s="89"/>
      <c r="F313" s="89"/>
      <c r="G313" s="89"/>
      <c r="H313" s="89"/>
      <c r="I313" s="90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</row>
    <row r="314" hidden="1">
      <c r="A314" s="89"/>
      <c r="B314" s="89"/>
      <c r="C314" s="89"/>
      <c r="D314" s="89"/>
      <c r="E314" s="89"/>
      <c r="F314" s="89"/>
      <c r="G314" s="89"/>
      <c r="H314" s="89"/>
      <c r="I314" s="90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</row>
    <row r="315" hidden="1">
      <c r="A315" s="89"/>
      <c r="B315" s="89"/>
      <c r="C315" s="89"/>
      <c r="D315" s="89"/>
      <c r="E315" s="89"/>
      <c r="F315" s="89"/>
      <c r="G315" s="89"/>
      <c r="H315" s="89"/>
      <c r="I315" s="90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</row>
    <row r="316" hidden="1">
      <c r="A316" s="89"/>
      <c r="B316" s="89"/>
      <c r="C316" s="89"/>
      <c r="D316" s="89"/>
      <c r="E316" s="89"/>
      <c r="F316" s="89"/>
      <c r="G316" s="89"/>
      <c r="H316" s="89"/>
      <c r="I316" s="90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</row>
    <row r="317" hidden="1">
      <c r="A317" s="89"/>
      <c r="B317" s="89"/>
      <c r="C317" s="89"/>
      <c r="D317" s="89"/>
      <c r="E317" s="89"/>
      <c r="F317" s="89"/>
      <c r="G317" s="89"/>
      <c r="H317" s="89"/>
      <c r="I317" s="90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</row>
    <row r="318" hidden="1">
      <c r="A318" s="89"/>
      <c r="B318" s="89"/>
      <c r="C318" s="89"/>
      <c r="D318" s="89"/>
      <c r="E318" s="89"/>
      <c r="F318" s="89"/>
      <c r="G318" s="89"/>
      <c r="H318" s="89"/>
      <c r="I318" s="90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</row>
    <row r="319" hidden="1">
      <c r="A319" s="89"/>
      <c r="B319" s="89"/>
      <c r="C319" s="89"/>
      <c r="D319" s="89"/>
      <c r="E319" s="89"/>
      <c r="F319" s="89"/>
      <c r="G319" s="89"/>
      <c r="H319" s="89"/>
      <c r="I319" s="90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</row>
    <row r="320" hidden="1">
      <c r="A320" s="89"/>
      <c r="B320" s="89"/>
      <c r="C320" s="89"/>
      <c r="D320" s="89"/>
      <c r="E320" s="89"/>
      <c r="F320" s="89"/>
      <c r="G320" s="89"/>
      <c r="H320" s="89"/>
      <c r="I320" s="90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</row>
    <row r="321" hidden="1">
      <c r="A321" s="89"/>
      <c r="B321" s="89"/>
      <c r="C321" s="89"/>
      <c r="D321" s="89"/>
      <c r="E321" s="89"/>
      <c r="F321" s="89"/>
      <c r="G321" s="89"/>
      <c r="H321" s="89"/>
      <c r="I321" s="90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</row>
    <row r="322" hidden="1">
      <c r="A322" s="89"/>
      <c r="B322" s="89"/>
      <c r="C322" s="89"/>
      <c r="D322" s="89"/>
      <c r="E322" s="89"/>
      <c r="F322" s="89"/>
      <c r="G322" s="89"/>
      <c r="H322" s="89"/>
      <c r="I322" s="90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</row>
    <row r="323" hidden="1">
      <c r="A323" s="89"/>
      <c r="B323" s="89"/>
      <c r="C323" s="89"/>
      <c r="D323" s="89"/>
      <c r="E323" s="89"/>
      <c r="F323" s="89"/>
      <c r="G323" s="89"/>
      <c r="H323" s="89"/>
      <c r="I323" s="90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</row>
    <row r="324" hidden="1">
      <c r="A324" s="89"/>
      <c r="B324" s="89"/>
      <c r="C324" s="89"/>
      <c r="D324" s="89"/>
      <c r="E324" s="89"/>
      <c r="F324" s="89"/>
      <c r="G324" s="89"/>
      <c r="H324" s="89"/>
      <c r="I324" s="90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</row>
    <row r="325" hidden="1">
      <c r="A325" s="89"/>
      <c r="B325" s="89"/>
      <c r="C325" s="89"/>
      <c r="D325" s="89"/>
      <c r="E325" s="89"/>
      <c r="F325" s="89"/>
      <c r="G325" s="89"/>
      <c r="H325" s="89"/>
      <c r="I325" s="90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</row>
    <row r="326" hidden="1">
      <c r="A326" s="89"/>
      <c r="B326" s="89"/>
      <c r="C326" s="89"/>
      <c r="D326" s="89"/>
      <c r="E326" s="89"/>
      <c r="F326" s="89"/>
      <c r="G326" s="89"/>
      <c r="H326" s="89"/>
      <c r="I326" s="90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</row>
    <row r="327" hidden="1">
      <c r="A327" s="89"/>
      <c r="B327" s="89"/>
      <c r="C327" s="89"/>
      <c r="D327" s="89"/>
      <c r="E327" s="89"/>
      <c r="F327" s="89"/>
      <c r="G327" s="89"/>
      <c r="H327" s="89"/>
      <c r="I327" s="90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</row>
    <row r="328" hidden="1">
      <c r="A328" s="89"/>
      <c r="B328" s="89"/>
      <c r="C328" s="89"/>
      <c r="D328" s="89"/>
      <c r="E328" s="89"/>
      <c r="F328" s="89"/>
      <c r="G328" s="89"/>
      <c r="H328" s="89"/>
      <c r="I328" s="90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</row>
    <row r="329" hidden="1">
      <c r="A329" s="89"/>
      <c r="B329" s="89"/>
      <c r="C329" s="89"/>
      <c r="D329" s="89"/>
      <c r="E329" s="89"/>
      <c r="F329" s="89"/>
      <c r="G329" s="89"/>
      <c r="H329" s="89"/>
      <c r="I329" s="90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</row>
    <row r="330" hidden="1">
      <c r="A330" s="89"/>
      <c r="B330" s="89"/>
      <c r="C330" s="89"/>
      <c r="D330" s="89"/>
      <c r="E330" s="89"/>
      <c r="F330" s="89"/>
      <c r="G330" s="89"/>
      <c r="H330" s="89"/>
      <c r="I330" s="90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</row>
    <row r="331" hidden="1">
      <c r="A331" s="89"/>
      <c r="B331" s="89"/>
      <c r="C331" s="89"/>
      <c r="D331" s="89"/>
      <c r="E331" s="89"/>
      <c r="F331" s="89"/>
      <c r="G331" s="89"/>
      <c r="H331" s="89"/>
      <c r="I331" s="90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</row>
    <row r="332" hidden="1">
      <c r="A332" s="89"/>
      <c r="B332" s="89"/>
      <c r="C332" s="89"/>
      <c r="D332" s="89"/>
      <c r="E332" s="89"/>
      <c r="F332" s="89"/>
      <c r="G332" s="89"/>
      <c r="H332" s="89"/>
      <c r="I332" s="90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</row>
    <row r="333" hidden="1">
      <c r="A333" s="89"/>
      <c r="B333" s="89"/>
      <c r="C333" s="89"/>
      <c r="D333" s="89"/>
      <c r="E333" s="89"/>
      <c r="F333" s="89"/>
      <c r="G333" s="89"/>
      <c r="H333" s="89"/>
      <c r="I333" s="90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</row>
    <row r="334" hidden="1">
      <c r="A334" s="89"/>
      <c r="B334" s="89"/>
      <c r="C334" s="89"/>
      <c r="D334" s="89"/>
      <c r="E334" s="89"/>
      <c r="F334" s="89"/>
      <c r="G334" s="89"/>
      <c r="H334" s="89"/>
      <c r="I334" s="90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</row>
    <row r="335" hidden="1">
      <c r="A335" s="89"/>
      <c r="B335" s="89"/>
      <c r="C335" s="89"/>
      <c r="D335" s="89"/>
      <c r="E335" s="89"/>
      <c r="F335" s="89"/>
      <c r="G335" s="89"/>
      <c r="H335" s="89"/>
      <c r="I335" s="90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</row>
    <row r="336" hidden="1">
      <c r="A336" s="89"/>
      <c r="B336" s="89"/>
      <c r="C336" s="89"/>
      <c r="D336" s="89"/>
      <c r="E336" s="89"/>
      <c r="F336" s="89"/>
      <c r="G336" s="89"/>
      <c r="H336" s="89"/>
      <c r="I336" s="90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</row>
    <row r="337" hidden="1">
      <c r="A337" s="89"/>
      <c r="B337" s="89"/>
      <c r="C337" s="89"/>
      <c r="D337" s="89"/>
      <c r="E337" s="89"/>
      <c r="F337" s="89"/>
      <c r="G337" s="89"/>
      <c r="H337" s="89"/>
      <c r="I337" s="90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</row>
    <row r="338" hidden="1">
      <c r="A338" s="89"/>
      <c r="B338" s="89"/>
      <c r="C338" s="89"/>
      <c r="D338" s="89"/>
      <c r="E338" s="89"/>
      <c r="F338" s="89"/>
      <c r="G338" s="89"/>
      <c r="H338" s="89"/>
      <c r="I338" s="90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</row>
    <row r="339" hidden="1">
      <c r="A339" s="89"/>
      <c r="B339" s="89"/>
      <c r="C339" s="89"/>
      <c r="D339" s="89"/>
      <c r="E339" s="89"/>
      <c r="F339" s="89"/>
      <c r="G339" s="89"/>
      <c r="H339" s="89"/>
      <c r="I339" s="90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</row>
    <row r="340" hidden="1">
      <c r="A340" s="89"/>
      <c r="B340" s="89"/>
      <c r="C340" s="89"/>
      <c r="D340" s="89"/>
      <c r="E340" s="89"/>
      <c r="F340" s="89"/>
      <c r="G340" s="89"/>
      <c r="H340" s="89"/>
      <c r="I340" s="90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</row>
    <row r="341" hidden="1">
      <c r="A341" s="89"/>
      <c r="B341" s="89"/>
      <c r="C341" s="89"/>
      <c r="D341" s="89"/>
      <c r="E341" s="89"/>
      <c r="F341" s="89"/>
      <c r="G341" s="89"/>
      <c r="H341" s="89"/>
      <c r="I341" s="90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</row>
    <row r="342" hidden="1">
      <c r="A342" s="89"/>
      <c r="B342" s="89"/>
      <c r="C342" s="89"/>
      <c r="D342" s="89"/>
      <c r="E342" s="89"/>
      <c r="F342" s="89"/>
      <c r="G342" s="89"/>
      <c r="H342" s="89"/>
      <c r="I342" s="90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</row>
    <row r="343" hidden="1">
      <c r="A343" s="89"/>
      <c r="B343" s="89"/>
      <c r="C343" s="89"/>
      <c r="D343" s="89"/>
      <c r="E343" s="89"/>
      <c r="F343" s="89"/>
      <c r="G343" s="89"/>
      <c r="H343" s="89"/>
      <c r="I343" s="90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</row>
    <row r="344" hidden="1">
      <c r="A344" s="89"/>
      <c r="B344" s="89"/>
      <c r="C344" s="89"/>
      <c r="D344" s="89"/>
      <c r="E344" s="89"/>
      <c r="F344" s="89"/>
      <c r="G344" s="89"/>
      <c r="H344" s="89"/>
      <c r="I344" s="90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</row>
    <row r="345" hidden="1">
      <c r="A345" s="89"/>
      <c r="B345" s="89"/>
      <c r="C345" s="89"/>
      <c r="D345" s="89"/>
      <c r="E345" s="89"/>
      <c r="F345" s="89"/>
      <c r="G345" s="89"/>
      <c r="H345" s="89"/>
      <c r="I345" s="90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</row>
    <row r="346" hidden="1">
      <c r="A346" s="89"/>
      <c r="B346" s="89"/>
      <c r="C346" s="89"/>
      <c r="D346" s="89"/>
      <c r="E346" s="89"/>
      <c r="F346" s="89"/>
      <c r="G346" s="89"/>
      <c r="H346" s="89"/>
      <c r="I346" s="90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</row>
    <row r="347" hidden="1">
      <c r="A347" s="89"/>
      <c r="B347" s="89"/>
      <c r="C347" s="89"/>
      <c r="D347" s="89"/>
      <c r="E347" s="89"/>
      <c r="F347" s="89"/>
      <c r="G347" s="89"/>
      <c r="H347" s="89"/>
      <c r="I347" s="90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</row>
    <row r="348" hidden="1">
      <c r="A348" s="89"/>
      <c r="B348" s="89"/>
      <c r="C348" s="89"/>
      <c r="D348" s="89"/>
      <c r="E348" s="89"/>
      <c r="F348" s="89"/>
      <c r="G348" s="89"/>
      <c r="H348" s="89"/>
      <c r="I348" s="90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</row>
    <row r="349" hidden="1">
      <c r="A349" s="89"/>
      <c r="B349" s="89"/>
      <c r="C349" s="89"/>
      <c r="D349" s="89"/>
      <c r="E349" s="89"/>
      <c r="F349" s="89"/>
      <c r="G349" s="89"/>
      <c r="H349" s="89"/>
      <c r="I349" s="90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</row>
    <row r="350" hidden="1">
      <c r="A350" s="89"/>
      <c r="B350" s="89"/>
      <c r="C350" s="89"/>
      <c r="D350" s="89"/>
      <c r="E350" s="89"/>
      <c r="F350" s="89"/>
      <c r="G350" s="89"/>
      <c r="H350" s="89"/>
      <c r="I350" s="90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</row>
    <row r="351" hidden="1">
      <c r="A351" s="89"/>
      <c r="B351" s="89"/>
      <c r="C351" s="89"/>
      <c r="D351" s="89"/>
      <c r="E351" s="89"/>
      <c r="F351" s="89"/>
      <c r="G351" s="89"/>
      <c r="H351" s="89"/>
      <c r="I351" s="90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</row>
    <row r="352" hidden="1">
      <c r="A352" s="89"/>
      <c r="B352" s="89"/>
      <c r="C352" s="89"/>
      <c r="D352" s="89"/>
      <c r="E352" s="89"/>
      <c r="F352" s="89"/>
      <c r="G352" s="89"/>
      <c r="H352" s="89"/>
      <c r="I352" s="90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</row>
    <row r="353" hidden="1">
      <c r="A353" s="89"/>
      <c r="B353" s="89"/>
      <c r="C353" s="89"/>
      <c r="D353" s="89"/>
      <c r="E353" s="89"/>
      <c r="F353" s="89"/>
      <c r="G353" s="89"/>
      <c r="H353" s="89"/>
      <c r="I353" s="90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</row>
    <row r="354" hidden="1">
      <c r="A354" s="89"/>
      <c r="B354" s="89"/>
      <c r="C354" s="89"/>
      <c r="D354" s="89"/>
      <c r="E354" s="89"/>
      <c r="F354" s="89"/>
      <c r="G354" s="89"/>
      <c r="H354" s="89"/>
      <c r="I354" s="90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</row>
    <row r="355" hidden="1">
      <c r="A355" s="89"/>
      <c r="B355" s="89"/>
      <c r="C355" s="89"/>
      <c r="D355" s="89"/>
      <c r="E355" s="89"/>
      <c r="F355" s="89"/>
      <c r="G355" s="89"/>
      <c r="H355" s="89"/>
      <c r="I355" s="90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</row>
    <row r="356" hidden="1">
      <c r="A356" s="89"/>
      <c r="B356" s="89"/>
      <c r="C356" s="89"/>
      <c r="D356" s="89"/>
      <c r="E356" s="89"/>
      <c r="F356" s="89"/>
      <c r="G356" s="89"/>
      <c r="H356" s="89"/>
      <c r="I356" s="90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</row>
    <row r="357" hidden="1">
      <c r="A357" s="89"/>
      <c r="B357" s="89"/>
      <c r="C357" s="89"/>
      <c r="D357" s="89"/>
      <c r="E357" s="89"/>
      <c r="F357" s="89"/>
      <c r="G357" s="89"/>
      <c r="H357" s="89"/>
      <c r="I357" s="90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</row>
    <row r="358" hidden="1">
      <c r="A358" s="89"/>
      <c r="B358" s="89"/>
      <c r="C358" s="89"/>
      <c r="D358" s="89"/>
      <c r="E358" s="89"/>
      <c r="F358" s="89"/>
      <c r="G358" s="89"/>
      <c r="H358" s="89"/>
      <c r="I358" s="90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</row>
    <row r="359" hidden="1">
      <c r="A359" s="89"/>
      <c r="B359" s="89"/>
      <c r="C359" s="89"/>
      <c r="D359" s="89"/>
      <c r="E359" s="89"/>
      <c r="F359" s="89"/>
      <c r="G359" s="89"/>
      <c r="H359" s="89"/>
      <c r="I359" s="90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</row>
    <row r="360" hidden="1">
      <c r="A360" s="89"/>
      <c r="B360" s="89"/>
      <c r="C360" s="89"/>
      <c r="D360" s="89"/>
      <c r="E360" s="89"/>
      <c r="F360" s="89"/>
      <c r="G360" s="89"/>
      <c r="H360" s="89"/>
      <c r="I360" s="90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</row>
    <row r="361" hidden="1">
      <c r="A361" s="89"/>
      <c r="B361" s="89"/>
      <c r="C361" s="89"/>
      <c r="D361" s="89"/>
      <c r="E361" s="89"/>
      <c r="F361" s="89"/>
      <c r="G361" s="89"/>
      <c r="H361" s="89"/>
      <c r="I361" s="90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</row>
    <row r="362" hidden="1">
      <c r="A362" s="89"/>
      <c r="B362" s="89"/>
      <c r="C362" s="89"/>
      <c r="D362" s="89"/>
      <c r="E362" s="89"/>
      <c r="F362" s="89"/>
      <c r="G362" s="89"/>
      <c r="H362" s="89"/>
      <c r="I362" s="90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</row>
    <row r="363" hidden="1">
      <c r="A363" s="89"/>
      <c r="B363" s="89"/>
      <c r="C363" s="89"/>
      <c r="D363" s="89"/>
      <c r="E363" s="89"/>
      <c r="F363" s="89"/>
      <c r="G363" s="89"/>
      <c r="H363" s="89"/>
      <c r="I363" s="90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</row>
    <row r="364" hidden="1">
      <c r="A364" s="89"/>
      <c r="B364" s="89"/>
      <c r="C364" s="89"/>
      <c r="D364" s="89"/>
      <c r="E364" s="89"/>
      <c r="F364" s="89"/>
      <c r="G364" s="89"/>
      <c r="H364" s="89"/>
      <c r="I364" s="90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</row>
    <row r="365" hidden="1">
      <c r="A365" s="89"/>
      <c r="B365" s="89"/>
      <c r="C365" s="89"/>
      <c r="D365" s="89"/>
      <c r="E365" s="89"/>
      <c r="F365" s="89"/>
      <c r="G365" s="89"/>
      <c r="H365" s="89"/>
      <c r="I365" s="90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</row>
    <row r="366" hidden="1">
      <c r="A366" s="89"/>
      <c r="B366" s="89"/>
      <c r="C366" s="89"/>
      <c r="D366" s="89"/>
      <c r="E366" s="89"/>
      <c r="F366" s="89"/>
      <c r="G366" s="89"/>
      <c r="H366" s="89"/>
      <c r="I366" s="90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</row>
    <row r="367" hidden="1">
      <c r="A367" s="89"/>
      <c r="B367" s="89"/>
      <c r="C367" s="89"/>
      <c r="D367" s="89"/>
      <c r="E367" s="89"/>
      <c r="F367" s="89"/>
      <c r="G367" s="89"/>
      <c r="H367" s="89"/>
      <c r="I367" s="90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</row>
    <row r="368" hidden="1">
      <c r="A368" s="89"/>
      <c r="B368" s="89"/>
      <c r="C368" s="89"/>
      <c r="D368" s="89"/>
      <c r="E368" s="89"/>
      <c r="F368" s="89"/>
      <c r="G368" s="89"/>
      <c r="H368" s="89"/>
      <c r="I368" s="90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</row>
    <row r="369" hidden="1">
      <c r="A369" s="89"/>
      <c r="B369" s="89"/>
      <c r="C369" s="89"/>
      <c r="D369" s="89"/>
      <c r="E369" s="89"/>
      <c r="F369" s="89"/>
      <c r="G369" s="89"/>
      <c r="H369" s="89"/>
      <c r="I369" s="90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</row>
    <row r="370" hidden="1">
      <c r="A370" s="89"/>
      <c r="B370" s="89"/>
      <c r="C370" s="89"/>
      <c r="D370" s="89"/>
      <c r="E370" s="89"/>
      <c r="F370" s="89"/>
      <c r="G370" s="89"/>
      <c r="H370" s="89"/>
      <c r="I370" s="90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</row>
    <row r="371" hidden="1">
      <c r="A371" s="89"/>
      <c r="B371" s="89"/>
      <c r="C371" s="89"/>
      <c r="D371" s="89"/>
      <c r="E371" s="89"/>
      <c r="F371" s="89"/>
      <c r="G371" s="89"/>
      <c r="H371" s="89"/>
      <c r="I371" s="90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</row>
    <row r="372" hidden="1">
      <c r="A372" s="89"/>
      <c r="B372" s="89"/>
      <c r="C372" s="89"/>
      <c r="D372" s="89"/>
      <c r="E372" s="89"/>
      <c r="F372" s="89"/>
      <c r="G372" s="89"/>
      <c r="H372" s="89"/>
      <c r="I372" s="90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</row>
    <row r="373" hidden="1">
      <c r="A373" s="89"/>
      <c r="B373" s="89"/>
      <c r="C373" s="89"/>
      <c r="D373" s="89"/>
      <c r="E373" s="89"/>
      <c r="F373" s="89"/>
      <c r="G373" s="89"/>
      <c r="H373" s="89"/>
      <c r="I373" s="90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</row>
    <row r="374" hidden="1">
      <c r="A374" s="89"/>
      <c r="B374" s="89"/>
      <c r="C374" s="89"/>
      <c r="D374" s="89"/>
      <c r="E374" s="89"/>
      <c r="F374" s="89"/>
      <c r="G374" s="89"/>
      <c r="H374" s="89"/>
      <c r="I374" s="90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</row>
    <row r="375" hidden="1">
      <c r="A375" s="89"/>
      <c r="B375" s="89"/>
      <c r="C375" s="89"/>
      <c r="D375" s="89"/>
      <c r="E375" s="89"/>
      <c r="F375" s="89"/>
      <c r="G375" s="89"/>
      <c r="H375" s="89"/>
      <c r="I375" s="90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</row>
    <row r="376" hidden="1">
      <c r="A376" s="89"/>
      <c r="B376" s="89"/>
      <c r="C376" s="89"/>
      <c r="D376" s="89"/>
      <c r="E376" s="89"/>
      <c r="F376" s="89"/>
      <c r="G376" s="89"/>
      <c r="H376" s="89"/>
      <c r="I376" s="90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</row>
    <row r="377" hidden="1">
      <c r="A377" s="89"/>
      <c r="B377" s="89"/>
      <c r="C377" s="89"/>
      <c r="D377" s="89"/>
      <c r="E377" s="89"/>
      <c r="F377" s="89"/>
      <c r="G377" s="89"/>
      <c r="H377" s="89"/>
      <c r="I377" s="90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</row>
    <row r="378" hidden="1">
      <c r="A378" s="89"/>
      <c r="B378" s="89"/>
      <c r="C378" s="89"/>
      <c r="D378" s="89"/>
      <c r="E378" s="89"/>
      <c r="F378" s="89"/>
      <c r="G378" s="89"/>
      <c r="H378" s="89"/>
      <c r="I378" s="90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</row>
    <row r="379" hidden="1">
      <c r="A379" s="89"/>
      <c r="B379" s="89"/>
      <c r="C379" s="89"/>
      <c r="D379" s="89"/>
      <c r="E379" s="89"/>
      <c r="F379" s="89"/>
      <c r="G379" s="89"/>
      <c r="H379" s="89"/>
      <c r="I379" s="90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</row>
    <row r="380" hidden="1">
      <c r="A380" s="89"/>
      <c r="B380" s="89"/>
      <c r="C380" s="89"/>
      <c r="D380" s="89"/>
      <c r="E380" s="89"/>
      <c r="F380" s="89"/>
      <c r="G380" s="89"/>
      <c r="H380" s="89"/>
      <c r="I380" s="90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</row>
    <row r="381" hidden="1">
      <c r="A381" s="89"/>
      <c r="B381" s="89"/>
      <c r="C381" s="89"/>
      <c r="D381" s="89"/>
      <c r="E381" s="89"/>
      <c r="F381" s="89"/>
      <c r="G381" s="89"/>
      <c r="H381" s="89"/>
      <c r="I381" s="90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</row>
    <row r="382" hidden="1">
      <c r="A382" s="89"/>
      <c r="B382" s="89"/>
      <c r="C382" s="89"/>
      <c r="D382" s="89"/>
      <c r="E382" s="89"/>
      <c r="F382" s="89"/>
      <c r="G382" s="89"/>
      <c r="H382" s="89"/>
      <c r="I382" s="90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</row>
    <row r="383" hidden="1">
      <c r="A383" s="89"/>
      <c r="B383" s="89"/>
      <c r="C383" s="89"/>
      <c r="D383" s="89"/>
      <c r="E383" s="89"/>
      <c r="F383" s="89"/>
      <c r="G383" s="89"/>
      <c r="H383" s="89"/>
      <c r="I383" s="90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</row>
    <row r="384" hidden="1">
      <c r="A384" s="89"/>
      <c r="B384" s="89"/>
      <c r="C384" s="89"/>
      <c r="D384" s="89"/>
      <c r="E384" s="89"/>
      <c r="F384" s="89"/>
      <c r="G384" s="89"/>
      <c r="H384" s="89"/>
      <c r="I384" s="90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</row>
    <row r="385" hidden="1">
      <c r="A385" s="89"/>
      <c r="B385" s="89"/>
      <c r="C385" s="89"/>
      <c r="D385" s="89"/>
      <c r="E385" s="89"/>
      <c r="F385" s="89"/>
      <c r="G385" s="89"/>
      <c r="H385" s="89"/>
      <c r="I385" s="90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</row>
    <row r="386" hidden="1">
      <c r="A386" s="89"/>
      <c r="B386" s="89"/>
      <c r="C386" s="89"/>
      <c r="D386" s="89"/>
      <c r="E386" s="89"/>
      <c r="F386" s="89"/>
      <c r="G386" s="89"/>
      <c r="H386" s="89"/>
      <c r="I386" s="90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</row>
    <row r="387" hidden="1">
      <c r="A387" s="89"/>
      <c r="B387" s="89"/>
      <c r="C387" s="89"/>
      <c r="D387" s="89"/>
      <c r="E387" s="89"/>
      <c r="F387" s="89"/>
      <c r="G387" s="89"/>
      <c r="H387" s="89"/>
      <c r="I387" s="90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</row>
    <row r="388" hidden="1">
      <c r="A388" s="89"/>
      <c r="B388" s="89"/>
      <c r="C388" s="89"/>
      <c r="D388" s="89"/>
      <c r="E388" s="89"/>
      <c r="F388" s="89"/>
      <c r="G388" s="89"/>
      <c r="H388" s="89"/>
      <c r="I388" s="90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</row>
    <row r="389" hidden="1">
      <c r="A389" s="89"/>
      <c r="B389" s="89"/>
      <c r="C389" s="89"/>
      <c r="D389" s="89"/>
      <c r="E389" s="89"/>
      <c r="F389" s="89"/>
      <c r="G389" s="89"/>
      <c r="H389" s="89"/>
      <c r="I389" s="90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</row>
    <row r="390" hidden="1">
      <c r="A390" s="89"/>
      <c r="B390" s="89"/>
      <c r="C390" s="89"/>
      <c r="D390" s="89"/>
      <c r="E390" s="89"/>
      <c r="F390" s="89"/>
      <c r="G390" s="89"/>
      <c r="H390" s="89"/>
      <c r="I390" s="90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</row>
    <row r="391" hidden="1">
      <c r="A391" s="89"/>
      <c r="B391" s="89"/>
      <c r="C391" s="89"/>
      <c r="D391" s="89"/>
      <c r="E391" s="89"/>
      <c r="F391" s="89"/>
      <c r="G391" s="89"/>
      <c r="H391" s="89"/>
      <c r="I391" s="90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</row>
    <row r="392" hidden="1">
      <c r="A392" s="89"/>
      <c r="B392" s="89"/>
      <c r="C392" s="89"/>
      <c r="D392" s="89"/>
      <c r="E392" s="89"/>
      <c r="F392" s="89"/>
      <c r="G392" s="89"/>
      <c r="H392" s="89"/>
      <c r="I392" s="90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</row>
    <row r="393" hidden="1">
      <c r="A393" s="89"/>
      <c r="B393" s="89"/>
      <c r="C393" s="89"/>
      <c r="D393" s="89"/>
      <c r="E393" s="89"/>
      <c r="F393" s="89"/>
      <c r="G393" s="89"/>
      <c r="H393" s="89"/>
      <c r="I393" s="90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</row>
    <row r="394" hidden="1">
      <c r="A394" s="89"/>
      <c r="B394" s="89"/>
      <c r="C394" s="89"/>
      <c r="D394" s="89"/>
      <c r="E394" s="89"/>
      <c r="F394" s="89"/>
      <c r="G394" s="89"/>
      <c r="H394" s="89"/>
      <c r="I394" s="90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</row>
    <row r="395" hidden="1">
      <c r="A395" s="89"/>
      <c r="B395" s="89"/>
      <c r="C395" s="89"/>
      <c r="D395" s="89"/>
      <c r="E395" s="89"/>
      <c r="F395" s="89"/>
      <c r="G395" s="89"/>
      <c r="H395" s="89"/>
      <c r="I395" s="90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</row>
    <row r="396" hidden="1">
      <c r="A396" s="89"/>
      <c r="B396" s="89"/>
      <c r="C396" s="89"/>
      <c r="D396" s="89"/>
      <c r="E396" s="89"/>
      <c r="F396" s="89"/>
      <c r="G396" s="89"/>
      <c r="H396" s="89"/>
      <c r="I396" s="90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</row>
    <row r="397" hidden="1">
      <c r="A397" s="89"/>
      <c r="B397" s="89"/>
      <c r="C397" s="89"/>
      <c r="D397" s="89"/>
      <c r="E397" s="89"/>
      <c r="F397" s="89"/>
      <c r="G397" s="89"/>
      <c r="H397" s="89"/>
      <c r="I397" s="90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</row>
    <row r="398" hidden="1">
      <c r="A398" s="89"/>
      <c r="B398" s="89"/>
      <c r="C398" s="89"/>
      <c r="D398" s="89"/>
      <c r="E398" s="89"/>
      <c r="F398" s="89"/>
      <c r="G398" s="89"/>
      <c r="H398" s="89"/>
      <c r="I398" s="90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</row>
    <row r="399" hidden="1">
      <c r="A399" s="89"/>
      <c r="B399" s="89"/>
      <c r="C399" s="89"/>
      <c r="D399" s="89"/>
      <c r="E399" s="89"/>
      <c r="F399" s="89"/>
      <c r="G399" s="89"/>
      <c r="H399" s="89"/>
      <c r="I399" s="90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</row>
    <row r="400" hidden="1">
      <c r="A400" s="89"/>
      <c r="B400" s="89"/>
      <c r="C400" s="89"/>
      <c r="D400" s="89"/>
      <c r="E400" s="89"/>
      <c r="F400" s="89"/>
      <c r="G400" s="89"/>
      <c r="H400" s="89"/>
      <c r="I400" s="90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</row>
    <row r="401" hidden="1">
      <c r="A401" s="89"/>
      <c r="B401" s="89"/>
      <c r="C401" s="89"/>
      <c r="D401" s="89"/>
      <c r="E401" s="89"/>
      <c r="F401" s="89"/>
      <c r="G401" s="89"/>
      <c r="H401" s="89"/>
      <c r="I401" s="90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</row>
    <row r="402" hidden="1">
      <c r="A402" s="89"/>
      <c r="B402" s="89"/>
      <c r="C402" s="89"/>
      <c r="D402" s="89"/>
      <c r="E402" s="89"/>
      <c r="F402" s="89"/>
      <c r="G402" s="89"/>
      <c r="H402" s="89"/>
      <c r="I402" s="90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</row>
    <row r="403" hidden="1">
      <c r="A403" s="89"/>
      <c r="B403" s="89"/>
      <c r="C403" s="89"/>
      <c r="D403" s="89"/>
      <c r="E403" s="89"/>
      <c r="F403" s="89"/>
      <c r="G403" s="89"/>
      <c r="H403" s="89"/>
      <c r="I403" s="90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</row>
    <row r="404" hidden="1">
      <c r="A404" s="89"/>
      <c r="B404" s="89"/>
      <c r="C404" s="89"/>
      <c r="D404" s="89"/>
      <c r="E404" s="89"/>
      <c r="F404" s="89"/>
      <c r="G404" s="89"/>
      <c r="H404" s="89"/>
      <c r="I404" s="90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</row>
    <row r="405" hidden="1">
      <c r="A405" s="89"/>
      <c r="B405" s="89"/>
      <c r="C405" s="89"/>
      <c r="D405" s="89"/>
      <c r="E405" s="89"/>
      <c r="F405" s="89"/>
      <c r="G405" s="89"/>
      <c r="H405" s="89"/>
      <c r="I405" s="90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</row>
    <row r="406" hidden="1">
      <c r="A406" s="89"/>
      <c r="B406" s="89"/>
      <c r="C406" s="89"/>
      <c r="D406" s="89"/>
      <c r="E406" s="89"/>
      <c r="F406" s="89"/>
      <c r="G406" s="89"/>
      <c r="H406" s="89"/>
      <c r="I406" s="90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</row>
    <row r="407" hidden="1">
      <c r="A407" s="89"/>
      <c r="B407" s="89"/>
      <c r="C407" s="89"/>
      <c r="D407" s="89"/>
      <c r="E407" s="89"/>
      <c r="F407" s="89"/>
      <c r="G407" s="89"/>
      <c r="H407" s="89"/>
      <c r="I407" s="90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</row>
    <row r="408" hidden="1">
      <c r="A408" s="89"/>
      <c r="B408" s="89"/>
      <c r="C408" s="89"/>
      <c r="D408" s="89"/>
      <c r="E408" s="89"/>
      <c r="F408" s="89"/>
      <c r="G408" s="89"/>
      <c r="H408" s="89"/>
      <c r="I408" s="90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</row>
    <row r="409" hidden="1">
      <c r="A409" s="89"/>
      <c r="B409" s="89"/>
      <c r="C409" s="89"/>
      <c r="D409" s="89"/>
      <c r="E409" s="89"/>
      <c r="F409" s="89"/>
      <c r="G409" s="89"/>
      <c r="H409" s="89"/>
      <c r="I409" s="90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</row>
    <row r="410" hidden="1">
      <c r="A410" s="89"/>
      <c r="B410" s="89"/>
      <c r="C410" s="89"/>
      <c r="D410" s="89"/>
      <c r="E410" s="89"/>
      <c r="F410" s="89"/>
      <c r="G410" s="89"/>
      <c r="H410" s="89"/>
      <c r="I410" s="90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</row>
    <row r="411" hidden="1">
      <c r="A411" s="89"/>
      <c r="B411" s="89"/>
      <c r="C411" s="89"/>
      <c r="D411" s="89"/>
      <c r="E411" s="89"/>
      <c r="F411" s="89"/>
      <c r="G411" s="89"/>
      <c r="H411" s="89"/>
      <c r="I411" s="90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</row>
    <row r="412" hidden="1">
      <c r="A412" s="89"/>
      <c r="B412" s="89"/>
      <c r="C412" s="89"/>
      <c r="D412" s="89"/>
      <c r="E412" s="89"/>
      <c r="F412" s="89"/>
      <c r="G412" s="89"/>
      <c r="H412" s="89"/>
      <c r="I412" s="90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</row>
    <row r="413" hidden="1">
      <c r="A413" s="89"/>
      <c r="B413" s="89"/>
      <c r="C413" s="89"/>
      <c r="D413" s="89"/>
      <c r="E413" s="89"/>
      <c r="F413" s="89"/>
      <c r="G413" s="89"/>
      <c r="H413" s="89"/>
      <c r="I413" s="90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</row>
    <row r="414" hidden="1">
      <c r="A414" s="89"/>
      <c r="B414" s="89"/>
      <c r="C414" s="89"/>
      <c r="D414" s="89"/>
      <c r="E414" s="89"/>
      <c r="F414" s="89"/>
      <c r="G414" s="89"/>
      <c r="H414" s="89"/>
      <c r="I414" s="90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</row>
    <row r="415" hidden="1">
      <c r="A415" s="89"/>
      <c r="B415" s="89"/>
      <c r="C415" s="89"/>
      <c r="D415" s="89"/>
      <c r="E415" s="89"/>
      <c r="F415" s="89"/>
      <c r="G415" s="89"/>
      <c r="H415" s="89"/>
      <c r="I415" s="90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</row>
    <row r="416" hidden="1">
      <c r="A416" s="89"/>
      <c r="B416" s="89"/>
      <c r="C416" s="89"/>
      <c r="D416" s="89"/>
      <c r="E416" s="89"/>
      <c r="F416" s="89"/>
      <c r="G416" s="89"/>
      <c r="H416" s="89"/>
      <c r="I416" s="90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</row>
    <row r="417" hidden="1">
      <c r="A417" s="89"/>
      <c r="B417" s="89"/>
      <c r="C417" s="89"/>
      <c r="D417" s="89"/>
      <c r="E417" s="89"/>
      <c r="F417" s="89"/>
      <c r="G417" s="89"/>
      <c r="H417" s="89"/>
      <c r="I417" s="90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</row>
    <row r="418" hidden="1">
      <c r="A418" s="89"/>
      <c r="B418" s="89"/>
      <c r="C418" s="89"/>
      <c r="D418" s="89"/>
      <c r="E418" s="89"/>
      <c r="F418" s="89"/>
      <c r="G418" s="89"/>
      <c r="H418" s="89"/>
      <c r="I418" s="90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</row>
    <row r="419" hidden="1">
      <c r="A419" s="89"/>
      <c r="B419" s="89"/>
      <c r="C419" s="89"/>
      <c r="D419" s="89"/>
      <c r="E419" s="89"/>
      <c r="F419" s="89"/>
      <c r="G419" s="89"/>
      <c r="H419" s="89"/>
      <c r="I419" s="90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</row>
    <row r="420" hidden="1">
      <c r="A420" s="89"/>
      <c r="B420" s="89"/>
      <c r="C420" s="89"/>
      <c r="D420" s="89"/>
      <c r="E420" s="89"/>
      <c r="F420" s="89"/>
      <c r="G420" s="89"/>
      <c r="H420" s="89"/>
      <c r="I420" s="90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</row>
    <row r="421" hidden="1">
      <c r="A421" s="89"/>
      <c r="B421" s="89"/>
      <c r="C421" s="89"/>
      <c r="D421" s="89"/>
      <c r="E421" s="89"/>
      <c r="F421" s="89"/>
      <c r="G421" s="89"/>
      <c r="H421" s="89"/>
      <c r="I421" s="90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</row>
    <row r="422" hidden="1">
      <c r="A422" s="89"/>
      <c r="B422" s="89"/>
      <c r="C422" s="89"/>
      <c r="D422" s="89"/>
      <c r="E422" s="89"/>
      <c r="F422" s="89"/>
      <c r="G422" s="89"/>
      <c r="H422" s="89"/>
      <c r="I422" s="90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</row>
    <row r="423" hidden="1">
      <c r="A423" s="89"/>
      <c r="B423" s="89"/>
      <c r="C423" s="89"/>
      <c r="D423" s="89"/>
      <c r="E423" s="89"/>
      <c r="F423" s="89"/>
      <c r="G423" s="89"/>
      <c r="H423" s="89"/>
      <c r="I423" s="90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</row>
    <row r="424" hidden="1">
      <c r="A424" s="89"/>
      <c r="B424" s="89"/>
      <c r="C424" s="89"/>
      <c r="D424" s="89"/>
      <c r="E424" s="89"/>
      <c r="F424" s="89"/>
      <c r="G424" s="89"/>
      <c r="H424" s="89"/>
      <c r="I424" s="90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</row>
    <row r="425" hidden="1">
      <c r="A425" s="89"/>
      <c r="B425" s="89"/>
      <c r="C425" s="89"/>
      <c r="D425" s="89"/>
      <c r="E425" s="89"/>
      <c r="F425" s="89"/>
      <c r="G425" s="89"/>
      <c r="H425" s="89"/>
      <c r="I425" s="90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</row>
    <row r="426" hidden="1">
      <c r="A426" s="89"/>
      <c r="B426" s="89"/>
      <c r="C426" s="89"/>
      <c r="D426" s="89"/>
      <c r="E426" s="89"/>
      <c r="F426" s="89"/>
      <c r="G426" s="89"/>
      <c r="H426" s="89"/>
      <c r="I426" s="90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</row>
    <row r="427" hidden="1">
      <c r="A427" s="89"/>
      <c r="B427" s="89"/>
      <c r="C427" s="89"/>
      <c r="D427" s="89"/>
      <c r="E427" s="89"/>
      <c r="F427" s="89"/>
      <c r="G427" s="89"/>
      <c r="H427" s="89"/>
      <c r="I427" s="90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</row>
    <row r="428" hidden="1">
      <c r="A428" s="89"/>
      <c r="B428" s="89"/>
      <c r="C428" s="89"/>
      <c r="D428" s="89"/>
      <c r="E428" s="89"/>
      <c r="F428" s="89"/>
      <c r="G428" s="89"/>
      <c r="H428" s="89"/>
      <c r="I428" s="90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</row>
    <row r="429" hidden="1">
      <c r="A429" s="89"/>
      <c r="B429" s="89"/>
      <c r="C429" s="89"/>
      <c r="D429" s="89"/>
      <c r="E429" s="89"/>
      <c r="F429" s="89"/>
      <c r="G429" s="89"/>
      <c r="H429" s="89"/>
      <c r="I429" s="90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</row>
    <row r="430" hidden="1">
      <c r="A430" s="89"/>
      <c r="B430" s="89"/>
      <c r="C430" s="89"/>
      <c r="D430" s="89"/>
      <c r="E430" s="89"/>
      <c r="F430" s="89"/>
      <c r="G430" s="89"/>
      <c r="H430" s="89"/>
      <c r="I430" s="90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</row>
    <row r="431" hidden="1">
      <c r="A431" s="89"/>
      <c r="B431" s="89"/>
      <c r="C431" s="89"/>
      <c r="D431" s="89"/>
      <c r="E431" s="89"/>
      <c r="F431" s="89"/>
      <c r="G431" s="89"/>
      <c r="H431" s="89"/>
      <c r="I431" s="90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</row>
    <row r="432" hidden="1">
      <c r="A432" s="89"/>
      <c r="B432" s="89"/>
      <c r="C432" s="89"/>
      <c r="D432" s="89"/>
      <c r="E432" s="89"/>
      <c r="F432" s="89"/>
      <c r="G432" s="89"/>
      <c r="H432" s="89"/>
      <c r="I432" s="90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</row>
    <row r="433" hidden="1">
      <c r="A433" s="89"/>
      <c r="B433" s="89"/>
      <c r="C433" s="89"/>
      <c r="D433" s="89"/>
      <c r="E433" s="89"/>
      <c r="F433" s="89"/>
      <c r="G433" s="89"/>
      <c r="H433" s="89"/>
      <c r="I433" s="90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</row>
    <row r="434" hidden="1">
      <c r="A434" s="89"/>
      <c r="B434" s="89"/>
      <c r="C434" s="89"/>
      <c r="D434" s="89"/>
      <c r="E434" s="89"/>
      <c r="F434" s="89"/>
      <c r="G434" s="89"/>
      <c r="H434" s="89"/>
      <c r="I434" s="90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</row>
    <row r="435" hidden="1">
      <c r="A435" s="89"/>
      <c r="B435" s="89"/>
      <c r="C435" s="89"/>
      <c r="D435" s="89"/>
      <c r="E435" s="89"/>
      <c r="F435" s="89"/>
      <c r="G435" s="89"/>
      <c r="H435" s="89"/>
      <c r="I435" s="90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</row>
    <row r="436" hidden="1">
      <c r="A436" s="89"/>
      <c r="B436" s="89"/>
      <c r="C436" s="89"/>
      <c r="D436" s="89"/>
      <c r="E436" s="89"/>
      <c r="F436" s="89"/>
      <c r="G436" s="89"/>
      <c r="H436" s="89"/>
      <c r="I436" s="90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</row>
    <row r="437" hidden="1">
      <c r="A437" s="89"/>
      <c r="B437" s="89"/>
      <c r="C437" s="89"/>
      <c r="D437" s="89"/>
      <c r="E437" s="89"/>
      <c r="F437" s="89"/>
      <c r="G437" s="89"/>
      <c r="H437" s="89"/>
      <c r="I437" s="90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</row>
    <row r="438" hidden="1">
      <c r="A438" s="89"/>
      <c r="B438" s="89"/>
      <c r="C438" s="89"/>
      <c r="D438" s="89"/>
      <c r="E438" s="89"/>
      <c r="F438" s="89"/>
      <c r="G438" s="89"/>
      <c r="H438" s="89"/>
      <c r="I438" s="90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</row>
    <row r="439" hidden="1">
      <c r="A439" s="89"/>
      <c r="B439" s="89"/>
      <c r="C439" s="89"/>
      <c r="D439" s="89"/>
      <c r="E439" s="89"/>
      <c r="F439" s="89"/>
      <c r="G439" s="89"/>
      <c r="H439" s="89"/>
      <c r="I439" s="90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</row>
    <row r="440" hidden="1">
      <c r="A440" s="89"/>
      <c r="B440" s="89"/>
      <c r="C440" s="89"/>
      <c r="D440" s="89"/>
      <c r="E440" s="89"/>
      <c r="F440" s="89"/>
      <c r="G440" s="89"/>
      <c r="H440" s="89"/>
      <c r="I440" s="90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</row>
    <row r="441" hidden="1">
      <c r="A441" s="89"/>
      <c r="B441" s="89"/>
      <c r="C441" s="89"/>
      <c r="D441" s="89"/>
      <c r="E441" s="89"/>
      <c r="F441" s="89"/>
      <c r="G441" s="89"/>
      <c r="H441" s="89"/>
      <c r="I441" s="90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</row>
    <row r="442" hidden="1">
      <c r="A442" s="89"/>
      <c r="B442" s="89"/>
      <c r="C442" s="89"/>
      <c r="D442" s="89"/>
      <c r="E442" s="89"/>
      <c r="F442" s="89"/>
      <c r="G442" s="89"/>
      <c r="H442" s="89"/>
      <c r="I442" s="90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</row>
    <row r="443" hidden="1">
      <c r="A443" s="89"/>
      <c r="B443" s="89"/>
      <c r="C443" s="89"/>
      <c r="D443" s="89"/>
      <c r="E443" s="89"/>
      <c r="F443" s="89"/>
      <c r="G443" s="89"/>
      <c r="H443" s="89"/>
      <c r="I443" s="90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</row>
    <row r="444" hidden="1">
      <c r="A444" s="89"/>
      <c r="B444" s="89"/>
      <c r="C444" s="89"/>
      <c r="D444" s="89"/>
      <c r="E444" s="89"/>
      <c r="F444" s="89"/>
      <c r="G444" s="89"/>
      <c r="H444" s="89"/>
      <c r="I444" s="90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</row>
    <row r="445" hidden="1">
      <c r="A445" s="89"/>
      <c r="B445" s="89"/>
      <c r="C445" s="89"/>
      <c r="D445" s="89"/>
      <c r="E445" s="89"/>
      <c r="F445" s="89"/>
      <c r="G445" s="89"/>
      <c r="H445" s="89"/>
      <c r="I445" s="90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</row>
    <row r="446" hidden="1">
      <c r="A446" s="89"/>
      <c r="B446" s="89"/>
      <c r="C446" s="89"/>
      <c r="D446" s="89"/>
      <c r="E446" s="89"/>
      <c r="F446" s="89"/>
      <c r="G446" s="89"/>
      <c r="H446" s="89"/>
      <c r="I446" s="90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</row>
    <row r="447" hidden="1">
      <c r="A447" s="89"/>
      <c r="B447" s="89"/>
      <c r="C447" s="89"/>
      <c r="D447" s="89"/>
      <c r="E447" s="89"/>
      <c r="F447" s="89"/>
      <c r="G447" s="89"/>
      <c r="H447" s="89"/>
      <c r="I447" s="90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</row>
    <row r="448" hidden="1">
      <c r="A448" s="89"/>
      <c r="B448" s="89"/>
      <c r="C448" s="89"/>
      <c r="D448" s="89"/>
      <c r="E448" s="89"/>
      <c r="F448" s="89"/>
      <c r="G448" s="89"/>
      <c r="H448" s="89"/>
      <c r="I448" s="90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</row>
    <row r="449" hidden="1">
      <c r="A449" s="89"/>
      <c r="B449" s="89"/>
      <c r="C449" s="89"/>
      <c r="D449" s="89"/>
      <c r="E449" s="89"/>
      <c r="F449" s="89"/>
      <c r="G449" s="89"/>
      <c r="H449" s="89"/>
      <c r="I449" s="90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</row>
    <row r="450" hidden="1">
      <c r="A450" s="89"/>
      <c r="B450" s="89"/>
      <c r="C450" s="89"/>
      <c r="D450" s="89"/>
      <c r="E450" s="89"/>
      <c r="F450" s="89"/>
      <c r="G450" s="89"/>
      <c r="H450" s="89"/>
      <c r="I450" s="90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</row>
    <row r="451" hidden="1">
      <c r="A451" s="89"/>
      <c r="B451" s="89"/>
      <c r="C451" s="89"/>
      <c r="D451" s="89"/>
      <c r="E451" s="89"/>
      <c r="F451" s="89"/>
      <c r="G451" s="89"/>
      <c r="H451" s="89"/>
      <c r="I451" s="90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</row>
    <row r="452" hidden="1">
      <c r="A452" s="89"/>
      <c r="B452" s="89"/>
      <c r="C452" s="89"/>
      <c r="D452" s="89"/>
      <c r="E452" s="89"/>
      <c r="F452" s="89"/>
      <c r="G452" s="89"/>
      <c r="H452" s="89"/>
      <c r="I452" s="90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</row>
    <row r="453" hidden="1">
      <c r="A453" s="89"/>
      <c r="B453" s="89"/>
      <c r="C453" s="89"/>
      <c r="D453" s="89"/>
      <c r="E453" s="89"/>
      <c r="F453" s="89"/>
      <c r="G453" s="89"/>
      <c r="H453" s="89"/>
      <c r="I453" s="90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</row>
    <row r="454" hidden="1">
      <c r="A454" s="89"/>
      <c r="B454" s="89"/>
      <c r="C454" s="89"/>
      <c r="D454" s="89"/>
      <c r="E454" s="89"/>
      <c r="F454" s="89"/>
      <c r="G454" s="89"/>
      <c r="H454" s="89"/>
      <c r="I454" s="90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</row>
    <row r="455" hidden="1">
      <c r="A455" s="89"/>
      <c r="B455" s="89"/>
      <c r="C455" s="89"/>
      <c r="D455" s="89"/>
      <c r="E455" s="89"/>
      <c r="F455" s="89"/>
      <c r="G455" s="89"/>
      <c r="H455" s="89"/>
      <c r="I455" s="90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</row>
    <row r="456" hidden="1">
      <c r="A456" s="89"/>
      <c r="B456" s="89"/>
      <c r="C456" s="89"/>
      <c r="D456" s="89"/>
      <c r="E456" s="89"/>
      <c r="F456" s="89"/>
      <c r="G456" s="89"/>
      <c r="H456" s="89"/>
      <c r="I456" s="90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</row>
    <row r="457" hidden="1">
      <c r="A457" s="89"/>
      <c r="B457" s="89"/>
      <c r="C457" s="89"/>
      <c r="D457" s="89"/>
      <c r="E457" s="89"/>
      <c r="F457" s="89"/>
      <c r="G457" s="89"/>
      <c r="H457" s="89"/>
      <c r="I457" s="90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</row>
    <row r="458" hidden="1">
      <c r="A458" s="89"/>
      <c r="B458" s="89"/>
      <c r="C458" s="89"/>
      <c r="D458" s="89"/>
      <c r="E458" s="89"/>
      <c r="F458" s="89"/>
      <c r="G458" s="89"/>
      <c r="H458" s="89"/>
      <c r="I458" s="90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</row>
    <row r="459" hidden="1">
      <c r="A459" s="89"/>
      <c r="B459" s="89"/>
      <c r="C459" s="89"/>
      <c r="D459" s="89"/>
      <c r="E459" s="89"/>
      <c r="F459" s="89"/>
      <c r="G459" s="89"/>
      <c r="H459" s="89"/>
      <c r="I459" s="90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</row>
    <row r="460" hidden="1">
      <c r="A460" s="89"/>
      <c r="B460" s="89"/>
      <c r="C460" s="89"/>
      <c r="D460" s="89"/>
      <c r="E460" s="89"/>
      <c r="F460" s="89"/>
      <c r="G460" s="89"/>
      <c r="H460" s="89"/>
      <c r="I460" s="90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</row>
    <row r="461" hidden="1">
      <c r="A461" s="89"/>
      <c r="B461" s="89"/>
      <c r="C461" s="89"/>
      <c r="D461" s="89"/>
      <c r="E461" s="89"/>
      <c r="F461" s="89"/>
      <c r="G461" s="89"/>
      <c r="H461" s="89"/>
      <c r="I461" s="90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</row>
    <row r="462" hidden="1">
      <c r="A462" s="89"/>
      <c r="B462" s="89"/>
      <c r="C462" s="89"/>
      <c r="D462" s="89"/>
      <c r="E462" s="89"/>
      <c r="F462" s="89"/>
      <c r="G462" s="89"/>
      <c r="H462" s="89"/>
      <c r="I462" s="90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</row>
    <row r="463" hidden="1">
      <c r="A463" s="89"/>
      <c r="B463" s="89"/>
      <c r="C463" s="89"/>
      <c r="D463" s="89"/>
      <c r="E463" s="89"/>
      <c r="F463" s="89"/>
      <c r="G463" s="89"/>
      <c r="H463" s="89"/>
      <c r="I463" s="90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</row>
    <row r="464" hidden="1">
      <c r="A464" s="89"/>
      <c r="B464" s="89"/>
      <c r="C464" s="89"/>
      <c r="D464" s="89"/>
      <c r="E464" s="89"/>
      <c r="F464" s="89"/>
      <c r="G464" s="89"/>
      <c r="H464" s="89"/>
      <c r="I464" s="90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</row>
    <row r="465" hidden="1">
      <c r="A465" s="89"/>
      <c r="B465" s="89"/>
      <c r="C465" s="89"/>
      <c r="D465" s="89"/>
      <c r="E465" s="89"/>
      <c r="F465" s="89"/>
      <c r="G465" s="89"/>
      <c r="H465" s="89"/>
      <c r="I465" s="90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</row>
    <row r="466" hidden="1">
      <c r="A466" s="89"/>
      <c r="B466" s="89"/>
      <c r="C466" s="89"/>
      <c r="D466" s="89"/>
      <c r="E466" s="89"/>
      <c r="F466" s="89"/>
      <c r="G466" s="89"/>
      <c r="H466" s="89"/>
      <c r="I466" s="90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</row>
    <row r="467" hidden="1">
      <c r="A467" s="89"/>
      <c r="B467" s="89"/>
      <c r="C467" s="89"/>
      <c r="D467" s="89"/>
      <c r="E467" s="89"/>
      <c r="F467" s="89"/>
      <c r="G467" s="89"/>
      <c r="H467" s="89"/>
      <c r="I467" s="90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</row>
    <row r="468" hidden="1">
      <c r="A468" s="89"/>
      <c r="B468" s="89"/>
      <c r="C468" s="89"/>
      <c r="D468" s="89"/>
      <c r="E468" s="89"/>
      <c r="F468" s="89"/>
      <c r="G468" s="89"/>
      <c r="H468" s="89"/>
      <c r="I468" s="90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</row>
    <row r="469" hidden="1">
      <c r="A469" s="89"/>
      <c r="B469" s="89"/>
      <c r="C469" s="89"/>
      <c r="D469" s="89"/>
      <c r="E469" s="89"/>
      <c r="F469" s="89"/>
      <c r="G469" s="89"/>
      <c r="H469" s="89"/>
      <c r="I469" s="90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</row>
    <row r="470" hidden="1">
      <c r="A470" s="89"/>
      <c r="B470" s="89"/>
      <c r="C470" s="89"/>
      <c r="D470" s="89"/>
      <c r="E470" s="89"/>
      <c r="F470" s="89"/>
      <c r="G470" s="89"/>
      <c r="H470" s="89"/>
      <c r="I470" s="90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</row>
    <row r="471" hidden="1">
      <c r="A471" s="89"/>
      <c r="B471" s="89"/>
      <c r="C471" s="89"/>
      <c r="D471" s="89"/>
      <c r="E471" s="89"/>
      <c r="F471" s="89"/>
      <c r="G471" s="89"/>
      <c r="H471" s="89"/>
      <c r="I471" s="90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</row>
    <row r="472" hidden="1">
      <c r="A472" s="89"/>
      <c r="B472" s="89"/>
      <c r="C472" s="89"/>
      <c r="D472" s="89"/>
      <c r="E472" s="89"/>
      <c r="F472" s="89"/>
      <c r="G472" s="89"/>
      <c r="H472" s="89"/>
      <c r="I472" s="90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</row>
    <row r="473" hidden="1">
      <c r="A473" s="89"/>
      <c r="B473" s="89"/>
      <c r="C473" s="89"/>
      <c r="D473" s="89"/>
      <c r="E473" s="89"/>
      <c r="F473" s="89"/>
      <c r="G473" s="89"/>
      <c r="H473" s="89"/>
      <c r="I473" s="90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</row>
    <row r="474" hidden="1">
      <c r="A474" s="89"/>
      <c r="B474" s="89"/>
      <c r="C474" s="89"/>
      <c r="D474" s="89"/>
      <c r="E474" s="89"/>
      <c r="F474" s="89"/>
      <c r="G474" s="89"/>
      <c r="H474" s="89"/>
      <c r="I474" s="90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</row>
    <row r="475" hidden="1">
      <c r="A475" s="89"/>
      <c r="B475" s="89"/>
      <c r="C475" s="89"/>
      <c r="D475" s="89"/>
      <c r="E475" s="89"/>
      <c r="F475" s="89"/>
      <c r="G475" s="89"/>
      <c r="H475" s="89"/>
      <c r="I475" s="90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</row>
    <row r="476" hidden="1">
      <c r="A476" s="89"/>
      <c r="B476" s="89"/>
      <c r="C476" s="89"/>
      <c r="D476" s="89"/>
      <c r="E476" s="89"/>
      <c r="F476" s="89"/>
      <c r="G476" s="89"/>
      <c r="H476" s="89"/>
      <c r="I476" s="90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</row>
    <row r="477" hidden="1">
      <c r="A477" s="89"/>
      <c r="B477" s="89"/>
      <c r="C477" s="89"/>
      <c r="D477" s="89"/>
      <c r="E477" s="89"/>
      <c r="F477" s="89"/>
      <c r="G477" s="89"/>
      <c r="H477" s="89"/>
      <c r="I477" s="90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</row>
    <row r="478" hidden="1">
      <c r="A478" s="89"/>
      <c r="B478" s="89"/>
      <c r="C478" s="89"/>
      <c r="D478" s="89"/>
      <c r="E478" s="89"/>
      <c r="F478" s="89"/>
      <c r="G478" s="89"/>
      <c r="H478" s="89"/>
      <c r="I478" s="90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</row>
    <row r="479" hidden="1">
      <c r="A479" s="89"/>
      <c r="B479" s="89"/>
      <c r="C479" s="89"/>
      <c r="D479" s="89"/>
      <c r="E479" s="89"/>
      <c r="F479" s="89"/>
      <c r="G479" s="89"/>
      <c r="H479" s="89"/>
      <c r="I479" s="90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</row>
    <row r="480" hidden="1">
      <c r="A480" s="89"/>
      <c r="B480" s="89"/>
      <c r="C480" s="89"/>
      <c r="D480" s="89"/>
      <c r="E480" s="89"/>
      <c r="F480" s="89"/>
      <c r="G480" s="89"/>
      <c r="H480" s="89"/>
      <c r="I480" s="90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</row>
    <row r="481" hidden="1">
      <c r="A481" s="89"/>
      <c r="B481" s="89"/>
      <c r="C481" s="89"/>
      <c r="D481" s="89"/>
      <c r="E481" s="89"/>
      <c r="F481" s="89"/>
      <c r="G481" s="89"/>
      <c r="H481" s="89"/>
      <c r="I481" s="90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</row>
    <row r="482" hidden="1">
      <c r="A482" s="89"/>
      <c r="B482" s="89"/>
      <c r="C482" s="89"/>
      <c r="D482" s="89"/>
      <c r="E482" s="89"/>
      <c r="F482" s="89"/>
      <c r="G482" s="89"/>
      <c r="H482" s="89"/>
      <c r="I482" s="90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</row>
    <row r="483" hidden="1">
      <c r="A483" s="89"/>
      <c r="B483" s="89"/>
      <c r="C483" s="89"/>
      <c r="D483" s="89"/>
      <c r="E483" s="89"/>
      <c r="F483" s="89"/>
      <c r="G483" s="89"/>
      <c r="H483" s="89"/>
      <c r="I483" s="90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</row>
    <row r="484" hidden="1">
      <c r="A484" s="89"/>
      <c r="B484" s="89"/>
      <c r="C484" s="89"/>
      <c r="D484" s="89"/>
      <c r="E484" s="89"/>
      <c r="F484" s="89"/>
      <c r="G484" s="89"/>
      <c r="H484" s="89"/>
      <c r="I484" s="90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</row>
    <row r="485" hidden="1">
      <c r="A485" s="89"/>
      <c r="B485" s="89"/>
      <c r="C485" s="89"/>
      <c r="D485" s="89"/>
      <c r="E485" s="89"/>
      <c r="F485" s="89"/>
      <c r="G485" s="89"/>
      <c r="H485" s="89"/>
      <c r="I485" s="90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</row>
    <row r="486" hidden="1">
      <c r="A486" s="89"/>
      <c r="B486" s="89"/>
      <c r="C486" s="89"/>
      <c r="D486" s="89"/>
      <c r="E486" s="89"/>
      <c r="F486" s="89"/>
      <c r="G486" s="89"/>
      <c r="H486" s="89"/>
      <c r="I486" s="90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</row>
    <row r="487" hidden="1">
      <c r="A487" s="89"/>
      <c r="B487" s="89"/>
      <c r="C487" s="89"/>
      <c r="D487" s="89"/>
      <c r="E487" s="89"/>
      <c r="F487" s="89"/>
      <c r="G487" s="89"/>
      <c r="H487" s="89"/>
      <c r="I487" s="90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</row>
    <row r="488" hidden="1">
      <c r="A488" s="89"/>
      <c r="B488" s="89"/>
      <c r="C488" s="89"/>
      <c r="D488" s="89"/>
      <c r="E488" s="89"/>
      <c r="F488" s="89"/>
      <c r="G488" s="89"/>
      <c r="H488" s="89"/>
      <c r="I488" s="90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</row>
    <row r="489" hidden="1">
      <c r="A489" s="89"/>
      <c r="B489" s="89"/>
      <c r="C489" s="89"/>
      <c r="D489" s="89"/>
      <c r="E489" s="89"/>
      <c r="F489" s="89"/>
      <c r="G489" s="89"/>
      <c r="H489" s="89"/>
      <c r="I489" s="90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</row>
    <row r="490" hidden="1">
      <c r="A490" s="89"/>
      <c r="B490" s="89"/>
      <c r="C490" s="89"/>
      <c r="D490" s="89"/>
      <c r="E490" s="89"/>
      <c r="F490" s="89"/>
      <c r="G490" s="89"/>
      <c r="H490" s="89"/>
      <c r="I490" s="90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</row>
    <row r="491" hidden="1">
      <c r="A491" s="89"/>
      <c r="B491" s="89"/>
      <c r="C491" s="89"/>
      <c r="D491" s="89"/>
      <c r="E491" s="89"/>
      <c r="F491" s="89"/>
      <c r="G491" s="89"/>
      <c r="H491" s="89"/>
      <c r="I491" s="90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</row>
    <row r="492" hidden="1">
      <c r="A492" s="89"/>
      <c r="B492" s="89"/>
      <c r="C492" s="89"/>
      <c r="D492" s="89"/>
      <c r="E492" s="89"/>
      <c r="F492" s="89"/>
      <c r="G492" s="89"/>
      <c r="H492" s="89"/>
      <c r="I492" s="90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</row>
    <row r="493" hidden="1">
      <c r="A493" s="89"/>
      <c r="B493" s="89"/>
      <c r="C493" s="89"/>
      <c r="D493" s="89"/>
      <c r="E493" s="89"/>
      <c r="F493" s="89"/>
      <c r="G493" s="89"/>
      <c r="H493" s="89"/>
      <c r="I493" s="90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</row>
    <row r="494" hidden="1">
      <c r="A494" s="89"/>
      <c r="B494" s="89"/>
      <c r="C494" s="89"/>
      <c r="D494" s="89"/>
      <c r="E494" s="89"/>
      <c r="F494" s="89"/>
      <c r="G494" s="89"/>
      <c r="H494" s="89"/>
      <c r="I494" s="90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</row>
    <row r="495" hidden="1">
      <c r="A495" s="89"/>
      <c r="B495" s="89"/>
      <c r="C495" s="89"/>
      <c r="D495" s="89"/>
      <c r="E495" s="89"/>
      <c r="F495" s="89"/>
      <c r="G495" s="89"/>
      <c r="H495" s="89"/>
      <c r="I495" s="90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</row>
    <row r="496" hidden="1">
      <c r="A496" s="89"/>
      <c r="B496" s="89"/>
      <c r="C496" s="89"/>
      <c r="D496" s="89"/>
      <c r="E496" s="89"/>
      <c r="F496" s="89"/>
      <c r="G496" s="89"/>
      <c r="H496" s="89"/>
      <c r="I496" s="90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</row>
    <row r="497" hidden="1">
      <c r="A497" s="89"/>
      <c r="B497" s="89"/>
      <c r="C497" s="89"/>
      <c r="D497" s="89"/>
      <c r="E497" s="89"/>
      <c r="F497" s="89"/>
      <c r="G497" s="89"/>
      <c r="H497" s="89"/>
      <c r="I497" s="90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</row>
    <row r="498" hidden="1">
      <c r="A498" s="89"/>
      <c r="B498" s="89"/>
      <c r="C498" s="89"/>
      <c r="D498" s="89"/>
      <c r="E498" s="89"/>
      <c r="F498" s="89"/>
      <c r="G498" s="89"/>
      <c r="H498" s="89"/>
      <c r="I498" s="90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</row>
    <row r="499" hidden="1">
      <c r="A499" s="89"/>
      <c r="B499" s="89"/>
      <c r="C499" s="89"/>
      <c r="D499" s="89"/>
      <c r="E499" s="89"/>
      <c r="F499" s="89"/>
      <c r="G499" s="89"/>
      <c r="H499" s="89"/>
      <c r="I499" s="90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</row>
    <row r="500" hidden="1">
      <c r="A500" s="89"/>
      <c r="B500" s="89"/>
      <c r="C500" s="89"/>
      <c r="D500" s="89"/>
      <c r="E500" s="89"/>
      <c r="F500" s="89"/>
      <c r="G500" s="89"/>
      <c r="H500" s="89"/>
      <c r="I500" s="90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</row>
    <row r="501" hidden="1">
      <c r="A501" s="89"/>
      <c r="B501" s="89"/>
      <c r="C501" s="89"/>
      <c r="D501" s="89"/>
      <c r="E501" s="89"/>
      <c r="F501" s="89"/>
      <c r="G501" s="89"/>
      <c r="H501" s="89"/>
      <c r="I501" s="90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</row>
    <row r="502" hidden="1">
      <c r="A502" s="89"/>
      <c r="B502" s="89"/>
      <c r="C502" s="89"/>
      <c r="D502" s="89"/>
      <c r="E502" s="89"/>
      <c r="F502" s="89"/>
      <c r="G502" s="89"/>
      <c r="H502" s="89"/>
      <c r="I502" s="90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</row>
    <row r="503" hidden="1">
      <c r="A503" s="89"/>
      <c r="B503" s="89"/>
      <c r="C503" s="89"/>
      <c r="D503" s="89"/>
      <c r="E503" s="89"/>
      <c r="F503" s="89"/>
      <c r="G503" s="89"/>
      <c r="H503" s="89"/>
      <c r="I503" s="90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</row>
    <row r="504" hidden="1">
      <c r="A504" s="89"/>
      <c r="B504" s="89"/>
      <c r="C504" s="89"/>
      <c r="D504" s="89"/>
      <c r="E504" s="89"/>
      <c r="F504" s="89"/>
      <c r="G504" s="89"/>
      <c r="H504" s="89"/>
      <c r="I504" s="90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</row>
    <row r="505" hidden="1">
      <c r="A505" s="89"/>
      <c r="B505" s="89"/>
      <c r="C505" s="89"/>
      <c r="D505" s="89"/>
      <c r="E505" s="89"/>
      <c r="F505" s="89"/>
      <c r="G505" s="89"/>
      <c r="H505" s="89"/>
      <c r="I505" s="90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</row>
    <row r="506" hidden="1">
      <c r="A506" s="89"/>
      <c r="B506" s="89"/>
      <c r="C506" s="89"/>
      <c r="D506" s="89"/>
      <c r="E506" s="89"/>
      <c r="F506" s="89"/>
      <c r="G506" s="89"/>
      <c r="H506" s="89"/>
      <c r="I506" s="90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</row>
    <row r="507" hidden="1">
      <c r="A507" s="89"/>
      <c r="B507" s="89"/>
      <c r="C507" s="89"/>
      <c r="D507" s="89"/>
      <c r="E507" s="89"/>
      <c r="F507" s="89"/>
      <c r="G507" s="89"/>
      <c r="H507" s="89"/>
      <c r="I507" s="90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</row>
    <row r="508" hidden="1">
      <c r="A508" s="89"/>
      <c r="B508" s="89"/>
      <c r="C508" s="89"/>
      <c r="D508" s="89"/>
      <c r="E508" s="89"/>
      <c r="F508" s="89"/>
      <c r="G508" s="89"/>
      <c r="H508" s="89"/>
      <c r="I508" s="90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</row>
    <row r="509" hidden="1">
      <c r="A509" s="89"/>
      <c r="B509" s="89"/>
      <c r="C509" s="89"/>
      <c r="D509" s="89"/>
      <c r="E509" s="89"/>
      <c r="F509" s="89"/>
      <c r="G509" s="89"/>
      <c r="H509" s="89"/>
      <c r="I509" s="90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</row>
    <row r="510" hidden="1">
      <c r="A510" s="89"/>
      <c r="B510" s="89"/>
      <c r="C510" s="89"/>
      <c r="D510" s="89"/>
      <c r="E510" s="89"/>
      <c r="F510" s="89"/>
      <c r="G510" s="89"/>
      <c r="H510" s="89"/>
      <c r="I510" s="90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</row>
    <row r="511" hidden="1">
      <c r="A511" s="89"/>
      <c r="B511" s="89"/>
      <c r="C511" s="89"/>
      <c r="D511" s="89"/>
      <c r="E511" s="89"/>
      <c r="F511" s="89"/>
      <c r="G511" s="89"/>
      <c r="H511" s="89"/>
      <c r="I511" s="90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</row>
    <row r="512" hidden="1">
      <c r="A512" s="89"/>
      <c r="B512" s="89"/>
      <c r="C512" s="89"/>
      <c r="D512" s="89"/>
      <c r="E512" s="89"/>
      <c r="F512" s="89"/>
      <c r="G512" s="89"/>
      <c r="H512" s="89"/>
      <c r="I512" s="90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</row>
    <row r="513" hidden="1">
      <c r="A513" s="89"/>
      <c r="B513" s="89"/>
      <c r="C513" s="89"/>
      <c r="D513" s="89"/>
      <c r="E513" s="89"/>
      <c r="F513" s="89"/>
      <c r="G513" s="89"/>
      <c r="H513" s="89"/>
      <c r="I513" s="90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</row>
    <row r="514" hidden="1">
      <c r="A514" s="89"/>
      <c r="B514" s="89"/>
      <c r="C514" s="89"/>
      <c r="D514" s="89"/>
      <c r="E514" s="89"/>
      <c r="F514" s="89"/>
      <c r="G514" s="89"/>
      <c r="H514" s="89"/>
      <c r="I514" s="90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</row>
    <row r="515" hidden="1">
      <c r="A515" s="89"/>
      <c r="B515" s="89"/>
      <c r="C515" s="89"/>
      <c r="D515" s="89"/>
      <c r="E515" s="89"/>
      <c r="F515" s="89"/>
      <c r="G515" s="89"/>
      <c r="H515" s="89"/>
      <c r="I515" s="90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</row>
    <row r="516" hidden="1">
      <c r="A516" s="89"/>
      <c r="B516" s="89"/>
      <c r="C516" s="89"/>
      <c r="D516" s="89"/>
      <c r="E516" s="89"/>
      <c r="F516" s="89"/>
      <c r="G516" s="89"/>
      <c r="H516" s="89"/>
      <c r="I516" s="90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</row>
    <row r="517" hidden="1">
      <c r="A517" s="89"/>
      <c r="B517" s="89"/>
      <c r="C517" s="89"/>
      <c r="D517" s="89"/>
      <c r="E517" s="89"/>
      <c r="F517" s="89"/>
      <c r="G517" s="89"/>
      <c r="H517" s="89"/>
      <c r="I517" s="90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</row>
    <row r="518" hidden="1">
      <c r="A518" s="89"/>
      <c r="B518" s="89"/>
      <c r="C518" s="89"/>
      <c r="D518" s="89"/>
      <c r="E518" s="89"/>
      <c r="F518" s="89"/>
      <c r="G518" s="89"/>
      <c r="H518" s="89"/>
      <c r="I518" s="90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</row>
    <row r="519" hidden="1">
      <c r="A519" s="89"/>
      <c r="B519" s="89"/>
      <c r="C519" s="89"/>
      <c r="D519" s="89"/>
      <c r="E519" s="89"/>
      <c r="F519" s="89"/>
      <c r="G519" s="89"/>
      <c r="H519" s="89"/>
      <c r="I519" s="90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</row>
    <row r="520" hidden="1">
      <c r="A520" s="89"/>
      <c r="B520" s="89"/>
      <c r="C520" s="89"/>
      <c r="D520" s="89"/>
      <c r="E520" s="89"/>
      <c r="F520" s="89"/>
      <c r="G520" s="89"/>
      <c r="H520" s="89"/>
      <c r="I520" s="90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</row>
    <row r="521" hidden="1">
      <c r="A521" s="89"/>
      <c r="B521" s="89"/>
      <c r="C521" s="89"/>
      <c r="D521" s="89"/>
      <c r="E521" s="89"/>
      <c r="F521" s="89"/>
      <c r="G521" s="89"/>
      <c r="H521" s="89"/>
      <c r="I521" s="90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</row>
    <row r="522" hidden="1">
      <c r="A522" s="89"/>
      <c r="B522" s="89"/>
      <c r="C522" s="89"/>
      <c r="D522" s="89"/>
      <c r="E522" s="89"/>
      <c r="F522" s="89"/>
      <c r="G522" s="89"/>
      <c r="H522" s="89"/>
      <c r="I522" s="90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</row>
    <row r="523" hidden="1">
      <c r="A523" s="89"/>
      <c r="B523" s="89"/>
      <c r="C523" s="89"/>
      <c r="D523" s="89"/>
      <c r="E523" s="89"/>
      <c r="F523" s="89"/>
      <c r="G523" s="89"/>
      <c r="H523" s="89"/>
      <c r="I523" s="90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</row>
    <row r="524" hidden="1">
      <c r="A524" s="89"/>
      <c r="B524" s="89"/>
      <c r="C524" s="89"/>
      <c r="D524" s="89"/>
      <c r="E524" s="89"/>
      <c r="F524" s="89"/>
      <c r="G524" s="89"/>
      <c r="H524" s="89"/>
      <c r="I524" s="90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</row>
    <row r="525" hidden="1">
      <c r="A525" s="89"/>
      <c r="B525" s="89"/>
      <c r="C525" s="89"/>
      <c r="D525" s="89"/>
      <c r="E525" s="89"/>
      <c r="F525" s="89"/>
      <c r="G525" s="89"/>
      <c r="H525" s="89"/>
      <c r="I525" s="90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</row>
    <row r="526" hidden="1">
      <c r="A526" s="89"/>
      <c r="B526" s="89"/>
      <c r="C526" s="89"/>
      <c r="D526" s="89"/>
      <c r="E526" s="89"/>
      <c r="F526" s="89"/>
      <c r="G526" s="89"/>
      <c r="H526" s="89"/>
      <c r="I526" s="90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</row>
    <row r="527" hidden="1">
      <c r="A527" s="89"/>
      <c r="B527" s="89"/>
      <c r="C527" s="89"/>
      <c r="D527" s="89"/>
      <c r="E527" s="89"/>
      <c r="F527" s="89"/>
      <c r="G527" s="89"/>
      <c r="H527" s="89"/>
      <c r="I527" s="90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</row>
    <row r="528" hidden="1">
      <c r="A528" s="89"/>
      <c r="B528" s="89"/>
      <c r="C528" s="89"/>
      <c r="D528" s="89"/>
      <c r="E528" s="89"/>
      <c r="F528" s="89"/>
      <c r="G528" s="89"/>
      <c r="H528" s="89"/>
      <c r="I528" s="90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</row>
    <row r="529" hidden="1">
      <c r="A529" s="89"/>
      <c r="B529" s="89"/>
      <c r="C529" s="89"/>
      <c r="D529" s="89"/>
      <c r="E529" s="89"/>
      <c r="F529" s="89"/>
      <c r="G529" s="89"/>
      <c r="H529" s="89"/>
      <c r="I529" s="90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</row>
    <row r="530" hidden="1">
      <c r="A530" s="89"/>
      <c r="B530" s="89"/>
      <c r="C530" s="89"/>
      <c r="D530" s="89"/>
      <c r="E530" s="89"/>
      <c r="F530" s="89"/>
      <c r="G530" s="89"/>
      <c r="H530" s="89"/>
      <c r="I530" s="90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</row>
    <row r="531" hidden="1">
      <c r="A531" s="89"/>
      <c r="B531" s="89"/>
      <c r="C531" s="89"/>
      <c r="D531" s="89"/>
      <c r="E531" s="89"/>
      <c r="F531" s="89"/>
      <c r="G531" s="89"/>
      <c r="H531" s="89"/>
      <c r="I531" s="90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</row>
    <row r="532" hidden="1">
      <c r="A532" s="89"/>
      <c r="B532" s="89"/>
      <c r="C532" s="89"/>
      <c r="D532" s="89"/>
      <c r="E532" s="89"/>
      <c r="F532" s="89"/>
      <c r="G532" s="89"/>
      <c r="H532" s="89"/>
      <c r="I532" s="90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</row>
    <row r="533" hidden="1">
      <c r="A533" s="89"/>
      <c r="B533" s="89"/>
      <c r="C533" s="89"/>
      <c r="D533" s="89"/>
      <c r="E533" s="89"/>
      <c r="F533" s="89"/>
      <c r="G533" s="89"/>
      <c r="H533" s="89"/>
      <c r="I533" s="90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</row>
    <row r="534" hidden="1">
      <c r="A534" s="89"/>
      <c r="B534" s="89"/>
      <c r="C534" s="89"/>
      <c r="D534" s="89"/>
      <c r="E534" s="89"/>
      <c r="F534" s="89"/>
      <c r="G534" s="89"/>
      <c r="H534" s="89"/>
      <c r="I534" s="90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</row>
    <row r="535" hidden="1">
      <c r="A535" s="89"/>
      <c r="B535" s="89"/>
      <c r="C535" s="89"/>
      <c r="D535" s="89"/>
      <c r="E535" s="89"/>
      <c r="F535" s="89"/>
      <c r="G535" s="89"/>
      <c r="H535" s="89"/>
      <c r="I535" s="90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</row>
    <row r="536" hidden="1">
      <c r="A536" s="89"/>
      <c r="B536" s="89"/>
      <c r="C536" s="89"/>
      <c r="D536" s="89"/>
      <c r="E536" s="89"/>
      <c r="F536" s="89"/>
      <c r="G536" s="89"/>
      <c r="H536" s="89"/>
      <c r="I536" s="90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</row>
    <row r="537" hidden="1">
      <c r="A537" s="89"/>
      <c r="B537" s="89"/>
      <c r="C537" s="89"/>
      <c r="D537" s="89"/>
      <c r="E537" s="89"/>
      <c r="F537" s="89"/>
      <c r="G537" s="89"/>
      <c r="H537" s="89"/>
      <c r="I537" s="90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</row>
    <row r="538" hidden="1">
      <c r="A538" s="89"/>
      <c r="B538" s="89"/>
      <c r="C538" s="89"/>
      <c r="D538" s="89"/>
      <c r="E538" s="89"/>
      <c r="F538" s="89"/>
      <c r="G538" s="89"/>
      <c r="H538" s="89"/>
      <c r="I538" s="90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</row>
    <row r="539" hidden="1">
      <c r="A539" s="89"/>
      <c r="B539" s="89"/>
      <c r="C539" s="89"/>
      <c r="D539" s="89"/>
      <c r="E539" s="89"/>
      <c r="F539" s="89"/>
      <c r="G539" s="89"/>
      <c r="H539" s="89"/>
      <c r="I539" s="90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</row>
    <row r="540" hidden="1">
      <c r="A540" s="89"/>
      <c r="B540" s="89"/>
      <c r="C540" s="89"/>
      <c r="D540" s="89"/>
      <c r="E540" s="89"/>
      <c r="F540" s="89"/>
      <c r="G540" s="89"/>
      <c r="H540" s="89"/>
      <c r="I540" s="90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</row>
    <row r="541" hidden="1">
      <c r="A541" s="89"/>
      <c r="B541" s="89"/>
      <c r="C541" s="89"/>
      <c r="D541" s="89"/>
      <c r="E541" s="89"/>
      <c r="F541" s="89"/>
      <c r="G541" s="89"/>
      <c r="H541" s="89"/>
      <c r="I541" s="90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</row>
    <row r="542" hidden="1">
      <c r="A542" s="89"/>
      <c r="B542" s="89"/>
      <c r="C542" s="89"/>
      <c r="D542" s="89"/>
      <c r="E542" s="89"/>
      <c r="F542" s="89"/>
      <c r="G542" s="89"/>
      <c r="H542" s="89"/>
      <c r="I542" s="90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</row>
    <row r="543" hidden="1">
      <c r="A543" s="89"/>
      <c r="B543" s="89"/>
      <c r="C543" s="89"/>
      <c r="D543" s="89"/>
      <c r="E543" s="89"/>
      <c r="F543" s="89"/>
      <c r="G543" s="89"/>
      <c r="H543" s="89"/>
      <c r="I543" s="90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</row>
    <row r="544" hidden="1">
      <c r="A544" s="89"/>
      <c r="B544" s="89"/>
      <c r="C544" s="89"/>
      <c r="D544" s="89"/>
      <c r="E544" s="89"/>
      <c r="F544" s="89"/>
      <c r="G544" s="89"/>
      <c r="H544" s="89"/>
      <c r="I544" s="90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</row>
    <row r="545" hidden="1">
      <c r="A545" s="89"/>
      <c r="B545" s="89"/>
      <c r="C545" s="89"/>
      <c r="D545" s="89"/>
      <c r="E545" s="89"/>
      <c r="F545" s="89"/>
      <c r="G545" s="89"/>
      <c r="H545" s="89"/>
      <c r="I545" s="90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</row>
    <row r="546" hidden="1">
      <c r="A546" s="89"/>
      <c r="B546" s="89"/>
      <c r="C546" s="89"/>
      <c r="D546" s="89"/>
      <c r="E546" s="89"/>
      <c r="F546" s="89"/>
      <c r="G546" s="89"/>
      <c r="H546" s="89"/>
      <c r="I546" s="90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</row>
    <row r="547" hidden="1">
      <c r="A547" s="89"/>
      <c r="B547" s="89"/>
      <c r="C547" s="89"/>
      <c r="D547" s="89"/>
      <c r="E547" s="89"/>
      <c r="F547" s="89"/>
      <c r="G547" s="89"/>
      <c r="H547" s="89"/>
      <c r="I547" s="90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</row>
    <row r="548" hidden="1">
      <c r="A548" s="89"/>
      <c r="B548" s="89"/>
      <c r="C548" s="89"/>
      <c r="D548" s="89"/>
      <c r="E548" s="89"/>
      <c r="F548" s="89"/>
      <c r="G548" s="89"/>
      <c r="H548" s="89"/>
      <c r="I548" s="90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</row>
    <row r="549" hidden="1">
      <c r="A549" s="89"/>
      <c r="B549" s="89"/>
      <c r="C549" s="89"/>
      <c r="D549" s="89"/>
      <c r="E549" s="89"/>
      <c r="F549" s="89"/>
      <c r="G549" s="89"/>
      <c r="H549" s="89"/>
      <c r="I549" s="90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</row>
    <row r="550" hidden="1">
      <c r="A550" s="89"/>
      <c r="B550" s="89"/>
      <c r="C550" s="89"/>
      <c r="D550" s="89"/>
      <c r="E550" s="89"/>
      <c r="F550" s="89"/>
      <c r="G550" s="89"/>
      <c r="H550" s="89"/>
      <c r="I550" s="90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</row>
    <row r="551" hidden="1">
      <c r="A551" s="89"/>
      <c r="B551" s="89"/>
      <c r="C551" s="89"/>
      <c r="D551" s="89"/>
      <c r="E551" s="89"/>
      <c r="F551" s="89"/>
      <c r="G551" s="89"/>
      <c r="H551" s="89"/>
      <c r="I551" s="90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</row>
    <row r="552" hidden="1">
      <c r="A552" s="89"/>
      <c r="B552" s="89"/>
      <c r="C552" s="89"/>
      <c r="D552" s="89"/>
      <c r="E552" s="89"/>
      <c r="F552" s="89"/>
      <c r="G552" s="89"/>
      <c r="H552" s="89"/>
      <c r="I552" s="90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</row>
    <row r="553" hidden="1">
      <c r="A553" s="89"/>
      <c r="B553" s="89"/>
      <c r="C553" s="89"/>
      <c r="D553" s="89"/>
      <c r="E553" s="89"/>
      <c r="F553" s="89"/>
      <c r="G553" s="89"/>
      <c r="H553" s="89"/>
      <c r="I553" s="90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</row>
    <row r="554" hidden="1">
      <c r="A554" s="89"/>
      <c r="B554" s="89"/>
      <c r="C554" s="89"/>
      <c r="D554" s="89"/>
      <c r="E554" s="89"/>
      <c r="F554" s="89"/>
      <c r="G554" s="89"/>
      <c r="H554" s="89"/>
      <c r="I554" s="90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</row>
    <row r="555" hidden="1">
      <c r="A555" s="89"/>
      <c r="B555" s="89"/>
      <c r="C555" s="89"/>
      <c r="D555" s="89"/>
      <c r="E555" s="89"/>
      <c r="F555" s="89"/>
      <c r="G555" s="89"/>
      <c r="H555" s="89"/>
      <c r="I555" s="90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</row>
    <row r="556" hidden="1">
      <c r="A556" s="89"/>
      <c r="B556" s="89"/>
      <c r="C556" s="89"/>
      <c r="D556" s="89"/>
      <c r="E556" s="89"/>
      <c r="F556" s="89"/>
      <c r="G556" s="89"/>
      <c r="H556" s="89"/>
      <c r="I556" s="90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</row>
    <row r="557" hidden="1">
      <c r="A557" s="89"/>
      <c r="B557" s="89"/>
      <c r="C557" s="89"/>
      <c r="D557" s="89"/>
      <c r="E557" s="89"/>
      <c r="F557" s="89"/>
      <c r="G557" s="89"/>
      <c r="H557" s="89"/>
      <c r="I557" s="90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</row>
    <row r="558" hidden="1">
      <c r="A558" s="89"/>
      <c r="B558" s="89"/>
      <c r="C558" s="89"/>
      <c r="D558" s="89"/>
      <c r="E558" s="89"/>
      <c r="F558" s="89"/>
      <c r="G558" s="89"/>
      <c r="H558" s="89"/>
      <c r="I558" s="90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</row>
    <row r="559" hidden="1">
      <c r="A559" s="89"/>
      <c r="B559" s="89"/>
      <c r="C559" s="89"/>
      <c r="D559" s="89"/>
      <c r="E559" s="89"/>
      <c r="F559" s="89"/>
      <c r="G559" s="89"/>
      <c r="H559" s="89"/>
      <c r="I559" s="90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</row>
    <row r="560" hidden="1">
      <c r="A560" s="89"/>
      <c r="B560" s="89"/>
      <c r="C560" s="89"/>
      <c r="D560" s="89"/>
      <c r="E560" s="89"/>
      <c r="F560" s="89"/>
      <c r="G560" s="89"/>
      <c r="H560" s="89"/>
      <c r="I560" s="90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</row>
    <row r="561" hidden="1">
      <c r="A561" s="89"/>
      <c r="B561" s="89"/>
      <c r="C561" s="89"/>
      <c r="D561" s="89"/>
      <c r="E561" s="89"/>
      <c r="F561" s="89"/>
      <c r="G561" s="89"/>
      <c r="H561" s="89"/>
      <c r="I561" s="90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</row>
    <row r="562" hidden="1">
      <c r="A562" s="89"/>
      <c r="B562" s="89"/>
      <c r="C562" s="89"/>
      <c r="D562" s="89"/>
      <c r="E562" s="89"/>
      <c r="F562" s="89"/>
      <c r="G562" s="89"/>
      <c r="H562" s="89"/>
      <c r="I562" s="90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</row>
    <row r="563" hidden="1">
      <c r="A563" s="89"/>
      <c r="B563" s="89"/>
      <c r="C563" s="89"/>
      <c r="D563" s="89"/>
      <c r="E563" s="89"/>
      <c r="F563" s="89"/>
      <c r="G563" s="89"/>
      <c r="H563" s="89"/>
      <c r="I563" s="90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</row>
    <row r="564" hidden="1">
      <c r="A564" s="89"/>
      <c r="B564" s="89"/>
      <c r="C564" s="89"/>
      <c r="D564" s="89"/>
      <c r="E564" s="89"/>
      <c r="F564" s="89"/>
      <c r="G564" s="89"/>
      <c r="H564" s="89"/>
      <c r="I564" s="90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</row>
    <row r="565" hidden="1">
      <c r="A565" s="89"/>
      <c r="B565" s="89"/>
      <c r="C565" s="89"/>
      <c r="D565" s="89"/>
      <c r="E565" s="89"/>
      <c r="F565" s="89"/>
      <c r="G565" s="89"/>
      <c r="H565" s="89"/>
      <c r="I565" s="90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</row>
    <row r="566" hidden="1">
      <c r="A566" s="89"/>
      <c r="B566" s="89"/>
      <c r="C566" s="89"/>
      <c r="D566" s="89"/>
      <c r="E566" s="89"/>
      <c r="F566" s="89"/>
      <c r="G566" s="89"/>
      <c r="H566" s="89"/>
      <c r="I566" s="90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</row>
    <row r="567" hidden="1">
      <c r="A567" s="89"/>
      <c r="B567" s="89"/>
      <c r="C567" s="89"/>
      <c r="D567" s="89"/>
      <c r="E567" s="89"/>
      <c r="F567" s="89"/>
      <c r="G567" s="89"/>
      <c r="H567" s="89"/>
      <c r="I567" s="90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</row>
    <row r="568" hidden="1">
      <c r="A568" s="89"/>
      <c r="B568" s="89"/>
      <c r="C568" s="89"/>
      <c r="D568" s="89"/>
      <c r="E568" s="89"/>
      <c r="F568" s="89"/>
      <c r="G568" s="89"/>
      <c r="H568" s="89"/>
      <c r="I568" s="90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</row>
    <row r="569" hidden="1">
      <c r="A569" s="89"/>
      <c r="B569" s="89"/>
      <c r="C569" s="89"/>
      <c r="D569" s="89"/>
      <c r="E569" s="89"/>
      <c r="F569" s="89"/>
      <c r="G569" s="89"/>
      <c r="H569" s="89"/>
      <c r="I569" s="90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</row>
    <row r="570" hidden="1">
      <c r="A570" s="89"/>
      <c r="B570" s="89"/>
      <c r="C570" s="89"/>
      <c r="D570" s="89"/>
      <c r="E570" s="89"/>
      <c r="F570" s="89"/>
      <c r="G570" s="89"/>
      <c r="H570" s="89"/>
      <c r="I570" s="90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</row>
    <row r="571" hidden="1">
      <c r="A571" s="89"/>
      <c r="B571" s="89"/>
      <c r="C571" s="89"/>
      <c r="D571" s="89"/>
      <c r="E571" s="89"/>
      <c r="F571" s="89"/>
      <c r="G571" s="89"/>
      <c r="H571" s="89"/>
      <c r="I571" s="90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</row>
    <row r="572" hidden="1">
      <c r="A572" s="89"/>
      <c r="B572" s="89"/>
      <c r="C572" s="89"/>
      <c r="D572" s="89"/>
      <c r="E572" s="89"/>
      <c r="F572" s="89"/>
      <c r="G572" s="89"/>
      <c r="H572" s="89"/>
      <c r="I572" s="90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</row>
    <row r="573" hidden="1">
      <c r="A573" s="89"/>
      <c r="B573" s="89"/>
      <c r="C573" s="89"/>
      <c r="D573" s="89"/>
      <c r="E573" s="89"/>
      <c r="F573" s="89"/>
      <c r="G573" s="89"/>
      <c r="H573" s="89"/>
      <c r="I573" s="90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</row>
    <row r="574" hidden="1">
      <c r="A574" s="89"/>
      <c r="B574" s="89"/>
      <c r="C574" s="89"/>
      <c r="D574" s="89"/>
      <c r="E574" s="89"/>
      <c r="F574" s="89"/>
      <c r="G574" s="89"/>
      <c r="H574" s="89"/>
      <c r="I574" s="90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</row>
    <row r="575" hidden="1">
      <c r="A575" s="89"/>
      <c r="B575" s="89"/>
      <c r="C575" s="89"/>
      <c r="D575" s="89"/>
      <c r="E575" s="89"/>
      <c r="F575" s="89"/>
      <c r="G575" s="89"/>
      <c r="H575" s="89"/>
      <c r="I575" s="90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</row>
    <row r="576" hidden="1">
      <c r="A576" s="89"/>
      <c r="B576" s="89"/>
      <c r="C576" s="89"/>
      <c r="D576" s="89"/>
      <c r="E576" s="89"/>
      <c r="F576" s="89"/>
      <c r="G576" s="89"/>
      <c r="H576" s="89"/>
      <c r="I576" s="90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</row>
    <row r="577" hidden="1">
      <c r="A577" s="89"/>
      <c r="B577" s="89"/>
      <c r="C577" s="89"/>
      <c r="D577" s="89"/>
      <c r="E577" s="89"/>
      <c r="F577" s="89"/>
      <c r="G577" s="89"/>
      <c r="H577" s="89"/>
      <c r="I577" s="90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</row>
    <row r="578" hidden="1">
      <c r="A578" s="89"/>
      <c r="B578" s="89"/>
      <c r="C578" s="89"/>
      <c r="D578" s="89"/>
      <c r="E578" s="89"/>
      <c r="F578" s="89"/>
      <c r="G578" s="89"/>
      <c r="H578" s="89"/>
      <c r="I578" s="90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</row>
    <row r="579" hidden="1">
      <c r="A579" s="89"/>
      <c r="B579" s="89"/>
      <c r="C579" s="89"/>
      <c r="D579" s="89"/>
      <c r="E579" s="89"/>
      <c r="F579" s="89"/>
      <c r="G579" s="89"/>
      <c r="H579" s="89"/>
      <c r="I579" s="90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</row>
    <row r="580" hidden="1">
      <c r="A580" s="89"/>
      <c r="B580" s="89"/>
      <c r="C580" s="89"/>
      <c r="D580" s="89"/>
      <c r="E580" s="89"/>
      <c r="F580" s="89"/>
      <c r="G580" s="89"/>
      <c r="H580" s="89"/>
      <c r="I580" s="90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</row>
    <row r="581" hidden="1">
      <c r="A581" s="89"/>
      <c r="B581" s="89"/>
      <c r="C581" s="89"/>
      <c r="D581" s="89"/>
      <c r="E581" s="89"/>
      <c r="F581" s="89"/>
      <c r="G581" s="89"/>
      <c r="H581" s="89"/>
      <c r="I581" s="90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</row>
    <row r="582" hidden="1">
      <c r="A582" s="89"/>
      <c r="B582" s="89"/>
      <c r="C582" s="89"/>
      <c r="D582" s="89"/>
      <c r="E582" s="89"/>
      <c r="F582" s="89"/>
      <c r="G582" s="89"/>
      <c r="H582" s="89"/>
      <c r="I582" s="90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</row>
    <row r="583" hidden="1">
      <c r="A583" s="89"/>
      <c r="B583" s="89"/>
      <c r="C583" s="89"/>
      <c r="D583" s="89"/>
      <c r="E583" s="89"/>
      <c r="F583" s="89"/>
      <c r="G583" s="89"/>
      <c r="H583" s="89"/>
      <c r="I583" s="90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</row>
    <row r="584" hidden="1">
      <c r="A584" s="89"/>
      <c r="B584" s="89"/>
      <c r="C584" s="89"/>
      <c r="D584" s="89"/>
      <c r="E584" s="89"/>
      <c r="F584" s="89"/>
      <c r="G584" s="89"/>
      <c r="H584" s="89"/>
      <c r="I584" s="90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</row>
    <row r="585" hidden="1">
      <c r="A585" s="89"/>
      <c r="B585" s="89"/>
      <c r="C585" s="89"/>
      <c r="D585" s="89"/>
      <c r="E585" s="89"/>
      <c r="F585" s="89"/>
      <c r="G585" s="89"/>
      <c r="H585" s="89"/>
      <c r="I585" s="90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</row>
    <row r="586" hidden="1">
      <c r="A586" s="89"/>
      <c r="B586" s="89"/>
      <c r="C586" s="89"/>
      <c r="D586" s="89"/>
      <c r="E586" s="89"/>
      <c r="F586" s="89"/>
      <c r="G586" s="89"/>
      <c r="H586" s="89"/>
      <c r="I586" s="90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</row>
    <row r="587" hidden="1">
      <c r="A587" s="89"/>
      <c r="B587" s="89"/>
      <c r="C587" s="89"/>
      <c r="D587" s="89"/>
      <c r="E587" s="89"/>
      <c r="F587" s="89"/>
      <c r="G587" s="89"/>
      <c r="H587" s="89"/>
      <c r="I587" s="90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</row>
    <row r="588" hidden="1">
      <c r="A588" s="89"/>
      <c r="B588" s="89"/>
      <c r="C588" s="89"/>
      <c r="D588" s="89"/>
      <c r="E588" s="89"/>
      <c r="F588" s="89"/>
      <c r="G588" s="89"/>
      <c r="H588" s="89"/>
      <c r="I588" s="90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</row>
    <row r="589" hidden="1">
      <c r="A589" s="89"/>
      <c r="B589" s="89"/>
      <c r="C589" s="89"/>
      <c r="D589" s="89"/>
      <c r="E589" s="89"/>
      <c r="F589" s="89"/>
      <c r="G589" s="89"/>
      <c r="H589" s="89"/>
      <c r="I589" s="90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</row>
    <row r="590" hidden="1">
      <c r="A590" s="89"/>
      <c r="B590" s="89"/>
      <c r="C590" s="89"/>
      <c r="D590" s="89"/>
      <c r="E590" s="89"/>
      <c r="F590" s="89"/>
      <c r="G590" s="89"/>
      <c r="H590" s="89"/>
      <c r="I590" s="90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</row>
    <row r="591" hidden="1">
      <c r="A591" s="89"/>
      <c r="B591" s="89"/>
      <c r="C591" s="89"/>
      <c r="D591" s="89"/>
      <c r="E591" s="89"/>
      <c r="F591" s="89"/>
      <c r="G591" s="89"/>
      <c r="H591" s="89"/>
      <c r="I591" s="90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</row>
    <row r="592" hidden="1">
      <c r="A592" s="89"/>
      <c r="B592" s="89"/>
      <c r="C592" s="89"/>
      <c r="D592" s="89"/>
      <c r="E592" s="89"/>
      <c r="F592" s="89"/>
      <c r="G592" s="89"/>
      <c r="H592" s="89"/>
      <c r="I592" s="90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</row>
    <row r="593" hidden="1">
      <c r="A593" s="89"/>
      <c r="B593" s="89"/>
      <c r="C593" s="89"/>
      <c r="D593" s="89"/>
      <c r="E593" s="89"/>
      <c r="F593" s="89"/>
      <c r="G593" s="89"/>
      <c r="H593" s="89"/>
      <c r="I593" s="90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</row>
    <row r="594" hidden="1">
      <c r="A594" s="89"/>
      <c r="B594" s="89"/>
      <c r="C594" s="89"/>
      <c r="D594" s="89"/>
      <c r="E594" s="89"/>
      <c r="F594" s="89"/>
      <c r="G594" s="89"/>
      <c r="H594" s="89"/>
      <c r="I594" s="90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</row>
    <row r="595" hidden="1">
      <c r="A595" s="89"/>
      <c r="B595" s="89"/>
      <c r="C595" s="89"/>
      <c r="D595" s="89"/>
      <c r="E595" s="89"/>
      <c r="F595" s="89"/>
      <c r="G595" s="89"/>
      <c r="H595" s="89"/>
      <c r="I595" s="90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</row>
    <row r="596" hidden="1">
      <c r="A596" s="89"/>
      <c r="B596" s="89"/>
      <c r="C596" s="89"/>
      <c r="D596" s="89"/>
      <c r="E596" s="89"/>
      <c r="F596" s="89"/>
      <c r="G596" s="89"/>
      <c r="H596" s="89"/>
      <c r="I596" s="90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</row>
    <row r="597" hidden="1">
      <c r="A597" s="89"/>
      <c r="B597" s="89"/>
      <c r="C597" s="89"/>
      <c r="D597" s="89"/>
      <c r="E597" s="89"/>
      <c r="F597" s="89"/>
      <c r="G597" s="89"/>
      <c r="H597" s="89"/>
      <c r="I597" s="90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</row>
    <row r="598" hidden="1">
      <c r="A598" s="89"/>
      <c r="B598" s="89"/>
      <c r="C598" s="89"/>
      <c r="D598" s="89"/>
      <c r="E598" s="89"/>
      <c r="F598" s="89"/>
      <c r="G598" s="89"/>
      <c r="H598" s="89"/>
      <c r="I598" s="90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</row>
    <row r="599" hidden="1">
      <c r="A599" s="89"/>
      <c r="B599" s="89"/>
      <c r="C599" s="89"/>
      <c r="D599" s="89"/>
      <c r="E599" s="89"/>
      <c r="F599" s="89"/>
      <c r="G599" s="89"/>
      <c r="H599" s="89"/>
      <c r="I599" s="90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</row>
    <row r="600" hidden="1">
      <c r="A600" s="89"/>
      <c r="B600" s="89"/>
      <c r="C600" s="89"/>
      <c r="D600" s="89"/>
      <c r="E600" s="89"/>
      <c r="F600" s="89"/>
      <c r="G600" s="89"/>
      <c r="H600" s="89"/>
      <c r="I600" s="90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</row>
    <row r="601" hidden="1">
      <c r="A601" s="89"/>
      <c r="B601" s="89"/>
      <c r="C601" s="89"/>
      <c r="D601" s="89"/>
      <c r="E601" s="89"/>
      <c r="F601" s="89"/>
      <c r="G601" s="89"/>
      <c r="H601" s="89"/>
      <c r="I601" s="90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</row>
    <row r="602" hidden="1">
      <c r="A602" s="89"/>
      <c r="B602" s="89"/>
      <c r="C602" s="89"/>
      <c r="D602" s="89"/>
      <c r="E602" s="89"/>
      <c r="F602" s="89"/>
      <c r="G602" s="89"/>
      <c r="H602" s="89"/>
      <c r="I602" s="90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</row>
    <row r="603" hidden="1">
      <c r="A603" s="89"/>
      <c r="B603" s="89"/>
      <c r="C603" s="89"/>
      <c r="D603" s="89"/>
      <c r="E603" s="89"/>
      <c r="F603" s="89"/>
      <c r="G603" s="89"/>
      <c r="H603" s="89"/>
      <c r="I603" s="90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</row>
    <row r="604" hidden="1">
      <c r="A604" s="89"/>
      <c r="B604" s="89"/>
      <c r="C604" s="89"/>
      <c r="D604" s="89"/>
      <c r="E604" s="89"/>
      <c r="F604" s="89"/>
      <c r="G604" s="89"/>
      <c r="H604" s="89"/>
      <c r="I604" s="90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</row>
    <row r="605" hidden="1">
      <c r="A605" s="89"/>
      <c r="B605" s="89"/>
      <c r="C605" s="89"/>
      <c r="D605" s="89"/>
      <c r="E605" s="89"/>
      <c r="F605" s="89"/>
      <c r="G605" s="89"/>
      <c r="H605" s="89"/>
      <c r="I605" s="90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</row>
    <row r="606" hidden="1">
      <c r="A606" s="89"/>
      <c r="B606" s="89"/>
      <c r="C606" s="89"/>
      <c r="D606" s="89"/>
      <c r="E606" s="89"/>
      <c r="F606" s="89"/>
      <c r="G606" s="89"/>
      <c r="H606" s="89"/>
      <c r="I606" s="90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</row>
    <row r="607" hidden="1">
      <c r="A607" s="89"/>
      <c r="B607" s="89"/>
      <c r="C607" s="89"/>
      <c r="D607" s="89"/>
      <c r="E607" s="89"/>
      <c r="F607" s="89"/>
      <c r="G607" s="89"/>
      <c r="H607" s="89"/>
      <c r="I607" s="90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</row>
    <row r="608" hidden="1">
      <c r="A608" s="89"/>
      <c r="B608" s="89"/>
      <c r="C608" s="89"/>
      <c r="D608" s="89"/>
      <c r="E608" s="89"/>
      <c r="F608" s="89"/>
      <c r="G608" s="89"/>
      <c r="H608" s="89"/>
      <c r="I608" s="90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</row>
    <row r="609" hidden="1">
      <c r="A609" s="89"/>
      <c r="B609" s="89"/>
      <c r="C609" s="89"/>
      <c r="D609" s="89"/>
      <c r="E609" s="89"/>
      <c r="F609" s="89"/>
      <c r="G609" s="89"/>
      <c r="H609" s="89"/>
      <c r="I609" s="90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</row>
    <row r="610" hidden="1">
      <c r="A610" s="89"/>
      <c r="B610" s="89"/>
      <c r="C610" s="89"/>
      <c r="D610" s="89"/>
      <c r="E610" s="89"/>
      <c r="F610" s="89"/>
      <c r="G610" s="89"/>
      <c r="H610" s="89"/>
      <c r="I610" s="90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</row>
    <row r="611" hidden="1">
      <c r="A611" s="89"/>
      <c r="B611" s="89"/>
      <c r="C611" s="89"/>
      <c r="D611" s="89"/>
      <c r="E611" s="89"/>
      <c r="F611" s="89"/>
      <c r="G611" s="89"/>
      <c r="H611" s="89"/>
      <c r="I611" s="90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</row>
    <row r="612" hidden="1">
      <c r="A612" s="89"/>
      <c r="B612" s="89"/>
      <c r="C612" s="89"/>
      <c r="D612" s="89"/>
      <c r="E612" s="89"/>
      <c r="F612" s="89"/>
      <c r="G612" s="89"/>
      <c r="H612" s="89"/>
      <c r="I612" s="90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</row>
    <row r="613" hidden="1">
      <c r="A613" s="89"/>
      <c r="B613" s="89"/>
      <c r="C613" s="89"/>
      <c r="D613" s="89"/>
      <c r="E613" s="89"/>
      <c r="F613" s="89"/>
      <c r="G613" s="89"/>
      <c r="H613" s="89"/>
      <c r="I613" s="90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</row>
    <row r="614" hidden="1">
      <c r="A614" s="89"/>
      <c r="B614" s="89"/>
      <c r="C614" s="89"/>
      <c r="D614" s="89"/>
      <c r="E614" s="89"/>
      <c r="F614" s="89"/>
      <c r="G614" s="89"/>
      <c r="H614" s="89"/>
      <c r="I614" s="90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</row>
    <row r="615" hidden="1">
      <c r="A615" s="89"/>
      <c r="B615" s="89"/>
      <c r="C615" s="89"/>
      <c r="D615" s="89"/>
      <c r="E615" s="89"/>
      <c r="F615" s="89"/>
      <c r="G615" s="89"/>
      <c r="H615" s="89"/>
      <c r="I615" s="90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</row>
    <row r="616" hidden="1">
      <c r="A616" s="89"/>
      <c r="B616" s="89"/>
      <c r="C616" s="89"/>
      <c r="D616" s="89"/>
      <c r="E616" s="89"/>
      <c r="F616" s="89"/>
      <c r="G616" s="89"/>
      <c r="H616" s="89"/>
      <c r="I616" s="90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</row>
    <row r="617" hidden="1">
      <c r="A617" s="89"/>
      <c r="B617" s="89"/>
      <c r="C617" s="89"/>
      <c r="D617" s="89"/>
      <c r="E617" s="89"/>
      <c r="F617" s="89"/>
      <c r="G617" s="89"/>
      <c r="H617" s="89"/>
      <c r="I617" s="90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</row>
    <row r="618" hidden="1">
      <c r="A618" s="89"/>
      <c r="B618" s="89"/>
      <c r="C618" s="89"/>
      <c r="D618" s="89"/>
      <c r="E618" s="89"/>
      <c r="F618" s="89"/>
      <c r="G618" s="89"/>
      <c r="H618" s="89"/>
      <c r="I618" s="90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</row>
    <row r="619" hidden="1">
      <c r="A619" s="89"/>
      <c r="B619" s="89"/>
      <c r="C619" s="89"/>
      <c r="D619" s="89"/>
      <c r="E619" s="89"/>
      <c r="F619" s="89"/>
      <c r="G619" s="89"/>
      <c r="H619" s="89"/>
      <c r="I619" s="90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</row>
    <row r="620" hidden="1">
      <c r="A620" s="89"/>
      <c r="B620" s="89"/>
      <c r="C620" s="89"/>
      <c r="D620" s="89"/>
      <c r="E620" s="89"/>
      <c r="F620" s="89"/>
      <c r="G620" s="89"/>
      <c r="H620" s="89"/>
      <c r="I620" s="90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</row>
    <row r="621" hidden="1">
      <c r="A621" s="89"/>
      <c r="B621" s="89"/>
      <c r="C621" s="89"/>
      <c r="D621" s="89"/>
      <c r="E621" s="89"/>
      <c r="F621" s="89"/>
      <c r="G621" s="89"/>
      <c r="H621" s="89"/>
      <c r="I621" s="90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</row>
    <row r="622" hidden="1">
      <c r="A622" s="89"/>
      <c r="B622" s="89"/>
      <c r="C622" s="89"/>
      <c r="D622" s="89"/>
      <c r="E622" s="89"/>
      <c r="F622" s="89"/>
      <c r="G622" s="89"/>
      <c r="H622" s="89"/>
      <c r="I622" s="90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</row>
    <row r="623" hidden="1">
      <c r="A623" s="89"/>
      <c r="B623" s="89"/>
      <c r="C623" s="89"/>
      <c r="D623" s="89"/>
      <c r="E623" s="89"/>
      <c r="F623" s="89"/>
      <c r="G623" s="89"/>
      <c r="H623" s="89"/>
      <c r="I623" s="90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</row>
    <row r="624" hidden="1">
      <c r="A624" s="89"/>
      <c r="B624" s="89"/>
      <c r="C624" s="89"/>
      <c r="D624" s="89"/>
      <c r="E624" s="89"/>
      <c r="F624" s="89"/>
      <c r="G624" s="89"/>
      <c r="H624" s="89"/>
      <c r="I624" s="90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</row>
    <row r="625" hidden="1">
      <c r="A625" s="89"/>
      <c r="B625" s="89"/>
      <c r="C625" s="89"/>
      <c r="D625" s="89"/>
      <c r="E625" s="89"/>
      <c r="F625" s="89"/>
      <c r="G625" s="89"/>
      <c r="H625" s="89"/>
      <c r="I625" s="90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</row>
    <row r="626" hidden="1">
      <c r="A626" s="89"/>
      <c r="B626" s="89"/>
      <c r="C626" s="89"/>
      <c r="D626" s="89"/>
      <c r="E626" s="89"/>
      <c r="F626" s="89"/>
      <c r="G626" s="89"/>
      <c r="H626" s="89"/>
      <c r="I626" s="90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</row>
    <row r="627" hidden="1">
      <c r="A627" s="89"/>
      <c r="B627" s="89"/>
      <c r="C627" s="89"/>
      <c r="D627" s="89"/>
      <c r="E627" s="89"/>
      <c r="F627" s="89"/>
      <c r="G627" s="89"/>
      <c r="H627" s="89"/>
      <c r="I627" s="90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</row>
    <row r="628" hidden="1">
      <c r="A628" s="89"/>
      <c r="B628" s="89"/>
      <c r="C628" s="89"/>
      <c r="D628" s="89"/>
      <c r="E628" s="89"/>
      <c r="F628" s="89"/>
      <c r="G628" s="89"/>
      <c r="H628" s="89"/>
      <c r="I628" s="90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</row>
    <row r="629" hidden="1">
      <c r="A629" s="89"/>
      <c r="B629" s="89"/>
      <c r="C629" s="89"/>
      <c r="D629" s="89"/>
      <c r="E629" s="89"/>
      <c r="F629" s="89"/>
      <c r="G629" s="89"/>
      <c r="H629" s="89"/>
      <c r="I629" s="90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</row>
    <row r="630" hidden="1">
      <c r="A630" s="89"/>
      <c r="B630" s="89"/>
      <c r="C630" s="89"/>
      <c r="D630" s="89"/>
      <c r="E630" s="89"/>
      <c r="F630" s="89"/>
      <c r="G630" s="89"/>
      <c r="H630" s="89"/>
      <c r="I630" s="90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</row>
    <row r="631" hidden="1">
      <c r="A631" s="89"/>
      <c r="B631" s="89"/>
      <c r="C631" s="89"/>
      <c r="D631" s="89"/>
      <c r="E631" s="89"/>
      <c r="F631" s="89"/>
      <c r="G631" s="89"/>
      <c r="H631" s="89"/>
      <c r="I631" s="90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</row>
    <row r="632" hidden="1">
      <c r="A632" s="89"/>
      <c r="B632" s="89"/>
      <c r="C632" s="89"/>
      <c r="D632" s="89"/>
      <c r="E632" s="89"/>
      <c r="F632" s="89"/>
      <c r="G632" s="89"/>
      <c r="H632" s="89"/>
      <c r="I632" s="90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</row>
    <row r="633" hidden="1">
      <c r="A633" s="89"/>
      <c r="B633" s="89"/>
      <c r="C633" s="89"/>
      <c r="D633" s="89"/>
      <c r="E633" s="89"/>
      <c r="F633" s="89"/>
      <c r="G633" s="89"/>
      <c r="H633" s="89"/>
      <c r="I633" s="90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</row>
    <row r="634" hidden="1">
      <c r="A634" s="89"/>
      <c r="B634" s="89"/>
      <c r="C634" s="89"/>
      <c r="D634" s="89"/>
      <c r="E634" s="89"/>
      <c r="F634" s="89"/>
      <c r="G634" s="89"/>
      <c r="H634" s="89"/>
      <c r="I634" s="90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</row>
    <row r="635" hidden="1">
      <c r="A635" s="89"/>
      <c r="B635" s="89"/>
      <c r="C635" s="89"/>
      <c r="D635" s="89"/>
      <c r="E635" s="89"/>
      <c r="F635" s="89"/>
      <c r="G635" s="89"/>
      <c r="H635" s="89"/>
      <c r="I635" s="90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</row>
    <row r="636" hidden="1">
      <c r="A636" s="89"/>
      <c r="B636" s="89"/>
      <c r="C636" s="89"/>
      <c r="D636" s="89"/>
      <c r="E636" s="89"/>
      <c r="F636" s="89"/>
      <c r="G636" s="89"/>
      <c r="H636" s="89"/>
      <c r="I636" s="90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</row>
    <row r="637" hidden="1">
      <c r="A637" s="89"/>
      <c r="B637" s="89"/>
      <c r="C637" s="89"/>
      <c r="D637" s="89"/>
      <c r="E637" s="89"/>
      <c r="F637" s="89"/>
      <c r="G637" s="89"/>
      <c r="H637" s="89"/>
      <c r="I637" s="90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</row>
    <row r="638" hidden="1">
      <c r="A638" s="89"/>
      <c r="B638" s="89"/>
      <c r="C638" s="89"/>
      <c r="D638" s="89"/>
      <c r="E638" s="89"/>
      <c r="F638" s="89"/>
      <c r="G638" s="89"/>
      <c r="H638" s="89"/>
      <c r="I638" s="90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</row>
    <row r="639" hidden="1">
      <c r="A639" s="89"/>
      <c r="B639" s="89"/>
      <c r="C639" s="89"/>
      <c r="D639" s="89"/>
      <c r="E639" s="89"/>
      <c r="F639" s="89"/>
      <c r="G639" s="89"/>
      <c r="H639" s="89"/>
      <c r="I639" s="90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</row>
    <row r="640" hidden="1">
      <c r="A640" s="89"/>
      <c r="B640" s="89"/>
      <c r="C640" s="89"/>
      <c r="D640" s="89"/>
      <c r="E640" s="89"/>
      <c r="F640" s="89"/>
      <c r="G640" s="89"/>
      <c r="H640" s="89"/>
      <c r="I640" s="90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</row>
    <row r="641" hidden="1">
      <c r="A641" s="89"/>
      <c r="B641" s="89"/>
      <c r="C641" s="89"/>
      <c r="D641" s="89"/>
      <c r="E641" s="89"/>
      <c r="F641" s="89"/>
      <c r="G641" s="89"/>
      <c r="H641" s="89"/>
      <c r="I641" s="90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</row>
    <row r="642" hidden="1">
      <c r="A642" s="89"/>
      <c r="B642" s="89"/>
      <c r="C642" s="89"/>
      <c r="D642" s="89"/>
      <c r="E642" s="89"/>
      <c r="F642" s="89"/>
      <c r="G642" s="89"/>
      <c r="H642" s="89"/>
      <c r="I642" s="90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</row>
    <row r="643" hidden="1">
      <c r="A643" s="89"/>
      <c r="B643" s="89"/>
      <c r="C643" s="89"/>
      <c r="D643" s="89"/>
      <c r="E643" s="89"/>
      <c r="F643" s="89"/>
      <c r="G643" s="89"/>
      <c r="H643" s="89"/>
      <c r="I643" s="90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</row>
    <row r="644" hidden="1">
      <c r="A644" s="89"/>
      <c r="B644" s="89"/>
      <c r="C644" s="89"/>
      <c r="D644" s="89"/>
      <c r="E644" s="89"/>
      <c r="F644" s="89"/>
      <c r="G644" s="89"/>
      <c r="H644" s="89"/>
      <c r="I644" s="90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</row>
    <row r="645" hidden="1">
      <c r="A645" s="89"/>
      <c r="B645" s="89"/>
      <c r="C645" s="89"/>
      <c r="D645" s="89"/>
      <c r="E645" s="89"/>
      <c r="F645" s="89"/>
      <c r="G645" s="89"/>
      <c r="H645" s="89"/>
      <c r="I645" s="90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</row>
    <row r="646" hidden="1">
      <c r="A646" s="89"/>
      <c r="B646" s="89"/>
      <c r="C646" s="89"/>
      <c r="D646" s="89"/>
      <c r="E646" s="89"/>
      <c r="F646" s="89"/>
      <c r="G646" s="89"/>
      <c r="H646" s="89"/>
      <c r="I646" s="90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</row>
    <row r="647" hidden="1">
      <c r="A647" s="89"/>
      <c r="B647" s="89"/>
      <c r="C647" s="89"/>
      <c r="D647" s="89"/>
      <c r="E647" s="89"/>
      <c r="F647" s="89"/>
      <c r="G647" s="89"/>
      <c r="H647" s="89"/>
      <c r="I647" s="90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</row>
    <row r="648" hidden="1">
      <c r="A648" s="89"/>
      <c r="B648" s="89"/>
      <c r="C648" s="89"/>
      <c r="D648" s="89"/>
      <c r="E648" s="89"/>
      <c r="F648" s="89"/>
      <c r="G648" s="89"/>
      <c r="H648" s="89"/>
      <c r="I648" s="90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</row>
    <row r="649" hidden="1">
      <c r="A649" s="89"/>
      <c r="B649" s="89"/>
      <c r="C649" s="89"/>
      <c r="D649" s="89"/>
      <c r="E649" s="89"/>
      <c r="F649" s="89"/>
      <c r="G649" s="89"/>
      <c r="H649" s="89"/>
      <c r="I649" s="90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</row>
    <row r="650" hidden="1">
      <c r="A650" s="89"/>
      <c r="B650" s="89"/>
      <c r="C650" s="89"/>
      <c r="D650" s="89"/>
      <c r="E650" s="89"/>
      <c r="F650" s="89"/>
      <c r="G650" s="89"/>
      <c r="H650" s="89"/>
      <c r="I650" s="90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</row>
    <row r="651" hidden="1">
      <c r="A651" s="89"/>
      <c r="B651" s="89"/>
      <c r="C651" s="89"/>
      <c r="D651" s="89"/>
      <c r="E651" s="89"/>
      <c r="F651" s="89"/>
      <c r="G651" s="89"/>
      <c r="H651" s="89"/>
      <c r="I651" s="90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</row>
    <row r="652" hidden="1">
      <c r="A652" s="89"/>
      <c r="B652" s="89"/>
      <c r="C652" s="89"/>
      <c r="D652" s="89"/>
      <c r="E652" s="89"/>
      <c r="F652" s="89"/>
      <c r="G652" s="89"/>
      <c r="H652" s="89"/>
      <c r="I652" s="90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</row>
    <row r="653" hidden="1">
      <c r="A653" s="89"/>
      <c r="B653" s="89"/>
      <c r="C653" s="89"/>
      <c r="D653" s="89"/>
      <c r="E653" s="89"/>
      <c r="F653" s="89"/>
      <c r="G653" s="89"/>
      <c r="H653" s="89"/>
      <c r="I653" s="90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</row>
    <row r="654" hidden="1">
      <c r="A654" s="89"/>
      <c r="B654" s="89"/>
      <c r="C654" s="89"/>
      <c r="D654" s="89"/>
      <c r="E654" s="89"/>
      <c r="F654" s="89"/>
      <c r="G654" s="89"/>
      <c r="H654" s="89"/>
      <c r="I654" s="90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</row>
    <row r="655" hidden="1">
      <c r="A655" s="89"/>
      <c r="B655" s="89"/>
      <c r="C655" s="89"/>
      <c r="D655" s="89"/>
      <c r="E655" s="89"/>
      <c r="F655" s="89"/>
      <c r="G655" s="89"/>
      <c r="H655" s="89"/>
      <c r="I655" s="90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</row>
    <row r="656" hidden="1">
      <c r="A656" s="89"/>
      <c r="B656" s="89"/>
      <c r="C656" s="89"/>
      <c r="D656" s="89"/>
      <c r="E656" s="89"/>
      <c r="F656" s="89"/>
      <c r="G656" s="89"/>
      <c r="H656" s="89"/>
      <c r="I656" s="90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</row>
    <row r="657" hidden="1">
      <c r="A657" s="89"/>
      <c r="B657" s="89"/>
      <c r="C657" s="89"/>
      <c r="D657" s="89"/>
      <c r="E657" s="89"/>
      <c r="F657" s="89"/>
      <c r="G657" s="89"/>
      <c r="H657" s="89"/>
      <c r="I657" s="90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</row>
    <row r="658" hidden="1">
      <c r="A658" s="89"/>
      <c r="B658" s="89"/>
      <c r="C658" s="89"/>
      <c r="D658" s="89"/>
      <c r="E658" s="89"/>
      <c r="F658" s="89"/>
      <c r="G658" s="89"/>
      <c r="H658" s="89"/>
      <c r="I658" s="90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</row>
    <row r="659" hidden="1">
      <c r="A659" s="89"/>
      <c r="B659" s="89"/>
      <c r="C659" s="89"/>
      <c r="D659" s="89"/>
      <c r="E659" s="89"/>
      <c r="F659" s="89"/>
      <c r="G659" s="89"/>
      <c r="H659" s="89"/>
      <c r="I659" s="90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</row>
    <row r="660" hidden="1">
      <c r="A660" s="89"/>
      <c r="B660" s="89"/>
      <c r="C660" s="89"/>
      <c r="D660" s="89"/>
      <c r="E660" s="89"/>
      <c r="F660" s="89"/>
      <c r="G660" s="89"/>
      <c r="H660" s="89"/>
      <c r="I660" s="90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</row>
    <row r="661" hidden="1">
      <c r="A661" s="89"/>
      <c r="B661" s="89"/>
      <c r="C661" s="89"/>
      <c r="D661" s="89"/>
      <c r="E661" s="89"/>
      <c r="F661" s="89"/>
      <c r="G661" s="89"/>
      <c r="H661" s="89"/>
      <c r="I661" s="90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</row>
    <row r="662" hidden="1">
      <c r="A662" s="89"/>
      <c r="B662" s="89"/>
      <c r="C662" s="89"/>
      <c r="D662" s="89"/>
      <c r="E662" s="89"/>
      <c r="F662" s="89"/>
      <c r="G662" s="89"/>
      <c r="H662" s="89"/>
      <c r="I662" s="90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</row>
    <row r="663" hidden="1">
      <c r="A663" s="89"/>
      <c r="B663" s="89"/>
      <c r="C663" s="89"/>
      <c r="D663" s="89"/>
      <c r="E663" s="89"/>
      <c r="F663" s="89"/>
      <c r="G663" s="89"/>
      <c r="H663" s="89"/>
      <c r="I663" s="90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</row>
    <row r="664" hidden="1">
      <c r="A664" s="89"/>
      <c r="B664" s="89"/>
      <c r="C664" s="89"/>
      <c r="D664" s="89"/>
      <c r="E664" s="89"/>
      <c r="F664" s="89"/>
      <c r="G664" s="89"/>
      <c r="H664" s="89"/>
      <c r="I664" s="90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</row>
    <row r="665" hidden="1">
      <c r="A665" s="89"/>
      <c r="B665" s="89"/>
      <c r="C665" s="89"/>
      <c r="D665" s="89"/>
      <c r="E665" s="89"/>
      <c r="F665" s="89"/>
      <c r="G665" s="89"/>
      <c r="H665" s="89"/>
      <c r="I665" s="90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</row>
    <row r="666" hidden="1">
      <c r="A666" s="89"/>
      <c r="B666" s="89"/>
      <c r="C666" s="89"/>
      <c r="D666" s="89"/>
      <c r="E666" s="89"/>
      <c r="F666" s="89"/>
      <c r="G666" s="89"/>
      <c r="H666" s="89"/>
      <c r="I666" s="90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</row>
    <row r="667" hidden="1">
      <c r="A667" s="89"/>
      <c r="B667" s="89"/>
      <c r="C667" s="89"/>
      <c r="D667" s="89"/>
      <c r="E667" s="89"/>
      <c r="F667" s="89"/>
      <c r="G667" s="89"/>
      <c r="H667" s="89"/>
      <c r="I667" s="90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</row>
    <row r="668" hidden="1">
      <c r="A668" s="89"/>
      <c r="B668" s="89"/>
      <c r="C668" s="89"/>
      <c r="D668" s="89"/>
      <c r="E668" s="89"/>
      <c r="F668" s="89"/>
      <c r="G668" s="89"/>
      <c r="H668" s="89"/>
      <c r="I668" s="90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</row>
    <row r="669" hidden="1">
      <c r="A669" s="89"/>
      <c r="B669" s="89"/>
      <c r="C669" s="89"/>
      <c r="D669" s="89"/>
      <c r="E669" s="89"/>
      <c r="F669" s="89"/>
      <c r="G669" s="89"/>
      <c r="H669" s="89"/>
      <c r="I669" s="90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</row>
    <row r="670" hidden="1">
      <c r="A670" s="89"/>
      <c r="B670" s="89"/>
      <c r="C670" s="89"/>
      <c r="D670" s="89"/>
      <c r="E670" s="89"/>
      <c r="F670" s="89"/>
      <c r="G670" s="89"/>
      <c r="H670" s="89"/>
      <c r="I670" s="90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</row>
    <row r="671" hidden="1">
      <c r="A671" s="89"/>
      <c r="B671" s="89"/>
      <c r="C671" s="89"/>
      <c r="D671" s="89"/>
      <c r="E671" s="89"/>
      <c r="F671" s="89"/>
      <c r="G671" s="89"/>
      <c r="H671" s="89"/>
      <c r="I671" s="90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</row>
    <row r="672" hidden="1">
      <c r="A672" s="89"/>
      <c r="B672" s="89"/>
      <c r="C672" s="89"/>
      <c r="D672" s="89"/>
      <c r="E672" s="89"/>
      <c r="F672" s="89"/>
      <c r="G672" s="89"/>
      <c r="H672" s="89"/>
      <c r="I672" s="90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</row>
    <row r="673" hidden="1">
      <c r="A673" s="89"/>
      <c r="B673" s="89"/>
      <c r="C673" s="89"/>
      <c r="D673" s="89"/>
      <c r="E673" s="89"/>
      <c r="F673" s="89"/>
      <c r="G673" s="89"/>
      <c r="H673" s="89"/>
      <c r="I673" s="90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</row>
    <row r="674" hidden="1">
      <c r="A674" s="89"/>
      <c r="B674" s="89"/>
      <c r="C674" s="89"/>
      <c r="D674" s="89"/>
      <c r="E674" s="89"/>
      <c r="F674" s="89"/>
      <c r="G674" s="89"/>
      <c r="H674" s="89"/>
      <c r="I674" s="90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</row>
    <row r="675" hidden="1">
      <c r="A675" s="89"/>
      <c r="B675" s="89"/>
      <c r="C675" s="89"/>
      <c r="D675" s="89"/>
      <c r="E675" s="89"/>
      <c r="F675" s="89"/>
      <c r="G675" s="89"/>
      <c r="H675" s="89"/>
      <c r="I675" s="90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</row>
    <row r="676" hidden="1">
      <c r="A676" s="89"/>
      <c r="B676" s="89"/>
      <c r="C676" s="89"/>
      <c r="D676" s="89"/>
      <c r="E676" s="89"/>
      <c r="F676" s="89"/>
      <c r="G676" s="89"/>
      <c r="H676" s="89"/>
      <c r="I676" s="90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</row>
    <row r="677" hidden="1">
      <c r="A677" s="89"/>
      <c r="B677" s="89"/>
      <c r="C677" s="89"/>
      <c r="D677" s="89"/>
      <c r="E677" s="89"/>
      <c r="F677" s="89"/>
      <c r="G677" s="89"/>
      <c r="H677" s="89"/>
      <c r="I677" s="90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</row>
    <row r="678" hidden="1">
      <c r="A678" s="89"/>
      <c r="B678" s="89"/>
      <c r="C678" s="89"/>
      <c r="D678" s="89"/>
      <c r="E678" s="89"/>
      <c r="F678" s="89"/>
      <c r="G678" s="89"/>
      <c r="H678" s="89"/>
      <c r="I678" s="90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</row>
    <row r="679" hidden="1">
      <c r="A679" s="89"/>
      <c r="B679" s="89"/>
      <c r="C679" s="89"/>
      <c r="D679" s="89"/>
      <c r="E679" s="89"/>
      <c r="F679" s="89"/>
      <c r="G679" s="89"/>
      <c r="H679" s="89"/>
      <c r="I679" s="90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</row>
    <row r="680" hidden="1">
      <c r="A680" s="89"/>
      <c r="B680" s="89"/>
      <c r="C680" s="89"/>
      <c r="D680" s="89"/>
      <c r="E680" s="89"/>
      <c r="F680" s="89"/>
      <c r="G680" s="89"/>
      <c r="H680" s="89"/>
      <c r="I680" s="90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</row>
    <row r="681" hidden="1">
      <c r="A681" s="89"/>
      <c r="B681" s="89"/>
      <c r="C681" s="89"/>
      <c r="D681" s="89"/>
      <c r="E681" s="89"/>
      <c r="F681" s="89"/>
      <c r="G681" s="89"/>
      <c r="H681" s="89"/>
      <c r="I681" s="90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</row>
    <row r="682" hidden="1">
      <c r="A682" s="89"/>
      <c r="B682" s="89"/>
      <c r="C682" s="89"/>
      <c r="D682" s="89"/>
      <c r="E682" s="89"/>
      <c r="F682" s="89"/>
      <c r="G682" s="89"/>
      <c r="H682" s="89"/>
      <c r="I682" s="90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</row>
    <row r="683" hidden="1">
      <c r="A683" s="89"/>
      <c r="B683" s="89"/>
      <c r="C683" s="89"/>
      <c r="D683" s="89"/>
      <c r="E683" s="89"/>
      <c r="F683" s="89"/>
      <c r="G683" s="89"/>
      <c r="H683" s="89"/>
      <c r="I683" s="90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</row>
    <row r="684" hidden="1">
      <c r="A684" s="89"/>
      <c r="B684" s="89"/>
      <c r="C684" s="89"/>
      <c r="D684" s="89"/>
      <c r="E684" s="89"/>
      <c r="F684" s="89"/>
      <c r="G684" s="89"/>
      <c r="H684" s="89"/>
      <c r="I684" s="90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</row>
    <row r="685" hidden="1">
      <c r="A685" s="89"/>
      <c r="B685" s="89"/>
      <c r="C685" s="89"/>
      <c r="D685" s="89"/>
      <c r="E685" s="89"/>
      <c r="F685" s="89"/>
      <c r="G685" s="89"/>
      <c r="H685" s="89"/>
      <c r="I685" s="90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</row>
    <row r="686" hidden="1">
      <c r="A686" s="89"/>
      <c r="B686" s="89"/>
      <c r="C686" s="89"/>
      <c r="D686" s="89"/>
      <c r="E686" s="89"/>
      <c r="F686" s="89"/>
      <c r="G686" s="89"/>
      <c r="H686" s="89"/>
      <c r="I686" s="90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</row>
    <row r="687" hidden="1">
      <c r="A687" s="89"/>
      <c r="B687" s="89"/>
      <c r="C687" s="89"/>
      <c r="D687" s="89"/>
      <c r="E687" s="89"/>
      <c r="F687" s="89"/>
      <c r="G687" s="89"/>
      <c r="H687" s="89"/>
      <c r="I687" s="90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</row>
    <row r="688" hidden="1">
      <c r="A688" s="89"/>
      <c r="B688" s="89"/>
      <c r="C688" s="89"/>
      <c r="D688" s="89"/>
      <c r="E688" s="89"/>
      <c r="F688" s="89"/>
      <c r="G688" s="89"/>
      <c r="H688" s="89"/>
      <c r="I688" s="90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</row>
    <row r="689" hidden="1">
      <c r="A689" s="89"/>
      <c r="B689" s="89"/>
      <c r="C689" s="89"/>
      <c r="D689" s="89"/>
      <c r="E689" s="89"/>
      <c r="F689" s="89"/>
      <c r="G689" s="89"/>
      <c r="H689" s="89"/>
      <c r="I689" s="90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</row>
    <row r="690" hidden="1">
      <c r="A690" s="89"/>
      <c r="B690" s="89"/>
      <c r="C690" s="89"/>
      <c r="D690" s="89"/>
      <c r="E690" s="89"/>
      <c r="F690" s="89"/>
      <c r="G690" s="89"/>
      <c r="H690" s="89"/>
      <c r="I690" s="90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</row>
    <row r="691" hidden="1">
      <c r="A691" s="89"/>
      <c r="B691" s="89"/>
      <c r="C691" s="89"/>
      <c r="D691" s="89"/>
      <c r="E691" s="89"/>
      <c r="F691" s="89"/>
      <c r="G691" s="89"/>
      <c r="H691" s="89"/>
      <c r="I691" s="90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</row>
    <row r="692" hidden="1">
      <c r="A692" s="89"/>
      <c r="B692" s="89"/>
      <c r="C692" s="89"/>
      <c r="D692" s="89"/>
      <c r="E692" s="89"/>
      <c r="F692" s="89"/>
      <c r="G692" s="89"/>
      <c r="H692" s="89"/>
      <c r="I692" s="90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</row>
    <row r="693" hidden="1">
      <c r="A693" s="89"/>
      <c r="B693" s="89"/>
      <c r="C693" s="89"/>
      <c r="D693" s="89"/>
      <c r="E693" s="89"/>
      <c r="F693" s="89"/>
      <c r="G693" s="89"/>
      <c r="H693" s="89"/>
      <c r="I693" s="90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</row>
    <row r="694" hidden="1">
      <c r="A694" s="89"/>
      <c r="B694" s="89"/>
      <c r="C694" s="89"/>
      <c r="D694" s="89"/>
      <c r="E694" s="89"/>
      <c r="F694" s="89"/>
      <c r="G694" s="89"/>
      <c r="H694" s="89"/>
      <c r="I694" s="90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</row>
    <row r="695" hidden="1">
      <c r="A695" s="89"/>
      <c r="B695" s="89"/>
      <c r="C695" s="89"/>
      <c r="D695" s="89"/>
      <c r="E695" s="89"/>
      <c r="F695" s="89"/>
      <c r="G695" s="89"/>
      <c r="H695" s="89"/>
      <c r="I695" s="90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</row>
    <row r="696" hidden="1">
      <c r="A696" s="89"/>
      <c r="B696" s="89"/>
      <c r="C696" s="89"/>
      <c r="D696" s="89"/>
      <c r="E696" s="89"/>
      <c r="F696" s="89"/>
      <c r="G696" s="89"/>
      <c r="H696" s="89"/>
      <c r="I696" s="90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</row>
    <row r="697" hidden="1">
      <c r="A697" s="89"/>
      <c r="B697" s="89"/>
      <c r="C697" s="89"/>
      <c r="D697" s="89"/>
      <c r="E697" s="89"/>
      <c r="F697" s="89"/>
      <c r="G697" s="89"/>
      <c r="H697" s="89"/>
      <c r="I697" s="90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</row>
    <row r="698" hidden="1">
      <c r="A698" s="89"/>
      <c r="B698" s="89"/>
      <c r="C698" s="89"/>
      <c r="D698" s="89"/>
      <c r="E698" s="89"/>
      <c r="F698" s="89"/>
      <c r="G698" s="89"/>
      <c r="H698" s="89"/>
      <c r="I698" s="90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</row>
    <row r="699" hidden="1">
      <c r="A699" s="89"/>
      <c r="B699" s="89"/>
      <c r="C699" s="89"/>
      <c r="D699" s="89"/>
      <c r="E699" s="89"/>
      <c r="F699" s="89"/>
      <c r="G699" s="89"/>
      <c r="H699" s="89"/>
      <c r="I699" s="90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</row>
    <row r="700" hidden="1">
      <c r="A700" s="89"/>
      <c r="B700" s="89"/>
      <c r="C700" s="89"/>
      <c r="D700" s="89"/>
      <c r="E700" s="89"/>
      <c r="F700" s="89"/>
      <c r="G700" s="89"/>
      <c r="H700" s="89"/>
      <c r="I700" s="90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</row>
    <row r="701" hidden="1">
      <c r="A701" s="89"/>
      <c r="B701" s="89"/>
      <c r="C701" s="89"/>
      <c r="D701" s="89"/>
      <c r="E701" s="89"/>
      <c r="F701" s="89"/>
      <c r="G701" s="89"/>
      <c r="H701" s="89"/>
      <c r="I701" s="90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</row>
    <row r="702" hidden="1">
      <c r="A702" s="89"/>
      <c r="B702" s="89"/>
      <c r="C702" s="89"/>
      <c r="D702" s="89"/>
      <c r="E702" s="89"/>
      <c r="F702" s="89"/>
      <c r="G702" s="89"/>
      <c r="H702" s="89"/>
      <c r="I702" s="90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</row>
    <row r="703" hidden="1">
      <c r="A703" s="89"/>
      <c r="B703" s="89"/>
      <c r="C703" s="89"/>
      <c r="D703" s="89"/>
      <c r="E703" s="89"/>
      <c r="F703" s="89"/>
      <c r="G703" s="89"/>
      <c r="H703" s="89"/>
      <c r="I703" s="90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</row>
    <row r="704" hidden="1">
      <c r="A704" s="89"/>
      <c r="B704" s="89"/>
      <c r="C704" s="89"/>
      <c r="D704" s="89"/>
      <c r="E704" s="89"/>
      <c r="F704" s="89"/>
      <c r="G704" s="89"/>
      <c r="H704" s="89"/>
      <c r="I704" s="90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</row>
    <row r="705" hidden="1">
      <c r="A705" s="89"/>
      <c r="B705" s="89"/>
      <c r="C705" s="89"/>
      <c r="D705" s="89"/>
      <c r="E705" s="89"/>
      <c r="F705" s="89"/>
      <c r="G705" s="89"/>
      <c r="H705" s="89"/>
      <c r="I705" s="90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</row>
    <row r="706" hidden="1">
      <c r="A706" s="89"/>
      <c r="B706" s="89"/>
      <c r="C706" s="89"/>
      <c r="D706" s="89"/>
      <c r="E706" s="89"/>
      <c r="F706" s="89"/>
      <c r="G706" s="89"/>
      <c r="H706" s="89"/>
      <c r="I706" s="90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</row>
    <row r="707" hidden="1">
      <c r="A707" s="89"/>
      <c r="B707" s="89"/>
      <c r="C707" s="89"/>
      <c r="D707" s="89"/>
      <c r="E707" s="89"/>
      <c r="F707" s="89"/>
      <c r="G707" s="89"/>
      <c r="H707" s="89"/>
      <c r="I707" s="90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</row>
    <row r="708" hidden="1">
      <c r="A708" s="89"/>
      <c r="B708" s="89"/>
      <c r="C708" s="89"/>
      <c r="D708" s="89"/>
      <c r="E708" s="89"/>
      <c r="F708" s="89"/>
      <c r="G708" s="89"/>
      <c r="H708" s="89"/>
      <c r="I708" s="90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</row>
    <row r="709" hidden="1">
      <c r="A709" s="89"/>
      <c r="B709" s="89"/>
      <c r="C709" s="89"/>
      <c r="D709" s="89"/>
      <c r="E709" s="89"/>
      <c r="F709" s="89"/>
      <c r="G709" s="89"/>
      <c r="H709" s="89"/>
      <c r="I709" s="90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</row>
    <row r="710" hidden="1">
      <c r="A710" s="89"/>
      <c r="B710" s="89"/>
      <c r="C710" s="89"/>
      <c r="D710" s="89"/>
      <c r="E710" s="89"/>
      <c r="F710" s="89"/>
      <c r="G710" s="89"/>
      <c r="H710" s="89"/>
      <c r="I710" s="90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</row>
    <row r="711" hidden="1">
      <c r="A711" s="89"/>
      <c r="B711" s="89"/>
      <c r="C711" s="89"/>
      <c r="D711" s="89"/>
      <c r="E711" s="89"/>
      <c r="F711" s="89"/>
      <c r="G711" s="89"/>
      <c r="H711" s="89"/>
      <c r="I711" s="90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</row>
    <row r="712" hidden="1">
      <c r="A712" s="89"/>
      <c r="B712" s="89"/>
      <c r="C712" s="89"/>
      <c r="D712" s="89"/>
      <c r="E712" s="89"/>
      <c r="F712" s="89"/>
      <c r="G712" s="89"/>
      <c r="H712" s="89"/>
      <c r="I712" s="90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</row>
    <row r="713" hidden="1">
      <c r="A713" s="89"/>
      <c r="B713" s="89"/>
      <c r="C713" s="89"/>
      <c r="D713" s="89"/>
      <c r="E713" s="89"/>
      <c r="F713" s="89"/>
      <c r="G713" s="89"/>
      <c r="H713" s="89"/>
      <c r="I713" s="90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</row>
    <row r="714" hidden="1">
      <c r="A714" s="89"/>
      <c r="B714" s="89"/>
      <c r="C714" s="89"/>
      <c r="D714" s="89"/>
      <c r="E714" s="89"/>
      <c r="F714" s="89"/>
      <c r="G714" s="89"/>
      <c r="H714" s="89"/>
      <c r="I714" s="90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</row>
    <row r="715" hidden="1">
      <c r="A715" s="89"/>
      <c r="B715" s="89"/>
      <c r="C715" s="89"/>
      <c r="D715" s="89"/>
      <c r="E715" s="89"/>
      <c r="F715" s="89"/>
      <c r="G715" s="89"/>
      <c r="H715" s="89"/>
      <c r="I715" s="90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</row>
    <row r="716" hidden="1">
      <c r="A716" s="89"/>
      <c r="B716" s="89"/>
      <c r="C716" s="89"/>
      <c r="D716" s="89"/>
      <c r="E716" s="89"/>
      <c r="F716" s="89"/>
      <c r="G716" s="89"/>
      <c r="H716" s="89"/>
      <c r="I716" s="90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</row>
    <row r="717" hidden="1">
      <c r="A717" s="89"/>
      <c r="B717" s="89"/>
      <c r="C717" s="89"/>
      <c r="D717" s="89"/>
      <c r="E717" s="89"/>
      <c r="F717" s="89"/>
      <c r="G717" s="89"/>
      <c r="H717" s="89"/>
      <c r="I717" s="90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</row>
    <row r="718" hidden="1">
      <c r="A718" s="89"/>
      <c r="B718" s="89"/>
      <c r="C718" s="89"/>
      <c r="D718" s="89"/>
      <c r="E718" s="89"/>
      <c r="F718" s="89"/>
      <c r="G718" s="89"/>
      <c r="H718" s="89"/>
      <c r="I718" s="90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</row>
    <row r="719" hidden="1">
      <c r="A719" s="89"/>
      <c r="B719" s="89"/>
      <c r="C719" s="89"/>
      <c r="D719" s="89"/>
      <c r="E719" s="89"/>
      <c r="F719" s="89"/>
      <c r="G719" s="89"/>
      <c r="H719" s="89"/>
      <c r="I719" s="90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</row>
    <row r="720" hidden="1">
      <c r="A720" s="89"/>
      <c r="B720" s="89"/>
      <c r="C720" s="89"/>
      <c r="D720" s="89"/>
      <c r="E720" s="89"/>
      <c r="F720" s="89"/>
      <c r="G720" s="89"/>
      <c r="H720" s="89"/>
      <c r="I720" s="90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</row>
    <row r="721" hidden="1">
      <c r="A721" s="89"/>
      <c r="B721" s="89"/>
      <c r="C721" s="89"/>
      <c r="D721" s="89"/>
      <c r="E721" s="89"/>
      <c r="F721" s="89"/>
      <c r="G721" s="89"/>
      <c r="H721" s="89"/>
      <c r="I721" s="90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</row>
    <row r="722" hidden="1">
      <c r="A722" s="89"/>
      <c r="B722" s="89"/>
      <c r="C722" s="89"/>
      <c r="D722" s="89"/>
      <c r="E722" s="89"/>
      <c r="F722" s="89"/>
      <c r="G722" s="89"/>
      <c r="H722" s="89"/>
      <c r="I722" s="90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</row>
    <row r="723" hidden="1">
      <c r="A723" s="89"/>
      <c r="B723" s="89"/>
      <c r="C723" s="89"/>
      <c r="D723" s="89"/>
      <c r="E723" s="89"/>
      <c r="F723" s="89"/>
      <c r="G723" s="89"/>
      <c r="H723" s="89"/>
      <c r="I723" s="90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</row>
    <row r="724" hidden="1">
      <c r="A724" s="89"/>
      <c r="B724" s="89"/>
      <c r="C724" s="89"/>
      <c r="D724" s="89"/>
      <c r="E724" s="89"/>
      <c r="F724" s="89"/>
      <c r="G724" s="89"/>
      <c r="H724" s="89"/>
      <c r="I724" s="90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</row>
    <row r="725" hidden="1">
      <c r="A725" s="89"/>
      <c r="B725" s="89"/>
      <c r="C725" s="89"/>
      <c r="D725" s="89"/>
      <c r="E725" s="89"/>
      <c r="F725" s="89"/>
      <c r="G725" s="89"/>
      <c r="H725" s="89"/>
      <c r="I725" s="90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</row>
    <row r="726" hidden="1">
      <c r="A726" s="89"/>
      <c r="B726" s="89"/>
      <c r="C726" s="89"/>
      <c r="D726" s="89"/>
      <c r="E726" s="89"/>
      <c r="F726" s="89"/>
      <c r="G726" s="89"/>
      <c r="H726" s="89"/>
      <c r="I726" s="90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</row>
    <row r="727" hidden="1">
      <c r="A727" s="89"/>
      <c r="B727" s="89"/>
      <c r="C727" s="89"/>
      <c r="D727" s="89"/>
      <c r="E727" s="89"/>
      <c r="F727" s="89"/>
      <c r="G727" s="89"/>
      <c r="H727" s="89"/>
      <c r="I727" s="90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</row>
    <row r="728" hidden="1">
      <c r="A728" s="89"/>
      <c r="B728" s="89"/>
      <c r="C728" s="89"/>
      <c r="D728" s="89"/>
      <c r="E728" s="89"/>
      <c r="F728" s="89"/>
      <c r="G728" s="89"/>
      <c r="H728" s="89"/>
      <c r="I728" s="90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</row>
    <row r="729" hidden="1">
      <c r="A729" s="89"/>
      <c r="B729" s="89"/>
      <c r="C729" s="89"/>
      <c r="D729" s="89"/>
      <c r="E729" s="89"/>
      <c r="F729" s="89"/>
      <c r="G729" s="89"/>
      <c r="H729" s="89"/>
      <c r="I729" s="90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</row>
    <row r="730" hidden="1">
      <c r="A730" s="89"/>
      <c r="B730" s="89"/>
      <c r="C730" s="89"/>
      <c r="D730" s="89"/>
      <c r="E730" s="89"/>
      <c r="F730" s="89"/>
      <c r="G730" s="89"/>
      <c r="H730" s="89"/>
      <c r="I730" s="90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</row>
    <row r="731" hidden="1">
      <c r="A731" s="89"/>
      <c r="B731" s="89"/>
      <c r="C731" s="89"/>
      <c r="D731" s="89"/>
      <c r="E731" s="89"/>
      <c r="F731" s="89"/>
      <c r="G731" s="89"/>
      <c r="H731" s="89"/>
      <c r="I731" s="90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</row>
    <row r="732" hidden="1">
      <c r="A732" s="89"/>
      <c r="B732" s="89"/>
      <c r="C732" s="89"/>
      <c r="D732" s="89"/>
      <c r="E732" s="89"/>
      <c r="F732" s="89"/>
      <c r="G732" s="89"/>
      <c r="H732" s="89"/>
      <c r="I732" s="90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</row>
    <row r="733" hidden="1">
      <c r="A733" s="89"/>
      <c r="B733" s="89"/>
      <c r="C733" s="89"/>
      <c r="D733" s="89"/>
      <c r="E733" s="89"/>
      <c r="F733" s="89"/>
      <c r="G733" s="89"/>
      <c r="H733" s="89"/>
      <c r="I733" s="90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</row>
    <row r="734" hidden="1">
      <c r="A734" s="89"/>
      <c r="B734" s="89"/>
      <c r="C734" s="89"/>
      <c r="D734" s="89"/>
      <c r="E734" s="89"/>
      <c r="F734" s="89"/>
      <c r="G734" s="89"/>
      <c r="H734" s="89"/>
      <c r="I734" s="90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</row>
    <row r="735" hidden="1">
      <c r="A735" s="89"/>
      <c r="B735" s="89"/>
      <c r="C735" s="89"/>
      <c r="D735" s="89"/>
      <c r="E735" s="89"/>
      <c r="F735" s="89"/>
      <c r="G735" s="89"/>
      <c r="H735" s="89"/>
      <c r="I735" s="90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</row>
    <row r="736" hidden="1">
      <c r="A736" s="89"/>
      <c r="B736" s="89"/>
      <c r="C736" s="89"/>
      <c r="D736" s="89"/>
      <c r="E736" s="89"/>
      <c r="F736" s="89"/>
      <c r="G736" s="89"/>
      <c r="H736" s="89"/>
      <c r="I736" s="90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</row>
    <row r="737" hidden="1">
      <c r="A737" s="89"/>
      <c r="B737" s="89"/>
      <c r="C737" s="89"/>
      <c r="D737" s="89"/>
      <c r="E737" s="89"/>
      <c r="F737" s="89"/>
      <c r="G737" s="89"/>
      <c r="H737" s="89"/>
      <c r="I737" s="90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</row>
    <row r="738" hidden="1">
      <c r="A738" s="89"/>
      <c r="B738" s="89"/>
      <c r="C738" s="89"/>
      <c r="D738" s="89"/>
      <c r="E738" s="89"/>
      <c r="F738" s="89"/>
      <c r="G738" s="89"/>
      <c r="H738" s="89"/>
      <c r="I738" s="90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</row>
    <row r="739" hidden="1">
      <c r="A739" s="89"/>
      <c r="B739" s="89"/>
      <c r="C739" s="89"/>
      <c r="D739" s="89"/>
      <c r="E739" s="89"/>
      <c r="F739" s="89"/>
      <c r="G739" s="89"/>
      <c r="H739" s="89"/>
      <c r="I739" s="90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</row>
    <row r="740" hidden="1">
      <c r="A740" s="89"/>
      <c r="B740" s="89"/>
      <c r="C740" s="89"/>
      <c r="D740" s="89"/>
      <c r="E740" s="89"/>
      <c r="F740" s="89"/>
      <c r="G740" s="89"/>
      <c r="H740" s="89"/>
      <c r="I740" s="90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</row>
    <row r="741" hidden="1">
      <c r="A741" s="89"/>
      <c r="B741" s="89"/>
      <c r="C741" s="89"/>
      <c r="D741" s="89"/>
      <c r="E741" s="89"/>
      <c r="F741" s="89"/>
      <c r="G741" s="89"/>
      <c r="H741" s="89"/>
      <c r="I741" s="90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</row>
    <row r="742" hidden="1">
      <c r="A742" s="89"/>
      <c r="B742" s="89"/>
      <c r="C742" s="89"/>
      <c r="D742" s="89"/>
      <c r="E742" s="89"/>
      <c r="F742" s="89"/>
      <c r="G742" s="89"/>
      <c r="H742" s="89"/>
      <c r="I742" s="90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</row>
    <row r="743" hidden="1">
      <c r="A743" s="89"/>
      <c r="B743" s="89"/>
      <c r="C743" s="89"/>
      <c r="D743" s="89"/>
      <c r="E743" s="89"/>
      <c r="F743" s="89"/>
      <c r="G743" s="89"/>
      <c r="H743" s="89"/>
      <c r="I743" s="90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</row>
    <row r="744" hidden="1">
      <c r="A744" s="89"/>
      <c r="B744" s="89"/>
      <c r="C744" s="89"/>
      <c r="D744" s="89"/>
      <c r="E744" s="89"/>
      <c r="F744" s="89"/>
      <c r="G744" s="89"/>
      <c r="H744" s="89"/>
      <c r="I744" s="90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</row>
    <row r="745" hidden="1">
      <c r="A745" s="89"/>
      <c r="B745" s="89"/>
      <c r="C745" s="89"/>
      <c r="D745" s="89"/>
      <c r="E745" s="89"/>
      <c r="F745" s="89"/>
      <c r="G745" s="89"/>
      <c r="H745" s="89"/>
      <c r="I745" s="90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</row>
    <row r="746" hidden="1">
      <c r="A746" s="89"/>
      <c r="B746" s="89"/>
      <c r="C746" s="89"/>
      <c r="D746" s="89"/>
      <c r="E746" s="89"/>
      <c r="F746" s="89"/>
      <c r="G746" s="89"/>
      <c r="H746" s="89"/>
      <c r="I746" s="90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</row>
    <row r="747" hidden="1">
      <c r="A747" s="89"/>
      <c r="B747" s="89"/>
      <c r="C747" s="89"/>
      <c r="D747" s="89"/>
      <c r="E747" s="89"/>
      <c r="F747" s="89"/>
      <c r="G747" s="89"/>
      <c r="H747" s="89"/>
      <c r="I747" s="90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</row>
    <row r="748" hidden="1">
      <c r="A748" s="89"/>
      <c r="B748" s="89"/>
      <c r="C748" s="89"/>
      <c r="D748" s="89"/>
      <c r="E748" s="89"/>
      <c r="F748" s="89"/>
      <c r="G748" s="89"/>
      <c r="H748" s="89"/>
      <c r="I748" s="90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</row>
    <row r="749" hidden="1">
      <c r="A749" s="89"/>
      <c r="B749" s="89"/>
      <c r="C749" s="89"/>
      <c r="D749" s="89"/>
      <c r="E749" s="89"/>
      <c r="F749" s="89"/>
      <c r="G749" s="89"/>
      <c r="H749" s="89"/>
      <c r="I749" s="90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</row>
    <row r="750" hidden="1">
      <c r="A750" s="89"/>
      <c r="B750" s="89"/>
      <c r="C750" s="89"/>
      <c r="D750" s="89"/>
      <c r="E750" s="89"/>
      <c r="F750" s="89"/>
      <c r="G750" s="89"/>
      <c r="H750" s="89"/>
      <c r="I750" s="90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</row>
    <row r="751" hidden="1">
      <c r="A751" s="89"/>
      <c r="B751" s="89"/>
      <c r="C751" s="89"/>
      <c r="D751" s="89"/>
      <c r="E751" s="89"/>
      <c r="F751" s="89"/>
      <c r="G751" s="89"/>
      <c r="H751" s="89"/>
      <c r="I751" s="90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</row>
    <row r="752" hidden="1">
      <c r="A752" s="89"/>
      <c r="B752" s="89"/>
      <c r="C752" s="89"/>
      <c r="D752" s="89"/>
      <c r="E752" s="89"/>
      <c r="F752" s="89"/>
      <c r="G752" s="89"/>
      <c r="H752" s="89"/>
      <c r="I752" s="90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</row>
    <row r="753" hidden="1">
      <c r="A753" s="89"/>
      <c r="B753" s="89"/>
      <c r="C753" s="89"/>
      <c r="D753" s="89"/>
      <c r="E753" s="89"/>
      <c r="F753" s="89"/>
      <c r="G753" s="89"/>
      <c r="H753" s="89"/>
      <c r="I753" s="90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</row>
    <row r="754" hidden="1">
      <c r="A754" s="89"/>
      <c r="B754" s="89"/>
      <c r="C754" s="89"/>
      <c r="D754" s="89"/>
      <c r="E754" s="89"/>
      <c r="F754" s="89"/>
      <c r="G754" s="89"/>
      <c r="H754" s="89"/>
      <c r="I754" s="90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</row>
    <row r="755" hidden="1">
      <c r="A755" s="89"/>
      <c r="B755" s="89"/>
      <c r="C755" s="89"/>
      <c r="D755" s="89"/>
      <c r="E755" s="89"/>
      <c r="F755" s="89"/>
      <c r="G755" s="89"/>
      <c r="H755" s="89"/>
      <c r="I755" s="90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</row>
    <row r="756" hidden="1">
      <c r="A756" s="89"/>
      <c r="B756" s="89"/>
      <c r="C756" s="89"/>
      <c r="D756" s="89"/>
      <c r="E756" s="89"/>
      <c r="F756" s="89"/>
      <c r="G756" s="89"/>
      <c r="H756" s="89"/>
      <c r="I756" s="90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</row>
    <row r="757" hidden="1">
      <c r="A757" s="89"/>
      <c r="B757" s="89"/>
      <c r="C757" s="89"/>
      <c r="D757" s="89"/>
      <c r="E757" s="89"/>
      <c r="F757" s="89"/>
      <c r="G757" s="89"/>
      <c r="H757" s="89"/>
      <c r="I757" s="90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</row>
    <row r="758" hidden="1">
      <c r="A758" s="89"/>
      <c r="B758" s="89"/>
      <c r="C758" s="89"/>
      <c r="D758" s="89"/>
      <c r="E758" s="89"/>
      <c r="F758" s="89"/>
      <c r="G758" s="89"/>
      <c r="H758" s="89"/>
      <c r="I758" s="90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</row>
    <row r="759" hidden="1">
      <c r="A759" s="89"/>
      <c r="B759" s="89"/>
      <c r="C759" s="89"/>
      <c r="D759" s="89"/>
      <c r="E759" s="89"/>
      <c r="F759" s="89"/>
      <c r="G759" s="89"/>
      <c r="H759" s="89"/>
      <c r="I759" s="90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</row>
    <row r="760" hidden="1">
      <c r="A760" s="89"/>
      <c r="B760" s="89"/>
      <c r="C760" s="89"/>
      <c r="D760" s="89"/>
      <c r="E760" s="89"/>
      <c r="F760" s="89"/>
      <c r="G760" s="89"/>
      <c r="H760" s="89"/>
      <c r="I760" s="90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</row>
    <row r="761" hidden="1">
      <c r="A761" s="89"/>
      <c r="B761" s="89"/>
      <c r="C761" s="89"/>
      <c r="D761" s="89"/>
      <c r="E761" s="89"/>
      <c r="F761" s="89"/>
      <c r="G761" s="89"/>
      <c r="H761" s="89"/>
      <c r="I761" s="90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</row>
    <row r="762" hidden="1">
      <c r="A762" s="89"/>
      <c r="B762" s="89"/>
      <c r="C762" s="89"/>
      <c r="D762" s="89"/>
      <c r="E762" s="89"/>
      <c r="F762" s="89"/>
      <c r="G762" s="89"/>
      <c r="H762" s="89"/>
      <c r="I762" s="90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</row>
    <row r="763" hidden="1">
      <c r="A763" s="89"/>
      <c r="B763" s="89"/>
      <c r="C763" s="89"/>
      <c r="D763" s="89"/>
      <c r="E763" s="89"/>
      <c r="F763" s="89"/>
      <c r="G763" s="89"/>
      <c r="H763" s="89"/>
      <c r="I763" s="90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</row>
    <row r="764" hidden="1">
      <c r="A764" s="89"/>
      <c r="B764" s="89"/>
      <c r="C764" s="89"/>
      <c r="D764" s="89"/>
      <c r="E764" s="89"/>
      <c r="F764" s="89"/>
      <c r="G764" s="89"/>
      <c r="H764" s="89"/>
      <c r="I764" s="90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</row>
    <row r="765" hidden="1">
      <c r="A765" s="89"/>
      <c r="B765" s="89"/>
      <c r="C765" s="89"/>
      <c r="D765" s="89"/>
      <c r="E765" s="89"/>
      <c r="F765" s="89"/>
      <c r="G765" s="89"/>
      <c r="H765" s="89"/>
      <c r="I765" s="90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</row>
    <row r="766" hidden="1">
      <c r="A766" s="89"/>
      <c r="B766" s="89"/>
      <c r="C766" s="89"/>
      <c r="D766" s="89"/>
      <c r="E766" s="89"/>
      <c r="F766" s="89"/>
      <c r="G766" s="89"/>
      <c r="H766" s="89"/>
      <c r="I766" s="90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</row>
    <row r="767" hidden="1">
      <c r="A767" s="89"/>
      <c r="B767" s="89"/>
      <c r="C767" s="89"/>
      <c r="D767" s="89"/>
      <c r="E767" s="89"/>
      <c r="F767" s="89"/>
      <c r="G767" s="89"/>
      <c r="H767" s="89"/>
      <c r="I767" s="90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</row>
    <row r="768" hidden="1">
      <c r="A768" s="89"/>
      <c r="B768" s="89"/>
      <c r="C768" s="89"/>
      <c r="D768" s="89"/>
      <c r="E768" s="89"/>
      <c r="F768" s="89"/>
      <c r="G768" s="89"/>
      <c r="H768" s="89"/>
      <c r="I768" s="90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</row>
    <row r="769" hidden="1">
      <c r="A769" s="89"/>
      <c r="B769" s="89"/>
      <c r="C769" s="89"/>
      <c r="D769" s="89"/>
      <c r="E769" s="89"/>
      <c r="F769" s="89"/>
      <c r="G769" s="89"/>
      <c r="H769" s="89"/>
      <c r="I769" s="90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</row>
    <row r="770" hidden="1">
      <c r="A770" s="89"/>
      <c r="B770" s="89"/>
      <c r="C770" s="89"/>
      <c r="D770" s="89"/>
      <c r="E770" s="89"/>
      <c r="F770" s="89"/>
      <c r="G770" s="89"/>
      <c r="H770" s="89"/>
      <c r="I770" s="90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</row>
    <row r="771" hidden="1">
      <c r="A771" s="89"/>
      <c r="B771" s="89"/>
      <c r="C771" s="89"/>
      <c r="D771" s="89"/>
      <c r="E771" s="89"/>
      <c r="F771" s="89"/>
      <c r="G771" s="89"/>
      <c r="H771" s="89"/>
      <c r="I771" s="90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</row>
    <row r="772" hidden="1">
      <c r="A772" s="89"/>
      <c r="B772" s="89"/>
      <c r="C772" s="89"/>
      <c r="D772" s="89"/>
      <c r="E772" s="89"/>
      <c r="F772" s="89"/>
      <c r="G772" s="89"/>
      <c r="H772" s="89"/>
      <c r="I772" s="90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</row>
    <row r="773" hidden="1">
      <c r="A773" s="89"/>
      <c r="B773" s="89"/>
      <c r="C773" s="89"/>
      <c r="D773" s="89"/>
      <c r="E773" s="89"/>
      <c r="F773" s="89"/>
      <c r="G773" s="89"/>
      <c r="H773" s="89"/>
      <c r="I773" s="90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</row>
    <row r="774" hidden="1">
      <c r="A774" s="89"/>
      <c r="B774" s="89"/>
      <c r="C774" s="89"/>
      <c r="D774" s="89"/>
      <c r="E774" s="89"/>
      <c r="F774" s="89"/>
      <c r="G774" s="89"/>
      <c r="H774" s="89"/>
      <c r="I774" s="90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</row>
    <row r="775" hidden="1">
      <c r="A775" s="89"/>
      <c r="B775" s="89"/>
      <c r="C775" s="89"/>
      <c r="D775" s="89"/>
      <c r="E775" s="89"/>
      <c r="F775" s="89"/>
      <c r="G775" s="89"/>
      <c r="H775" s="89"/>
      <c r="I775" s="90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</row>
    <row r="776" hidden="1">
      <c r="A776" s="89"/>
      <c r="B776" s="89"/>
      <c r="C776" s="89"/>
      <c r="D776" s="89"/>
      <c r="E776" s="89"/>
      <c r="F776" s="89"/>
      <c r="G776" s="89"/>
      <c r="H776" s="89"/>
      <c r="I776" s="90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</row>
    <row r="777" hidden="1">
      <c r="A777" s="89"/>
      <c r="B777" s="89"/>
      <c r="C777" s="89"/>
      <c r="D777" s="89"/>
      <c r="E777" s="89"/>
      <c r="F777" s="89"/>
      <c r="G777" s="89"/>
      <c r="H777" s="89"/>
      <c r="I777" s="90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</row>
    <row r="778" hidden="1">
      <c r="A778" s="89"/>
      <c r="B778" s="89"/>
      <c r="C778" s="89"/>
      <c r="D778" s="89"/>
      <c r="E778" s="89"/>
      <c r="F778" s="89"/>
      <c r="G778" s="89"/>
      <c r="H778" s="89"/>
      <c r="I778" s="90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</row>
    <row r="779" hidden="1">
      <c r="A779" s="89"/>
      <c r="B779" s="89"/>
      <c r="C779" s="89"/>
      <c r="D779" s="89"/>
      <c r="E779" s="89"/>
      <c r="F779" s="89"/>
      <c r="G779" s="89"/>
      <c r="H779" s="89"/>
      <c r="I779" s="90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</row>
    <row r="780" hidden="1">
      <c r="A780" s="89"/>
      <c r="B780" s="89"/>
      <c r="C780" s="89"/>
      <c r="D780" s="89"/>
      <c r="E780" s="89"/>
      <c r="F780" s="89"/>
      <c r="G780" s="89"/>
      <c r="H780" s="89"/>
      <c r="I780" s="90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</row>
    <row r="781" hidden="1">
      <c r="A781" s="89"/>
      <c r="B781" s="89"/>
      <c r="C781" s="89"/>
      <c r="D781" s="89"/>
      <c r="E781" s="89"/>
      <c r="F781" s="89"/>
      <c r="G781" s="89"/>
      <c r="H781" s="89"/>
      <c r="I781" s="90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</row>
    <row r="782" hidden="1">
      <c r="A782" s="89"/>
      <c r="B782" s="89"/>
      <c r="C782" s="89"/>
      <c r="D782" s="89"/>
      <c r="E782" s="89"/>
      <c r="F782" s="89"/>
      <c r="G782" s="89"/>
      <c r="H782" s="89"/>
      <c r="I782" s="90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</row>
    <row r="783" hidden="1">
      <c r="A783" s="89"/>
      <c r="B783" s="89"/>
      <c r="C783" s="89"/>
      <c r="D783" s="89"/>
      <c r="E783" s="89"/>
      <c r="F783" s="89"/>
      <c r="G783" s="89"/>
      <c r="H783" s="89"/>
      <c r="I783" s="90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</row>
    <row r="784" hidden="1">
      <c r="A784" s="89"/>
      <c r="B784" s="89"/>
      <c r="C784" s="89"/>
      <c r="D784" s="89"/>
      <c r="E784" s="89"/>
      <c r="F784" s="89"/>
      <c r="G784" s="89"/>
      <c r="H784" s="89"/>
      <c r="I784" s="90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</row>
    <row r="785" hidden="1">
      <c r="A785" s="89"/>
      <c r="B785" s="89"/>
      <c r="C785" s="89"/>
      <c r="D785" s="89"/>
      <c r="E785" s="89"/>
      <c r="F785" s="89"/>
      <c r="G785" s="89"/>
      <c r="H785" s="89"/>
      <c r="I785" s="90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</row>
    <row r="786" hidden="1">
      <c r="A786" s="89"/>
      <c r="B786" s="89"/>
      <c r="C786" s="89"/>
      <c r="D786" s="89"/>
      <c r="E786" s="89"/>
      <c r="F786" s="89"/>
      <c r="G786" s="89"/>
      <c r="H786" s="89"/>
      <c r="I786" s="90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</row>
    <row r="787" hidden="1">
      <c r="A787" s="89"/>
      <c r="B787" s="89"/>
      <c r="C787" s="89"/>
      <c r="D787" s="89"/>
      <c r="E787" s="89"/>
      <c r="F787" s="89"/>
      <c r="G787" s="89"/>
      <c r="H787" s="89"/>
      <c r="I787" s="90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</row>
    <row r="788" hidden="1">
      <c r="A788" s="89"/>
      <c r="B788" s="89"/>
      <c r="C788" s="89"/>
      <c r="D788" s="89"/>
      <c r="E788" s="89"/>
      <c r="F788" s="89"/>
      <c r="G788" s="89"/>
      <c r="H788" s="89"/>
      <c r="I788" s="90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</row>
    <row r="789" hidden="1">
      <c r="A789" s="89"/>
      <c r="B789" s="89"/>
      <c r="C789" s="89"/>
      <c r="D789" s="89"/>
      <c r="E789" s="89"/>
      <c r="F789" s="89"/>
      <c r="G789" s="89"/>
      <c r="H789" s="89"/>
      <c r="I789" s="90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</row>
    <row r="790" hidden="1">
      <c r="A790" s="89"/>
      <c r="B790" s="89"/>
      <c r="C790" s="89"/>
      <c r="D790" s="89"/>
      <c r="E790" s="89"/>
      <c r="F790" s="89"/>
      <c r="G790" s="89"/>
      <c r="H790" s="89"/>
      <c r="I790" s="90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</row>
    <row r="791" hidden="1">
      <c r="A791" s="89"/>
      <c r="B791" s="89"/>
      <c r="C791" s="89"/>
      <c r="D791" s="89"/>
      <c r="E791" s="89"/>
      <c r="F791" s="89"/>
      <c r="G791" s="89"/>
      <c r="H791" s="89"/>
      <c r="I791" s="90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</row>
    <row r="792" hidden="1">
      <c r="A792" s="89"/>
      <c r="B792" s="89"/>
      <c r="C792" s="89"/>
      <c r="D792" s="89"/>
      <c r="E792" s="89"/>
      <c r="F792" s="89"/>
      <c r="G792" s="89"/>
      <c r="H792" s="89"/>
      <c r="I792" s="90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</row>
    <row r="793" hidden="1">
      <c r="A793" s="89"/>
      <c r="B793" s="89"/>
      <c r="C793" s="89"/>
      <c r="D793" s="89"/>
      <c r="E793" s="89"/>
      <c r="F793" s="89"/>
      <c r="G793" s="89"/>
      <c r="H793" s="89"/>
      <c r="I793" s="90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</row>
    <row r="794" hidden="1">
      <c r="A794" s="89"/>
      <c r="B794" s="89"/>
      <c r="C794" s="89"/>
      <c r="D794" s="89"/>
      <c r="E794" s="89"/>
      <c r="F794" s="89"/>
      <c r="G794" s="89"/>
      <c r="H794" s="89"/>
      <c r="I794" s="90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</row>
    <row r="795" hidden="1">
      <c r="A795" s="89"/>
      <c r="B795" s="89"/>
      <c r="C795" s="89"/>
      <c r="D795" s="89"/>
      <c r="E795" s="89"/>
      <c r="F795" s="89"/>
      <c r="G795" s="89"/>
      <c r="H795" s="89"/>
      <c r="I795" s="90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</row>
    <row r="796" hidden="1">
      <c r="A796" s="89"/>
      <c r="B796" s="89"/>
      <c r="C796" s="89"/>
      <c r="D796" s="89"/>
      <c r="E796" s="89"/>
      <c r="F796" s="89"/>
      <c r="G796" s="89"/>
      <c r="H796" s="89"/>
      <c r="I796" s="90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</row>
    <row r="797" hidden="1">
      <c r="A797" s="89"/>
      <c r="B797" s="89"/>
      <c r="C797" s="89"/>
      <c r="D797" s="89"/>
      <c r="E797" s="89"/>
      <c r="F797" s="89"/>
      <c r="G797" s="89"/>
      <c r="H797" s="89"/>
      <c r="I797" s="90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</row>
    <row r="798" hidden="1">
      <c r="A798" s="89"/>
      <c r="B798" s="89"/>
      <c r="C798" s="89"/>
      <c r="D798" s="89"/>
      <c r="E798" s="89"/>
      <c r="F798" s="89"/>
      <c r="G798" s="89"/>
      <c r="H798" s="89"/>
      <c r="I798" s="90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</row>
    <row r="799" hidden="1">
      <c r="A799" s="89"/>
      <c r="B799" s="89"/>
      <c r="C799" s="89"/>
      <c r="D799" s="89"/>
      <c r="E799" s="89"/>
      <c r="F799" s="89"/>
      <c r="G799" s="89"/>
      <c r="H799" s="89"/>
      <c r="I799" s="90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</row>
    <row r="800" hidden="1">
      <c r="A800" s="89"/>
      <c r="B800" s="89"/>
      <c r="C800" s="89"/>
      <c r="D800" s="89"/>
      <c r="E800" s="89"/>
      <c r="F800" s="89"/>
      <c r="G800" s="89"/>
      <c r="H800" s="89"/>
      <c r="I800" s="90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</row>
    <row r="801" hidden="1">
      <c r="A801" s="89"/>
      <c r="B801" s="89"/>
      <c r="C801" s="89"/>
      <c r="D801" s="89"/>
      <c r="E801" s="89"/>
      <c r="F801" s="89"/>
      <c r="G801" s="89"/>
      <c r="H801" s="89"/>
      <c r="I801" s="90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</row>
    <row r="802" hidden="1">
      <c r="A802" s="89"/>
      <c r="B802" s="89"/>
      <c r="C802" s="89"/>
      <c r="D802" s="89"/>
      <c r="E802" s="89"/>
      <c r="F802" s="89"/>
      <c r="G802" s="89"/>
      <c r="H802" s="89"/>
      <c r="I802" s="90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</row>
    <row r="803" hidden="1">
      <c r="A803" s="89"/>
      <c r="B803" s="89"/>
      <c r="C803" s="89"/>
      <c r="D803" s="89"/>
      <c r="E803" s="89"/>
      <c r="F803" s="89"/>
      <c r="G803" s="89"/>
      <c r="H803" s="89"/>
      <c r="I803" s="90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</row>
    <row r="804" hidden="1">
      <c r="A804" s="89"/>
      <c r="B804" s="89"/>
      <c r="C804" s="89"/>
      <c r="D804" s="89"/>
      <c r="E804" s="89"/>
      <c r="F804" s="89"/>
      <c r="G804" s="89"/>
      <c r="H804" s="89"/>
      <c r="I804" s="90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</row>
    <row r="805" hidden="1">
      <c r="A805" s="89"/>
      <c r="B805" s="89"/>
      <c r="C805" s="89"/>
      <c r="D805" s="89"/>
      <c r="E805" s="89"/>
      <c r="F805" s="89"/>
      <c r="G805" s="89"/>
      <c r="H805" s="89"/>
      <c r="I805" s="90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</row>
    <row r="806" hidden="1">
      <c r="A806" s="89"/>
      <c r="B806" s="89"/>
      <c r="C806" s="89"/>
      <c r="D806" s="89"/>
      <c r="E806" s="89"/>
      <c r="F806" s="89"/>
      <c r="G806" s="89"/>
      <c r="H806" s="89"/>
      <c r="I806" s="90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</row>
    <row r="807" hidden="1">
      <c r="A807" s="89"/>
      <c r="B807" s="89"/>
      <c r="C807" s="89"/>
      <c r="D807" s="89"/>
      <c r="E807" s="89"/>
      <c r="F807" s="89"/>
      <c r="G807" s="89"/>
      <c r="H807" s="89"/>
      <c r="I807" s="90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</row>
    <row r="808" hidden="1">
      <c r="A808" s="89"/>
      <c r="B808" s="89"/>
      <c r="C808" s="89"/>
      <c r="D808" s="89"/>
      <c r="E808" s="89"/>
      <c r="F808" s="89"/>
      <c r="G808" s="89"/>
      <c r="H808" s="89"/>
      <c r="I808" s="90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</row>
    <row r="809" hidden="1">
      <c r="A809" s="89"/>
      <c r="B809" s="89"/>
      <c r="C809" s="89"/>
      <c r="D809" s="89"/>
      <c r="E809" s="89"/>
      <c r="F809" s="89"/>
      <c r="G809" s="89"/>
      <c r="H809" s="89"/>
      <c r="I809" s="90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</row>
    <row r="810" hidden="1">
      <c r="A810" s="89"/>
      <c r="B810" s="89"/>
      <c r="C810" s="89"/>
      <c r="D810" s="89"/>
      <c r="E810" s="89"/>
      <c r="F810" s="89"/>
      <c r="G810" s="89"/>
      <c r="H810" s="89"/>
      <c r="I810" s="90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</row>
    <row r="811" hidden="1">
      <c r="A811" s="89"/>
      <c r="B811" s="89"/>
      <c r="C811" s="89"/>
      <c r="D811" s="89"/>
      <c r="E811" s="89"/>
      <c r="F811" s="89"/>
      <c r="G811" s="89"/>
      <c r="H811" s="89"/>
      <c r="I811" s="90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</row>
    <row r="812" hidden="1">
      <c r="A812" s="89"/>
      <c r="B812" s="89"/>
      <c r="C812" s="89"/>
      <c r="D812" s="89"/>
      <c r="E812" s="89"/>
      <c r="F812" s="89"/>
      <c r="G812" s="89"/>
      <c r="H812" s="89"/>
      <c r="I812" s="90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</row>
    <row r="813" hidden="1">
      <c r="A813" s="89"/>
      <c r="B813" s="89"/>
      <c r="C813" s="89"/>
      <c r="D813" s="89"/>
      <c r="E813" s="89"/>
      <c r="F813" s="89"/>
      <c r="G813" s="89"/>
      <c r="H813" s="89"/>
      <c r="I813" s="90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</row>
    <row r="814" hidden="1">
      <c r="A814" s="89"/>
      <c r="B814" s="89"/>
      <c r="C814" s="89"/>
      <c r="D814" s="89"/>
      <c r="E814" s="89"/>
      <c r="F814" s="89"/>
      <c r="G814" s="89"/>
      <c r="H814" s="89"/>
      <c r="I814" s="90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</row>
    <row r="815" hidden="1">
      <c r="A815" s="89"/>
      <c r="B815" s="89"/>
      <c r="C815" s="89"/>
      <c r="D815" s="89"/>
      <c r="E815" s="89"/>
      <c r="F815" s="89"/>
      <c r="G815" s="89"/>
      <c r="H815" s="89"/>
      <c r="I815" s="90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</row>
    <row r="816" hidden="1">
      <c r="A816" s="89"/>
      <c r="B816" s="89"/>
      <c r="C816" s="89"/>
      <c r="D816" s="89"/>
      <c r="E816" s="89"/>
      <c r="F816" s="89"/>
      <c r="G816" s="89"/>
      <c r="H816" s="89"/>
      <c r="I816" s="90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</row>
    <row r="817" hidden="1">
      <c r="A817" s="89"/>
      <c r="B817" s="89"/>
      <c r="C817" s="89"/>
      <c r="D817" s="89"/>
      <c r="E817" s="89"/>
      <c r="F817" s="89"/>
      <c r="G817" s="89"/>
      <c r="H817" s="89"/>
      <c r="I817" s="90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</row>
    <row r="818" hidden="1">
      <c r="A818" s="89"/>
      <c r="B818" s="89"/>
      <c r="C818" s="89"/>
      <c r="D818" s="89"/>
      <c r="E818" s="89"/>
      <c r="F818" s="89"/>
      <c r="G818" s="89"/>
      <c r="H818" s="89"/>
      <c r="I818" s="90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</row>
    <row r="819" hidden="1">
      <c r="A819" s="89"/>
      <c r="B819" s="89"/>
      <c r="C819" s="89"/>
      <c r="D819" s="89"/>
      <c r="E819" s="89"/>
      <c r="F819" s="89"/>
      <c r="G819" s="89"/>
      <c r="H819" s="89"/>
      <c r="I819" s="90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</row>
    <row r="820" hidden="1">
      <c r="A820" s="89"/>
      <c r="B820" s="89"/>
      <c r="C820" s="89"/>
      <c r="D820" s="89"/>
      <c r="E820" s="89"/>
      <c r="F820" s="89"/>
      <c r="G820" s="89"/>
      <c r="H820" s="89"/>
      <c r="I820" s="90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</row>
    <row r="821" hidden="1">
      <c r="A821" s="89"/>
      <c r="B821" s="89"/>
      <c r="C821" s="89"/>
      <c r="D821" s="89"/>
      <c r="E821" s="89"/>
      <c r="F821" s="89"/>
      <c r="G821" s="89"/>
      <c r="H821" s="89"/>
      <c r="I821" s="90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</row>
    <row r="822" hidden="1">
      <c r="A822" s="89"/>
      <c r="B822" s="89"/>
      <c r="C822" s="89"/>
      <c r="D822" s="89"/>
      <c r="E822" s="89"/>
      <c r="F822" s="89"/>
      <c r="G822" s="89"/>
      <c r="H822" s="89"/>
      <c r="I822" s="90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</row>
    <row r="823" hidden="1">
      <c r="A823" s="89"/>
      <c r="B823" s="89"/>
      <c r="C823" s="89"/>
      <c r="D823" s="89"/>
      <c r="E823" s="89"/>
      <c r="F823" s="89"/>
      <c r="G823" s="89"/>
      <c r="H823" s="89"/>
      <c r="I823" s="90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</row>
    <row r="824" hidden="1">
      <c r="A824" s="89"/>
      <c r="B824" s="89"/>
      <c r="C824" s="89"/>
      <c r="D824" s="89"/>
      <c r="E824" s="89"/>
      <c r="F824" s="89"/>
      <c r="G824" s="89"/>
      <c r="H824" s="89"/>
      <c r="I824" s="90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</row>
    <row r="825" hidden="1">
      <c r="A825" s="89"/>
      <c r="B825" s="89"/>
      <c r="C825" s="89"/>
      <c r="D825" s="89"/>
      <c r="E825" s="89"/>
      <c r="F825" s="89"/>
      <c r="G825" s="89"/>
      <c r="H825" s="89"/>
      <c r="I825" s="90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</row>
    <row r="826" hidden="1">
      <c r="A826" s="89"/>
      <c r="B826" s="89"/>
      <c r="C826" s="89"/>
      <c r="D826" s="89"/>
      <c r="E826" s="89"/>
      <c r="F826" s="89"/>
      <c r="G826" s="89"/>
      <c r="H826" s="89"/>
      <c r="I826" s="90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</row>
    <row r="827" hidden="1">
      <c r="A827" s="89"/>
      <c r="B827" s="89"/>
      <c r="C827" s="89"/>
      <c r="D827" s="89"/>
      <c r="E827" s="89"/>
      <c r="F827" s="89"/>
      <c r="G827" s="89"/>
      <c r="H827" s="89"/>
      <c r="I827" s="90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</row>
    <row r="828" hidden="1">
      <c r="A828" s="89"/>
      <c r="B828" s="89"/>
      <c r="C828" s="89"/>
      <c r="D828" s="89"/>
      <c r="E828" s="89"/>
      <c r="F828" s="89"/>
      <c r="G828" s="89"/>
      <c r="H828" s="89"/>
      <c r="I828" s="90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</row>
    <row r="829" hidden="1">
      <c r="A829" s="89"/>
      <c r="B829" s="89"/>
      <c r="C829" s="89"/>
      <c r="D829" s="89"/>
      <c r="E829" s="89"/>
      <c r="F829" s="89"/>
      <c r="G829" s="89"/>
      <c r="H829" s="89"/>
      <c r="I829" s="90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</row>
    <row r="830" hidden="1">
      <c r="A830" s="89"/>
      <c r="B830" s="89"/>
      <c r="C830" s="89"/>
      <c r="D830" s="89"/>
      <c r="E830" s="89"/>
      <c r="F830" s="89"/>
      <c r="G830" s="89"/>
      <c r="H830" s="89"/>
      <c r="I830" s="90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</row>
    <row r="831" hidden="1">
      <c r="A831" s="89"/>
      <c r="B831" s="89"/>
      <c r="C831" s="89"/>
      <c r="D831" s="89"/>
      <c r="E831" s="89"/>
      <c r="F831" s="89"/>
      <c r="G831" s="89"/>
      <c r="H831" s="89"/>
      <c r="I831" s="90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</row>
    <row r="832" hidden="1">
      <c r="A832" s="89"/>
      <c r="B832" s="89"/>
      <c r="C832" s="89"/>
      <c r="D832" s="89"/>
      <c r="E832" s="89"/>
      <c r="F832" s="89"/>
      <c r="G832" s="89"/>
      <c r="H832" s="89"/>
      <c r="I832" s="90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</row>
    <row r="833" hidden="1">
      <c r="A833" s="89"/>
      <c r="B833" s="89"/>
      <c r="C833" s="89"/>
      <c r="D833" s="89"/>
      <c r="E833" s="89"/>
      <c r="F833" s="89"/>
      <c r="G833" s="89"/>
      <c r="H833" s="89"/>
      <c r="I833" s="90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</row>
    <row r="834" hidden="1">
      <c r="A834" s="89"/>
      <c r="B834" s="89"/>
      <c r="C834" s="89"/>
      <c r="D834" s="89"/>
      <c r="E834" s="89"/>
      <c r="F834" s="89"/>
      <c r="G834" s="89"/>
      <c r="H834" s="89"/>
      <c r="I834" s="90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</row>
    <row r="835" hidden="1">
      <c r="A835" s="89"/>
      <c r="B835" s="89"/>
      <c r="C835" s="89"/>
      <c r="D835" s="89"/>
      <c r="E835" s="89"/>
      <c r="F835" s="89"/>
      <c r="G835" s="89"/>
      <c r="H835" s="89"/>
      <c r="I835" s="90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</row>
    <row r="836" hidden="1">
      <c r="A836" s="89"/>
      <c r="B836" s="89"/>
      <c r="C836" s="89"/>
      <c r="D836" s="89"/>
      <c r="E836" s="89"/>
      <c r="F836" s="89"/>
      <c r="G836" s="89"/>
      <c r="H836" s="89"/>
      <c r="I836" s="90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</row>
    <row r="837" hidden="1">
      <c r="A837" s="89"/>
      <c r="B837" s="89"/>
      <c r="C837" s="89"/>
      <c r="D837" s="89"/>
      <c r="E837" s="89"/>
      <c r="F837" s="89"/>
      <c r="G837" s="89"/>
      <c r="H837" s="89"/>
      <c r="I837" s="90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</row>
    <row r="838" hidden="1">
      <c r="A838" s="89"/>
      <c r="B838" s="89"/>
      <c r="C838" s="89"/>
      <c r="D838" s="89"/>
      <c r="E838" s="89"/>
      <c r="F838" s="89"/>
      <c r="G838" s="89"/>
      <c r="H838" s="89"/>
      <c r="I838" s="90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</row>
    <row r="839" hidden="1">
      <c r="A839" s="89"/>
      <c r="B839" s="89"/>
      <c r="C839" s="89"/>
      <c r="D839" s="89"/>
      <c r="E839" s="89"/>
      <c r="F839" s="89"/>
      <c r="G839" s="89"/>
      <c r="H839" s="89"/>
      <c r="I839" s="90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</row>
    <row r="840" hidden="1">
      <c r="A840" s="89"/>
      <c r="B840" s="89"/>
      <c r="C840" s="89"/>
      <c r="D840" s="89"/>
      <c r="E840" s="89"/>
      <c r="F840" s="89"/>
      <c r="G840" s="89"/>
      <c r="H840" s="89"/>
      <c r="I840" s="90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</row>
    <row r="841" hidden="1">
      <c r="A841" s="89"/>
      <c r="B841" s="89"/>
      <c r="C841" s="89"/>
      <c r="D841" s="89"/>
      <c r="E841" s="89"/>
      <c r="F841" s="89"/>
      <c r="G841" s="89"/>
      <c r="H841" s="89"/>
      <c r="I841" s="90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</row>
    <row r="842" hidden="1">
      <c r="A842" s="89"/>
      <c r="B842" s="89"/>
      <c r="C842" s="89"/>
      <c r="D842" s="89"/>
      <c r="E842" s="89"/>
      <c r="F842" s="89"/>
      <c r="G842" s="89"/>
      <c r="H842" s="89"/>
      <c r="I842" s="90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</row>
    <row r="843" hidden="1">
      <c r="A843" s="89"/>
      <c r="B843" s="89"/>
      <c r="C843" s="89"/>
      <c r="D843" s="89"/>
      <c r="E843" s="89"/>
      <c r="F843" s="89"/>
      <c r="G843" s="89"/>
      <c r="H843" s="89"/>
      <c r="I843" s="90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</row>
    <row r="844" hidden="1">
      <c r="A844" s="89"/>
      <c r="B844" s="89"/>
      <c r="C844" s="89"/>
      <c r="D844" s="89"/>
      <c r="E844" s="89"/>
      <c r="F844" s="89"/>
      <c r="G844" s="89"/>
      <c r="H844" s="89"/>
      <c r="I844" s="90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</row>
    <row r="845" hidden="1">
      <c r="A845" s="89"/>
      <c r="B845" s="89"/>
      <c r="C845" s="89"/>
      <c r="D845" s="89"/>
      <c r="E845" s="89"/>
      <c r="F845" s="89"/>
      <c r="G845" s="89"/>
      <c r="H845" s="89"/>
      <c r="I845" s="90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</row>
    <row r="846" hidden="1">
      <c r="A846" s="89"/>
      <c r="B846" s="89"/>
      <c r="C846" s="89"/>
      <c r="D846" s="89"/>
      <c r="E846" s="89"/>
      <c r="F846" s="89"/>
      <c r="G846" s="89"/>
      <c r="H846" s="89"/>
      <c r="I846" s="90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</row>
    <row r="847" hidden="1">
      <c r="A847" s="89"/>
      <c r="B847" s="89"/>
      <c r="C847" s="89"/>
      <c r="D847" s="89"/>
      <c r="E847" s="89"/>
      <c r="F847" s="89"/>
      <c r="G847" s="89"/>
      <c r="H847" s="89"/>
      <c r="I847" s="90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</row>
    <row r="848" hidden="1">
      <c r="A848" s="89"/>
      <c r="B848" s="89"/>
      <c r="C848" s="89"/>
      <c r="D848" s="89"/>
      <c r="E848" s="89"/>
      <c r="F848" s="89"/>
      <c r="G848" s="89"/>
      <c r="H848" s="89"/>
      <c r="I848" s="90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</row>
    <row r="849" hidden="1">
      <c r="A849" s="89"/>
      <c r="B849" s="89"/>
      <c r="C849" s="89"/>
      <c r="D849" s="89"/>
      <c r="E849" s="89"/>
      <c r="F849" s="89"/>
      <c r="G849" s="89"/>
      <c r="H849" s="89"/>
      <c r="I849" s="90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</row>
    <row r="850" hidden="1">
      <c r="A850" s="89"/>
      <c r="B850" s="89"/>
      <c r="C850" s="89"/>
      <c r="D850" s="89"/>
      <c r="E850" s="89"/>
      <c r="F850" s="89"/>
      <c r="G850" s="89"/>
      <c r="H850" s="89"/>
      <c r="I850" s="90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</row>
    <row r="851" hidden="1">
      <c r="A851" s="89"/>
      <c r="B851" s="89"/>
      <c r="C851" s="89"/>
      <c r="D851" s="89"/>
      <c r="E851" s="89"/>
      <c r="F851" s="89"/>
      <c r="G851" s="89"/>
      <c r="H851" s="89"/>
      <c r="I851" s="90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</row>
    <row r="852" hidden="1">
      <c r="A852" s="89"/>
      <c r="B852" s="89"/>
      <c r="C852" s="89"/>
      <c r="D852" s="89"/>
      <c r="E852" s="89"/>
      <c r="F852" s="89"/>
      <c r="G852" s="89"/>
      <c r="H852" s="89"/>
      <c r="I852" s="90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</row>
    <row r="853" hidden="1">
      <c r="A853" s="89"/>
      <c r="B853" s="89"/>
      <c r="C853" s="89"/>
      <c r="D853" s="89"/>
      <c r="E853" s="89"/>
      <c r="F853" s="89"/>
      <c r="G853" s="89"/>
      <c r="H853" s="89"/>
      <c r="I853" s="90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</row>
    <row r="854" hidden="1">
      <c r="A854" s="89"/>
      <c r="B854" s="89"/>
      <c r="C854" s="89"/>
      <c r="D854" s="89"/>
      <c r="E854" s="89"/>
      <c r="F854" s="89"/>
      <c r="G854" s="89"/>
      <c r="H854" s="89"/>
      <c r="I854" s="90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</row>
    <row r="855" hidden="1">
      <c r="A855" s="89"/>
      <c r="B855" s="89"/>
      <c r="C855" s="89"/>
      <c r="D855" s="89"/>
      <c r="E855" s="89"/>
      <c r="F855" s="89"/>
      <c r="G855" s="89"/>
      <c r="H855" s="89"/>
      <c r="I855" s="90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</row>
    <row r="856" hidden="1">
      <c r="A856" s="89"/>
      <c r="B856" s="89"/>
      <c r="C856" s="89"/>
      <c r="D856" s="89"/>
      <c r="E856" s="89"/>
      <c r="F856" s="89"/>
      <c r="G856" s="89"/>
      <c r="H856" s="89"/>
      <c r="I856" s="90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</row>
    <row r="857" hidden="1">
      <c r="A857" s="89"/>
      <c r="B857" s="89"/>
      <c r="C857" s="89"/>
      <c r="D857" s="89"/>
      <c r="E857" s="89"/>
      <c r="F857" s="89"/>
      <c r="G857" s="89"/>
      <c r="H857" s="89"/>
      <c r="I857" s="90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</row>
    <row r="858" hidden="1">
      <c r="A858" s="89"/>
      <c r="B858" s="89"/>
      <c r="C858" s="89"/>
      <c r="D858" s="89"/>
      <c r="E858" s="89"/>
      <c r="F858" s="89"/>
      <c r="G858" s="89"/>
      <c r="H858" s="89"/>
      <c r="I858" s="90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</row>
    <row r="859" hidden="1">
      <c r="A859" s="89"/>
      <c r="B859" s="89"/>
      <c r="C859" s="89"/>
      <c r="D859" s="89"/>
      <c r="E859" s="89"/>
      <c r="F859" s="89"/>
      <c r="G859" s="89"/>
      <c r="H859" s="89"/>
      <c r="I859" s="90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</row>
    <row r="860" hidden="1">
      <c r="A860" s="89"/>
      <c r="B860" s="89"/>
      <c r="C860" s="89"/>
      <c r="D860" s="89"/>
      <c r="E860" s="89"/>
      <c r="F860" s="89"/>
      <c r="G860" s="89"/>
      <c r="H860" s="89"/>
      <c r="I860" s="90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</row>
    <row r="861" hidden="1">
      <c r="A861" s="89"/>
      <c r="B861" s="89"/>
      <c r="C861" s="89"/>
      <c r="D861" s="89"/>
      <c r="E861" s="89"/>
      <c r="F861" s="89"/>
      <c r="G861" s="89"/>
      <c r="H861" s="89"/>
      <c r="I861" s="90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</row>
    <row r="862" hidden="1">
      <c r="A862" s="89"/>
      <c r="B862" s="89"/>
      <c r="C862" s="89"/>
      <c r="D862" s="89"/>
      <c r="E862" s="89"/>
      <c r="F862" s="89"/>
      <c r="G862" s="89"/>
      <c r="H862" s="89"/>
      <c r="I862" s="90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</row>
    <row r="863" hidden="1">
      <c r="A863" s="89"/>
      <c r="B863" s="89"/>
      <c r="C863" s="89"/>
      <c r="D863" s="89"/>
      <c r="E863" s="89"/>
      <c r="F863" s="89"/>
      <c r="G863" s="89"/>
      <c r="H863" s="89"/>
      <c r="I863" s="90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</row>
    <row r="864" hidden="1">
      <c r="A864" s="89"/>
      <c r="B864" s="89"/>
      <c r="C864" s="89"/>
      <c r="D864" s="89"/>
      <c r="E864" s="89"/>
      <c r="F864" s="89"/>
      <c r="G864" s="89"/>
      <c r="H864" s="89"/>
      <c r="I864" s="90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</row>
    <row r="865" hidden="1">
      <c r="A865" s="89"/>
      <c r="B865" s="89"/>
      <c r="C865" s="89"/>
      <c r="D865" s="89"/>
      <c r="E865" s="89"/>
      <c r="F865" s="89"/>
      <c r="G865" s="89"/>
      <c r="H865" s="89"/>
      <c r="I865" s="90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</row>
    <row r="866" hidden="1">
      <c r="A866" s="89"/>
      <c r="B866" s="89"/>
      <c r="C866" s="89"/>
      <c r="D866" s="89"/>
      <c r="E866" s="89"/>
      <c r="F866" s="89"/>
      <c r="G866" s="89"/>
      <c r="H866" s="89"/>
      <c r="I866" s="90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</row>
    <row r="867" hidden="1">
      <c r="A867" s="89"/>
      <c r="B867" s="89"/>
      <c r="C867" s="89"/>
      <c r="D867" s="89"/>
      <c r="E867" s="89"/>
      <c r="F867" s="89"/>
      <c r="G867" s="89"/>
      <c r="H867" s="89"/>
      <c r="I867" s="90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</row>
    <row r="868" hidden="1">
      <c r="A868" s="89"/>
      <c r="B868" s="89"/>
      <c r="C868" s="89"/>
      <c r="D868" s="89"/>
      <c r="E868" s="89"/>
      <c r="F868" s="89"/>
      <c r="G868" s="89"/>
      <c r="H868" s="89"/>
      <c r="I868" s="90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</row>
    <row r="869" hidden="1">
      <c r="A869" s="89"/>
      <c r="B869" s="89"/>
      <c r="C869" s="89"/>
      <c r="D869" s="89"/>
      <c r="E869" s="89"/>
      <c r="F869" s="89"/>
      <c r="G869" s="89"/>
      <c r="H869" s="89"/>
      <c r="I869" s="90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</row>
    <row r="870" hidden="1">
      <c r="A870" s="89"/>
      <c r="B870" s="89"/>
      <c r="C870" s="89"/>
      <c r="D870" s="89"/>
      <c r="E870" s="89"/>
      <c r="F870" s="89"/>
      <c r="G870" s="89"/>
      <c r="H870" s="89"/>
      <c r="I870" s="90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</row>
    <row r="871" hidden="1">
      <c r="A871" s="89"/>
      <c r="B871" s="89"/>
      <c r="C871" s="89"/>
      <c r="D871" s="89"/>
      <c r="E871" s="89"/>
      <c r="F871" s="89"/>
      <c r="G871" s="89"/>
      <c r="H871" s="89"/>
      <c r="I871" s="90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</row>
    <row r="872" hidden="1">
      <c r="A872" s="89"/>
      <c r="B872" s="89"/>
      <c r="C872" s="89"/>
      <c r="D872" s="89"/>
      <c r="E872" s="89"/>
      <c r="F872" s="89"/>
      <c r="G872" s="89"/>
      <c r="H872" s="89"/>
      <c r="I872" s="90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</row>
    <row r="873" hidden="1">
      <c r="A873" s="89"/>
      <c r="B873" s="89"/>
      <c r="C873" s="89"/>
      <c r="D873" s="89"/>
      <c r="E873" s="89"/>
      <c r="F873" s="89"/>
      <c r="G873" s="89"/>
      <c r="H873" s="89"/>
      <c r="I873" s="90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</row>
    <row r="874" hidden="1">
      <c r="A874" s="89"/>
      <c r="B874" s="89"/>
      <c r="C874" s="89"/>
      <c r="D874" s="89"/>
      <c r="E874" s="89"/>
      <c r="F874" s="89"/>
      <c r="G874" s="89"/>
      <c r="H874" s="89"/>
      <c r="I874" s="90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</row>
    <row r="875" hidden="1">
      <c r="A875" s="89"/>
      <c r="B875" s="89"/>
      <c r="C875" s="89"/>
      <c r="D875" s="89"/>
      <c r="E875" s="89"/>
      <c r="F875" s="89"/>
      <c r="G875" s="89"/>
      <c r="H875" s="89"/>
      <c r="I875" s="90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</row>
    <row r="876" hidden="1">
      <c r="A876" s="89"/>
      <c r="B876" s="89"/>
      <c r="C876" s="89"/>
      <c r="D876" s="89"/>
      <c r="E876" s="89"/>
      <c r="F876" s="89"/>
      <c r="G876" s="89"/>
      <c r="H876" s="89"/>
      <c r="I876" s="90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</row>
    <row r="877" hidden="1">
      <c r="A877" s="89"/>
      <c r="B877" s="89"/>
      <c r="C877" s="89"/>
      <c r="D877" s="89"/>
      <c r="E877" s="89"/>
      <c r="F877" s="89"/>
      <c r="G877" s="89"/>
      <c r="H877" s="89"/>
      <c r="I877" s="90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</row>
    <row r="878" hidden="1">
      <c r="A878" s="89"/>
      <c r="B878" s="89"/>
      <c r="C878" s="89"/>
      <c r="D878" s="89"/>
      <c r="E878" s="89"/>
      <c r="F878" s="89"/>
      <c r="G878" s="89"/>
      <c r="H878" s="89"/>
      <c r="I878" s="90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</row>
    <row r="879" hidden="1">
      <c r="A879" s="89"/>
      <c r="B879" s="89"/>
      <c r="C879" s="89"/>
      <c r="D879" s="89"/>
      <c r="E879" s="89"/>
      <c r="F879" s="89"/>
      <c r="G879" s="89"/>
      <c r="H879" s="89"/>
      <c r="I879" s="90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</row>
    <row r="880" hidden="1">
      <c r="A880" s="89"/>
      <c r="B880" s="89"/>
      <c r="C880" s="89"/>
      <c r="D880" s="89"/>
      <c r="E880" s="89"/>
      <c r="F880" s="89"/>
      <c r="G880" s="89"/>
      <c r="H880" s="89"/>
      <c r="I880" s="90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</row>
    <row r="881" hidden="1">
      <c r="A881" s="89"/>
      <c r="B881" s="89"/>
      <c r="C881" s="89"/>
      <c r="D881" s="89"/>
      <c r="E881" s="89"/>
      <c r="F881" s="89"/>
      <c r="G881" s="89"/>
      <c r="H881" s="89"/>
      <c r="I881" s="90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</row>
    <row r="882" hidden="1">
      <c r="A882" s="89"/>
      <c r="B882" s="89"/>
      <c r="C882" s="89"/>
      <c r="D882" s="89"/>
      <c r="E882" s="89"/>
      <c r="F882" s="89"/>
      <c r="G882" s="89"/>
      <c r="H882" s="89"/>
      <c r="I882" s="90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</row>
    <row r="883" hidden="1">
      <c r="A883" s="89"/>
      <c r="B883" s="89"/>
      <c r="C883" s="89"/>
      <c r="D883" s="89"/>
      <c r="E883" s="89"/>
      <c r="F883" s="89"/>
      <c r="G883" s="89"/>
      <c r="H883" s="89"/>
      <c r="I883" s="90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</row>
    <row r="884" hidden="1">
      <c r="A884" s="89"/>
      <c r="B884" s="89"/>
      <c r="C884" s="89"/>
      <c r="D884" s="89"/>
      <c r="E884" s="89"/>
      <c r="F884" s="89"/>
      <c r="G884" s="89"/>
      <c r="H884" s="89"/>
      <c r="I884" s="90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</row>
    <row r="885" hidden="1">
      <c r="A885" s="89"/>
      <c r="B885" s="89"/>
      <c r="C885" s="89"/>
      <c r="D885" s="89"/>
      <c r="E885" s="89"/>
      <c r="F885" s="89"/>
      <c r="G885" s="89"/>
      <c r="H885" s="89"/>
      <c r="I885" s="90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</row>
    <row r="886" hidden="1">
      <c r="A886" s="89"/>
      <c r="B886" s="89"/>
      <c r="C886" s="89"/>
      <c r="D886" s="89"/>
      <c r="E886" s="89"/>
      <c r="F886" s="89"/>
      <c r="G886" s="89"/>
      <c r="H886" s="89"/>
      <c r="I886" s="90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</row>
    <row r="887" hidden="1">
      <c r="A887" s="89"/>
      <c r="B887" s="89"/>
      <c r="C887" s="89"/>
      <c r="D887" s="89"/>
      <c r="E887" s="89"/>
      <c r="F887" s="89"/>
      <c r="G887" s="89"/>
      <c r="H887" s="89"/>
      <c r="I887" s="90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</row>
    <row r="888" hidden="1">
      <c r="A888" s="89"/>
      <c r="B888" s="89"/>
      <c r="C888" s="89"/>
      <c r="D888" s="89"/>
      <c r="E888" s="89"/>
      <c r="F888" s="89"/>
      <c r="G888" s="89"/>
      <c r="H888" s="89"/>
      <c r="I888" s="90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</row>
    <row r="889" hidden="1">
      <c r="A889" s="89"/>
      <c r="B889" s="89"/>
      <c r="C889" s="89"/>
      <c r="D889" s="89"/>
      <c r="E889" s="89"/>
      <c r="F889" s="89"/>
      <c r="G889" s="89"/>
      <c r="H889" s="89"/>
      <c r="I889" s="90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</row>
    <row r="890" hidden="1">
      <c r="A890" s="89"/>
      <c r="B890" s="89"/>
      <c r="C890" s="89"/>
      <c r="D890" s="89"/>
      <c r="E890" s="89"/>
      <c r="F890" s="89"/>
      <c r="G890" s="89"/>
      <c r="H890" s="89"/>
      <c r="I890" s="90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</row>
    <row r="891" hidden="1">
      <c r="A891" s="89"/>
      <c r="B891" s="89"/>
      <c r="C891" s="89"/>
      <c r="D891" s="89"/>
      <c r="E891" s="89"/>
      <c r="F891" s="89"/>
      <c r="G891" s="89"/>
      <c r="H891" s="89"/>
      <c r="I891" s="90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</row>
    <row r="892" hidden="1">
      <c r="A892" s="89"/>
      <c r="B892" s="89"/>
      <c r="C892" s="89"/>
      <c r="D892" s="89"/>
      <c r="E892" s="89"/>
      <c r="F892" s="89"/>
      <c r="G892" s="89"/>
      <c r="H892" s="89"/>
      <c r="I892" s="90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</row>
    <row r="893" hidden="1">
      <c r="A893" s="89"/>
      <c r="B893" s="89"/>
      <c r="C893" s="89"/>
      <c r="D893" s="89"/>
      <c r="E893" s="89"/>
      <c r="F893" s="89"/>
      <c r="G893" s="89"/>
      <c r="H893" s="89"/>
      <c r="I893" s="90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</row>
    <row r="894" hidden="1">
      <c r="A894" s="89"/>
      <c r="B894" s="89"/>
      <c r="C894" s="89"/>
      <c r="D894" s="89"/>
      <c r="E894" s="89"/>
      <c r="F894" s="89"/>
      <c r="G894" s="89"/>
      <c r="H894" s="89"/>
      <c r="I894" s="90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</row>
    <row r="895" hidden="1">
      <c r="A895" s="89"/>
      <c r="B895" s="89"/>
      <c r="C895" s="89"/>
      <c r="D895" s="89"/>
      <c r="E895" s="89"/>
      <c r="F895" s="89"/>
      <c r="G895" s="89"/>
      <c r="H895" s="89"/>
      <c r="I895" s="90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</row>
    <row r="896" hidden="1">
      <c r="A896" s="89"/>
      <c r="B896" s="89"/>
      <c r="C896" s="89"/>
      <c r="D896" s="89"/>
      <c r="E896" s="89"/>
      <c r="F896" s="89"/>
      <c r="G896" s="89"/>
      <c r="H896" s="89"/>
      <c r="I896" s="90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</row>
    <row r="897" hidden="1">
      <c r="A897" s="89"/>
      <c r="B897" s="89"/>
      <c r="C897" s="89"/>
      <c r="D897" s="89"/>
      <c r="E897" s="89"/>
      <c r="F897" s="89"/>
      <c r="G897" s="89"/>
      <c r="H897" s="89"/>
      <c r="I897" s="90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</row>
    <row r="898" hidden="1">
      <c r="A898" s="89"/>
      <c r="B898" s="89"/>
      <c r="C898" s="89"/>
      <c r="D898" s="89"/>
      <c r="E898" s="89"/>
      <c r="F898" s="89"/>
      <c r="G898" s="89"/>
      <c r="H898" s="89"/>
      <c r="I898" s="90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</row>
    <row r="899" hidden="1">
      <c r="A899" s="89"/>
      <c r="B899" s="89"/>
      <c r="C899" s="89"/>
      <c r="D899" s="89"/>
      <c r="E899" s="89"/>
      <c r="F899" s="89"/>
      <c r="G899" s="89"/>
      <c r="H899" s="89"/>
      <c r="I899" s="90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</row>
    <row r="900" hidden="1">
      <c r="A900" s="89"/>
      <c r="B900" s="89"/>
      <c r="C900" s="89"/>
      <c r="D900" s="89"/>
      <c r="E900" s="89"/>
      <c r="F900" s="89"/>
      <c r="G900" s="89"/>
      <c r="H900" s="89"/>
      <c r="I900" s="90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</row>
    <row r="901" hidden="1">
      <c r="A901" s="89"/>
      <c r="B901" s="89"/>
      <c r="C901" s="89"/>
      <c r="D901" s="89"/>
      <c r="E901" s="89"/>
      <c r="F901" s="89"/>
      <c r="G901" s="89"/>
      <c r="H901" s="89"/>
      <c r="I901" s="90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</row>
    <row r="902" hidden="1">
      <c r="A902" s="89"/>
      <c r="B902" s="89"/>
      <c r="C902" s="89"/>
      <c r="D902" s="89"/>
      <c r="E902" s="89"/>
      <c r="F902" s="89"/>
      <c r="G902" s="89"/>
      <c r="H902" s="89"/>
      <c r="I902" s="90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</row>
    <row r="903" hidden="1">
      <c r="A903" s="89"/>
      <c r="B903" s="89"/>
      <c r="C903" s="89"/>
      <c r="D903" s="89"/>
      <c r="E903" s="89"/>
      <c r="F903" s="89"/>
      <c r="G903" s="89"/>
      <c r="H903" s="89"/>
      <c r="I903" s="90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</row>
    <row r="904" hidden="1">
      <c r="A904" s="89"/>
      <c r="B904" s="89"/>
      <c r="C904" s="89"/>
      <c r="D904" s="89"/>
      <c r="E904" s="89"/>
      <c r="F904" s="89"/>
      <c r="G904" s="89"/>
      <c r="H904" s="89"/>
      <c r="I904" s="90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</row>
    <row r="905" hidden="1">
      <c r="A905" s="89"/>
      <c r="B905" s="89"/>
      <c r="C905" s="89"/>
      <c r="D905" s="89"/>
      <c r="E905" s="89"/>
      <c r="F905" s="89"/>
      <c r="G905" s="89"/>
      <c r="H905" s="89"/>
      <c r="I905" s="90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</row>
    <row r="906" hidden="1">
      <c r="A906" s="89"/>
      <c r="B906" s="89"/>
      <c r="C906" s="89"/>
      <c r="D906" s="89"/>
      <c r="E906" s="89"/>
      <c r="F906" s="89"/>
      <c r="G906" s="89"/>
      <c r="H906" s="89"/>
      <c r="I906" s="90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</row>
    <row r="907" hidden="1">
      <c r="A907" s="89"/>
      <c r="B907" s="89"/>
      <c r="C907" s="89"/>
      <c r="D907" s="89"/>
      <c r="E907" s="89"/>
      <c r="F907" s="89"/>
      <c r="G907" s="89"/>
      <c r="H907" s="89"/>
      <c r="I907" s="90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</row>
    <row r="908" hidden="1">
      <c r="A908" s="89"/>
      <c r="B908" s="89"/>
      <c r="C908" s="89"/>
      <c r="D908" s="89"/>
      <c r="E908" s="89"/>
      <c r="F908" s="89"/>
      <c r="G908" s="89"/>
      <c r="H908" s="89"/>
      <c r="I908" s="90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</row>
    <row r="909" hidden="1">
      <c r="A909" s="89"/>
      <c r="B909" s="89"/>
      <c r="C909" s="89"/>
      <c r="D909" s="89"/>
      <c r="E909" s="89"/>
      <c r="F909" s="89"/>
      <c r="G909" s="89"/>
      <c r="H909" s="89"/>
      <c r="I909" s="90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</row>
    <row r="910" hidden="1">
      <c r="A910" s="89"/>
      <c r="B910" s="89"/>
      <c r="C910" s="89"/>
      <c r="D910" s="89"/>
      <c r="E910" s="89"/>
      <c r="F910" s="89"/>
      <c r="G910" s="89"/>
      <c r="H910" s="89"/>
      <c r="I910" s="90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</row>
    <row r="911" hidden="1">
      <c r="A911" s="89"/>
      <c r="B911" s="89"/>
      <c r="C911" s="89"/>
      <c r="D911" s="89"/>
      <c r="E911" s="89"/>
      <c r="F911" s="89"/>
      <c r="G911" s="89"/>
      <c r="H911" s="89"/>
      <c r="I911" s="90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</row>
    <row r="912" hidden="1">
      <c r="A912" s="89"/>
      <c r="B912" s="89"/>
      <c r="C912" s="89"/>
      <c r="D912" s="89"/>
      <c r="E912" s="89"/>
      <c r="F912" s="89"/>
      <c r="G912" s="89"/>
      <c r="H912" s="89"/>
      <c r="I912" s="90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</row>
    <row r="913" hidden="1">
      <c r="A913" s="89"/>
      <c r="B913" s="89"/>
      <c r="C913" s="89"/>
      <c r="D913" s="89"/>
      <c r="E913" s="89"/>
      <c r="F913" s="89"/>
      <c r="G913" s="89"/>
      <c r="H913" s="89"/>
      <c r="I913" s="90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</row>
    <row r="914" hidden="1">
      <c r="A914" s="89"/>
      <c r="B914" s="89"/>
      <c r="C914" s="89"/>
      <c r="D914" s="89"/>
      <c r="E914" s="89"/>
      <c r="F914" s="89"/>
      <c r="G914" s="89"/>
      <c r="H914" s="89"/>
      <c r="I914" s="90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</row>
    <row r="915" hidden="1">
      <c r="A915" s="89"/>
      <c r="B915" s="89"/>
      <c r="C915" s="89"/>
      <c r="D915" s="89"/>
      <c r="E915" s="89"/>
      <c r="F915" s="89"/>
      <c r="G915" s="89"/>
      <c r="H915" s="89"/>
      <c r="I915" s="90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</row>
    <row r="916" hidden="1">
      <c r="A916" s="89"/>
      <c r="B916" s="89"/>
      <c r="C916" s="89"/>
      <c r="D916" s="89"/>
      <c r="E916" s="89"/>
      <c r="F916" s="89"/>
      <c r="G916" s="89"/>
      <c r="H916" s="89"/>
      <c r="I916" s="90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</row>
    <row r="917" hidden="1">
      <c r="A917" s="89"/>
      <c r="B917" s="89"/>
      <c r="C917" s="89"/>
      <c r="D917" s="89"/>
      <c r="E917" s="89"/>
      <c r="F917" s="89"/>
      <c r="G917" s="89"/>
      <c r="H917" s="89"/>
      <c r="I917" s="90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</row>
    <row r="918" hidden="1">
      <c r="A918" s="89"/>
      <c r="B918" s="89"/>
      <c r="C918" s="89"/>
      <c r="D918" s="89"/>
      <c r="E918" s="89"/>
      <c r="F918" s="89"/>
      <c r="G918" s="89"/>
      <c r="H918" s="89"/>
      <c r="I918" s="90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</row>
    <row r="919" hidden="1">
      <c r="A919" s="89"/>
      <c r="B919" s="89"/>
      <c r="C919" s="89"/>
      <c r="D919" s="89"/>
      <c r="E919" s="89"/>
      <c r="F919" s="89"/>
      <c r="G919" s="89"/>
      <c r="H919" s="89"/>
      <c r="I919" s="90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</row>
    <row r="920" hidden="1">
      <c r="A920" s="89"/>
      <c r="B920" s="89"/>
      <c r="C920" s="89"/>
      <c r="D920" s="89"/>
      <c r="E920" s="89"/>
      <c r="F920" s="89"/>
      <c r="G920" s="89"/>
      <c r="H920" s="89"/>
      <c r="I920" s="90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</row>
  </sheetData>
  <mergeCells count="2">
    <mergeCell ref="A5:A33"/>
    <mergeCell ref="B5:C5"/>
  </mergeCells>
  <conditionalFormatting sqref="B7:B15 B25">
    <cfRule type="containsText" dxfId="41" priority="1" operator="containsText" text="NIght">
      <formula>NOT(ISERROR(SEARCH(("NIght"),(B7))))</formula>
    </cfRule>
  </conditionalFormatting>
  <conditionalFormatting sqref="B7:B15 B25">
    <cfRule type="containsText" dxfId="2" priority="2" operator="containsText" text="Citrine">
      <formula>NOT(ISERROR(SEARCH(("Citrine"),(B7))))</formula>
    </cfRule>
  </conditionalFormatting>
  <conditionalFormatting sqref="B7:B15 B25">
    <cfRule type="containsText" dxfId="3" priority="3" operator="containsText" text="Onyx">
      <formula>NOT(ISERROR(SEARCH(("Onyx"),(B7))))</formula>
    </cfRule>
  </conditionalFormatting>
  <conditionalFormatting sqref="B7:B15 B25">
    <cfRule type="containsText" dxfId="4" priority="4" operator="containsText" text="POI">
      <formula>NOT(ISERROR(SEARCH(("POI"),(B7))))</formula>
    </cfRule>
  </conditionalFormatting>
  <conditionalFormatting sqref="B7:B15 B25">
    <cfRule type="containsText" dxfId="5" priority="5" operator="containsText" text="Electric M">
      <formula>NOT(ISERROR(SEARCH(("Electric M"),(B7))))</formula>
    </cfRule>
  </conditionalFormatting>
  <conditionalFormatting sqref="B7:B15 B25">
    <cfRule type="containsText" dxfId="6" priority="6" operator="containsText" text="Family">
      <formula>NOT(ISERROR(SEARCH(("Family"),(B7))))</formula>
    </cfRule>
  </conditionalFormatting>
  <conditionalFormatting sqref="B7:B15 B25">
    <cfRule type="containsText" dxfId="7" priority="7" operator="containsText" text="Jelly">
      <formula>NOT(ISERROR(SEARCH(("Jelly"),(B7))))</formula>
    </cfRule>
  </conditionalFormatting>
  <conditionalFormatting sqref="B7:B15 B25">
    <cfRule type="containsText" dxfId="8" priority="8" operator="containsText" text="Bitter">
      <formula>NOT(ISERROR(SEARCH(("Bitter"),(B7))))</formula>
    </cfRule>
  </conditionalFormatting>
  <conditionalFormatting sqref="B7:B15 B25">
    <cfRule type="containsText" dxfId="9" priority="9" operator="containsText" text="Red">
      <formula>NOT(ISERROR(SEARCH(("Red"),(B7))))</formula>
    </cfRule>
  </conditionalFormatting>
  <conditionalFormatting sqref="B7:B15 B25">
    <cfRule type="containsText" dxfId="10" priority="10" operator="containsText" text="Timber">
      <formula>NOT(ISERROR(SEARCH(("Timber"),(B7))))</formula>
    </cfRule>
  </conditionalFormatting>
  <conditionalFormatting sqref="B7:B15 B25">
    <cfRule type="containsText" dxfId="11" priority="11" operator="containsText" text="White">
      <formula>NOT(ISERROR(SEARCH(("White"),(B7))))</formula>
    </cfRule>
  </conditionalFormatting>
  <conditionalFormatting sqref="B7:B15 B25">
    <cfRule type="containsText" dxfId="12" priority="12" operator="containsText" text="Rob">
      <formula>NOT(ISERROR(SEARCH(("Rob"),(B7))))</formula>
    </cfRule>
  </conditionalFormatting>
  <conditionalFormatting sqref="B7:B15 B25">
    <cfRule type="containsText" dxfId="13" priority="13" operator="containsText" text="Joystick">
      <formula>NOT(ISERROR(SEARCH(("Joystick"),(B7))))</formula>
    </cfRule>
  </conditionalFormatting>
  <conditionalFormatting sqref="B7:B15 B25">
    <cfRule type="containsText" dxfId="14" priority="14" operator="containsText" text="Wheel">
      <formula>NOT(ISERROR(SEARCH(("Wheel"),(B7))))</formula>
    </cfRule>
  </conditionalFormatting>
  <conditionalFormatting sqref="B7:B15 B25">
    <cfRule type="containsText" dxfId="15" priority="15" operator="containsText" text="Carrot">
      <formula>NOT(ISERROR(SEARCH(("Carrot"),(B7))))</formula>
    </cfRule>
  </conditionalFormatting>
  <conditionalFormatting sqref="B7:B15 B25">
    <cfRule type="cellIs" dxfId="16" priority="16" operator="equal">
      <formula>"Crossbow"</formula>
    </cfRule>
  </conditionalFormatting>
  <conditionalFormatting sqref="B7:B15 B25">
    <cfRule type="containsText" dxfId="17" priority="17" operator="containsText" text="Catapult">
      <formula>NOT(ISERROR(SEARCH(("Catapult"),(B7))))</formula>
    </cfRule>
  </conditionalFormatting>
  <conditionalFormatting sqref="B7:B15 B25">
    <cfRule type="containsText" dxfId="18" priority="18" operator="containsText" text="Car Evo">
      <formula>NOT(ISERROR(SEARCH(("Car Evo"),(B7))))</formula>
    </cfRule>
  </conditionalFormatting>
  <conditionalFormatting sqref="B7:B15 B25">
    <cfRule type="containsText" dxfId="19" priority="19" operator="containsText" text="Sapphire">
      <formula>NOT(ISERROR(SEARCH(("Sapphire"),(B7))))</formula>
    </cfRule>
  </conditionalFormatting>
  <conditionalFormatting sqref="B7:B15 B25">
    <cfRule type="containsText" dxfId="20" priority="20" operator="containsText" text="Dande">
      <formula>NOT(ISERROR(SEARCH(("Dande"),(B7))))</formula>
    </cfRule>
  </conditionalFormatting>
  <conditionalFormatting sqref="B7:B15 B25">
    <cfRule type="containsText" dxfId="21" priority="21" operator="containsText" text="Surprise">
      <formula>NOT(ISERROR(SEARCH(("Surprise"),(B7))))</formula>
    </cfRule>
  </conditionalFormatting>
  <conditionalFormatting sqref="B7:B15 B25">
    <cfRule type="containsText" dxfId="22" priority="22" operator="containsText" text="Field e">
      <formula>NOT(ISERROR(SEARCH(("Field e"),(B7))))</formula>
    </cfRule>
  </conditionalFormatting>
  <conditionalFormatting sqref="B7:B15 B25">
    <cfRule type="containsText" dxfId="23" priority="23" operator="containsText" text="Air Mystery">
      <formula>NOT(ISERROR(SEARCH(("Air Mystery"),(B7))))</formula>
    </cfRule>
  </conditionalFormatting>
  <conditionalFormatting sqref="B7:B15 B25">
    <cfRule type="containsText" dxfId="24" priority="24" operator="containsText" text="White">
      <formula>NOT(ISERROR(SEARCH(("White"),(B7))))</formula>
    </cfRule>
  </conditionalFormatting>
  <conditionalFormatting sqref="B7:B15 B25">
    <cfRule type="containsText" dxfId="25" priority="25" operator="containsText" text="Peas">
      <formula>NOT(ISERROR(SEARCH(("Peas"),(B7))))</formula>
    </cfRule>
  </conditionalFormatting>
  <conditionalFormatting sqref="B7:B15 B25">
    <cfRule type="containsText" dxfId="26" priority="26" operator="containsText" text="Burnt">
      <formula>NOT(ISERROR(SEARCH(("Burnt"),(B7))))</formula>
    </cfRule>
  </conditionalFormatting>
  <conditionalFormatting sqref="B7:B15 B25">
    <cfRule type="containsText" dxfId="27" priority="27" operator="containsText" text="Forest">
      <formula>NOT(ISERROR(SEARCH(("Forest"),(B7))))</formula>
    </cfRule>
  </conditionalFormatting>
  <conditionalFormatting sqref="B7:B15 B25">
    <cfRule type="containsText" dxfId="28" priority="28" operator="containsText" text="Asparagus">
      <formula>NOT(ISERROR(SEARCH(("Asparagus"),(B7))))</formula>
    </cfRule>
  </conditionalFormatting>
  <conditionalFormatting sqref="B7:B15 B25">
    <cfRule type="containsText" dxfId="29" priority="29" operator="containsText" text="Olive">
      <formula>NOT(ISERROR(SEARCH(("Olive"),(B7))))</formula>
    </cfRule>
  </conditionalFormatting>
  <conditionalFormatting sqref="B7:B15 B25">
    <cfRule type="containsText" dxfId="30" priority="30" operator="containsText" text="Yellow Gr">
      <formula>NOT(ISERROR(SEARCH(("Yellow Gr"),(B7))))</formula>
    </cfRule>
  </conditionalFormatting>
  <conditionalFormatting sqref="B7:B15 B25">
    <cfRule type="containsText" dxfId="31" priority="31" operator="containsText" text="Silver">
      <formula>NOT(ISERROR(SEARCH(("Silver"),(B7))))</formula>
    </cfRule>
  </conditionalFormatting>
  <conditionalFormatting sqref="B7:B15 B25">
    <cfRule type="containsText" dxfId="32" priority="32" operator="containsText" text="Eggs">
      <formula>NOT(ISERROR(SEARCH(("Eggs"),(B7))))</formula>
    </cfRule>
  </conditionalFormatting>
  <conditionalFormatting sqref="B7:B15 B25">
    <cfRule type="containsText" dxfId="33" priority="33" operator="containsText" text="Submarine">
      <formula>NOT(ISERROR(SEARCH(("Submarine"),(B7))))</formula>
    </cfRule>
  </conditionalFormatting>
  <conditionalFormatting sqref="B7:B15 B25">
    <cfRule type="containsText" dxfId="34" priority="34" operator="containsText" text="Safari">
      <formula>NOT(ISERROR(SEARCH(("Safari"),(B7))))</formula>
    </cfRule>
  </conditionalFormatting>
  <conditionalFormatting sqref="B7:B15 B25">
    <cfRule type="containsText" dxfId="35" priority="35" operator="containsText" text="Horse">
      <formula>NOT(ISERROR(SEARCH(("Horse"),(B7))))</formula>
    </cfRule>
  </conditionalFormatting>
  <conditionalFormatting sqref="A1 B1">
    <cfRule type="expression" dxfId="42" priority="36">
      <formula>$L1=TRUE</formula>
    </cfRule>
  </conditionalFormatting>
  <conditionalFormatting sqref="I7:I25">
    <cfRule type="colorScale" priority="37">
      <colorScale>
        <cfvo type="formula" val="0"/>
        <cfvo type="formula" val="1"/>
        <color rgb="FFFFFFFF"/>
        <color rgb="FF3D85C6"/>
      </colorScale>
    </cfRule>
  </conditionalFormatting>
  <conditionalFormatting sqref="H7:H25">
    <cfRule type="cellIs" dxfId="43" priority="38" operator="greaterThan">
      <formula>0</formula>
    </cfRule>
  </conditionalFormatting>
  <conditionalFormatting sqref="B1:B920">
    <cfRule type="containsText" dxfId="36" priority="39" operator="containsText" text="Amethyst">
      <formula>NOT(ISERROR(SEARCH(("Amethyst"),(B1))))</formula>
    </cfRule>
  </conditionalFormatting>
  <conditionalFormatting sqref="B1:B920">
    <cfRule type="containsText" dxfId="44" priority="40" operator="containsText" text="Green">
      <formula>NOT(ISERROR(SEARCH(("Green"),(B1))))</formula>
    </cfRule>
  </conditionalFormatting>
  <hyperlinks>
    <hyperlink r:id="rId1" ref="B3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3.75"/>
    <col customWidth="1" min="2" max="2" width="15.13"/>
    <col customWidth="1" min="3" max="5" width="10.75"/>
    <col customWidth="1" min="6" max="6" width="4.13"/>
    <col customWidth="1" min="7" max="7" width="15.13"/>
    <col customWidth="1" min="8" max="8" width="10.75"/>
    <col customWidth="1" min="9" max="9" width="4.13"/>
    <col customWidth="1" min="10" max="10" width="15.5"/>
    <col customWidth="1" min="11" max="11" width="10.75"/>
    <col customWidth="1" min="12" max="12" width="14.5"/>
    <col customWidth="1" min="14" max="14" width="10.75"/>
  </cols>
  <sheetData>
    <row r="1">
      <c r="A1" s="149"/>
      <c r="B1" s="150" t="s">
        <v>371</v>
      </c>
      <c r="C1" s="151">
        <f>COUNTIFS(B7:B652,"*",E7:E652,"&gt;0")</f>
        <v>105</v>
      </c>
      <c r="D1" s="152"/>
      <c r="E1" s="149"/>
      <c r="F1" s="149"/>
      <c r="G1" s="149"/>
      <c r="H1" s="149"/>
      <c r="I1" s="149"/>
      <c r="J1" s="149"/>
      <c r="K1" s="149"/>
      <c r="L1" s="149"/>
      <c r="M1" s="153" t="s">
        <v>372</v>
      </c>
      <c r="N1" s="154"/>
    </row>
    <row r="2">
      <c r="A2" s="149"/>
      <c r="B2" s="150" t="s">
        <v>373</v>
      </c>
      <c r="C2" s="151">
        <f>SUM(C7:C151)</f>
        <v>0</v>
      </c>
      <c r="D2" s="151" t="str">
        <f>IF(C2=Garden!E3,"Correct","Difficult")</f>
        <v>Correct</v>
      </c>
      <c r="E2" s="149"/>
      <c r="F2" s="149"/>
      <c r="G2" s="149"/>
      <c r="H2" s="149"/>
      <c r="I2" s="149"/>
      <c r="J2" s="149"/>
      <c r="K2" s="149"/>
      <c r="L2" s="149"/>
      <c r="M2" s="155" t="s">
        <v>374</v>
      </c>
      <c r="N2" s="156"/>
    </row>
    <row r="3">
      <c r="A3" s="149"/>
      <c r="B3" s="150" t="s">
        <v>375</v>
      </c>
      <c r="C3" s="151">
        <f>SUM(D7:D151)</f>
        <v>3</v>
      </c>
      <c r="D3" s="151" t="str">
        <f>IF(C3=Garden!E4,"Correct","Difficult")</f>
        <v>Correct</v>
      </c>
      <c r="E3" s="149"/>
      <c r="F3" s="149"/>
      <c r="G3" s="157"/>
      <c r="H3" s="157"/>
      <c r="I3" s="149"/>
      <c r="J3" s="157"/>
      <c r="K3" s="157"/>
      <c r="L3" s="149"/>
      <c r="M3" s="157"/>
      <c r="N3" s="158"/>
    </row>
    <row r="4">
      <c r="A4" s="149"/>
      <c r="B4" s="150" t="s">
        <v>376</v>
      </c>
      <c r="C4" s="151">
        <f>SUM(E7:E151)</f>
        <v>315</v>
      </c>
      <c r="D4" s="151" t="str">
        <f>IF(C4=Garden!E5,"Correct","Difficult")</f>
        <v>Correct</v>
      </c>
      <c r="E4" s="149"/>
      <c r="F4" s="159"/>
      <c r="G4" s="160" t="s">
        <v>377</v>
      </c>
      <c r="H4" s="161"/>
      <c r="I4" s="159"/>
      <c r="J4" s="160" t="s">
        <v>378</v>
      </c>
      <c r="K4" s="161"/>
      <c r="L4" s="159"/>
      <c r="M4" s="160" t="s">
        <v>379</v>
      </c>
      <c r="N4" s="161"/>
    </row>
    <row r="5">
      <c r="A5" s="157"/>
      <c r="B5" s="157"/>
      <c r="C5" s="157"/>
      <c r="D5" s="157"/>
      <c r="E5" s="157"/>
      <c r="F5" s="159"/>
      <c r="G5" s="162"/>
      <c r="H5" s="163"/>
      <c r="I5" s="159"/>
      <c r="J5" s="162"/>
      <c r="K5" s="163"/>
      <c r="L5" s="164" t="s">
        <v>380</v>
      </c>
      <c r="M5" s="162"/>
      <c r="N5" s="163"/>
    </row>
    <row r="6">
      <c r="A6" s="165" t="s">
        <v>15</v>
      </c>
      <c r="B6" s="166" t="s">
        <v>381</v>
      </c>
      <c r="C6" s="167" t="s">
        <v>27</v>
      </c>
      <c r="D6" s="167" t="s">
        <v>361</v>
      </c>
      <c r="E6" s="167" t="s">
        <v>360</v>
      </c>
      <c r="F6" s="159"/>
      <c r="G6" s="167" t="s">
        <v>381</v>
      </c>
      <c r="H6" s="167" t="s">
        <v>382</v>
      </c>
      <c r="I6" s="159"/>
      <c r="J6" s="167" t="s">
        <v>381</v>
      </c>
      <c r="K6" s="168" t="s">
        <v>383</v>
      </c>
      <c r="L6" s="169" t="s">
        <v>384</v>
      </c>
      <c r="M6" s="166" t="s">
        <v>381</v>
      </c>
      <c r="N6" s="170" t="s">
        <v>383</v>
      </c>
    </row>
    <row r="7">
      <c r="A7" s="171">
        <v>1.0</v>
      </c>
      <c r="B7" s="172" t="str">
        <f>IFERROR(__xludf.DUMMYFUNCTION("SORT(UNIQUE(Garden!$H$8:$H652),1,TRUE)"),"123xilef")</f>
        <v>123xilef</v>
      </c>
      <c r="C7" s="173">
        <f>IF(ISNUMBER($A7)=TRUE,COUNTIFS(Garden!$H$8:$H652,$B7,Garden!$M$8:$M652,"&gt;0"),"")</f>
        <v>0</v>
      </c>
      <c r="D7" s="173">
        <f>IF(ISNUMBER($A7)=TRUE,COUNTIFS(Garden!$H$8:$H652,$B7,Garden!$N$8:$N652,"&gt;0"),"")</f>
        <v>0</v>
      </c>
      <c r="E7" s="173">
        <f>IF(ISNUMBER($A7)=TRUE,COUNTIFS(Garden!$H$8:$H652,$B7,Garden!$K$8:$K652,"TRUE"),"")</f>
        <v>1</v>
      </c>
      <c r="F7" s="159"/>
      <c r="G7" s="174" t="str">
        <f>IFERROR(__xludf.DUMMYFUNCTION("SORT(QUERY($B7:$E$151,""select B,E where (E&gt;0)""),2,FALSE)"),"Neloras")</f>
        <v>Neloras</v>
      </c>
      <c r="H7" s="175">
        <f>IFERROR(__xludf.DUMMYFUNCTION("""COMPUTED_VALUE"""),23.0)</f>
        <v>23</v>
      </c>
      <c r="I7" s="159"/>
      <c r="J7" s="176" t="str">
        <f>IFERROR(__xludf.DUMMYFUNCTION("SORT(QUERY($B$7:$E$151,""select B,D where (D&gt;0)""),2,FALSE)"),"KarelVeliky")</f>
        <v>KarelVeliky</v>
      </c>
      <c r="K7" s="177">
        <f>IFERROR(__xludf.DUMMYFUNCTION("""COMPUTED_VALUE"""),2.0)</f>
        <v>2</v>
      </c>
      <c r="L7" s="178" t="str">
        <f t="shared" ref="L7:L151" si="1">IF(ISTEXT(J7),Hyperlink($L$5&amp;J7&amp;"/deploys/","Deploys"),"")</f>
        <v>Deploys</v>
      </c>
      <c r="M7" s="179" t="str">
        <f>IFERROR(__xludf.DUMMYFUNCTION("SORT(QUERY($B$7:$E$151,""select B,C where (C&gt;0)""),2,FALSE)"),"#N/A")</f>
        <v>#N/A</v>
      </c>
      <c r="N7" s="175"/>
    </row>
    <row r="8">
      <c r="A8" s="171">
        <f t="shared" ref="A8:A151" si="2">IF(ISTEXT(B8)=TRUE,MAX($A$6:$A7)+1,"")</f>
        <v>2</v>
      </c>
      <c r="B8" s="172" t="str">
        <f>IFERROR(__xludf.DUMMYFUNCTION("""COMPUTED_VALUE"""),"23speds")</f>
        <v>23speds</v>
      </c>
      <c r="C8" s="173">
        <f>IF(ISNUMBER($A8)=TRUE,COUNTIFS(Garden!$H$8:$H652,$B8,Garden!$M$8:$M652,"&gt;0"),"")</f>
        <v>0</v>
      </c>
      <c r="D8" s="173">
        <f>IF(ISNUMBER($A8)=TRUE,COUNTIFS(Garden!$H$8:$H652,$B8,Garden!$N$8:$N652,"&gt;0"),"")</f>
        <v>0</v>
      </c>
      <c r="E8" s="173">
        <f>IF(ISNUMBER($A8)=TRUE,COUNTIFS(Garden!$H$8:$H652,$B8,Garden!$K$8:$K652,"TRUE"),"")</f>
        <v>1</v>
      </c>
      <c r="F8" s="159"/>
      <c r="G8" s="174" t="str">
        <f>IFERROR(__xludf.DUMMYFUNCTION("""COMPUTED_VALUE"""),"KarelVeliky")</f>
        <v>KarelVeliky</v>
      </c>
      <c r="H8" s="175">
        <f>IFERROR(__xludf.DUMMYFUNCTION("""COMPUTED_VALUE"""),22.0)</f>
        <v>22</v>
      </c>
      <c r="I8" s="159"/>
      <c r="J8" s="174" t="str">
        <f>IFERROR(__xludf.DUMMYFUNCTION("""COMPUTED_VALUE"""),"mortonfox")</f>
        <v>mortonfox</v>
      </c>
      <c r="K8" s="175">
        <f>IFERROR(__xludf.DUMMYFUNCTION("""COMPUTED_VALUE"""),1.0)</f>
        <v>1</v>
      </c>
      <c r="L8" s="180" t="str">
        <f t="shared" si="1"/>
        <v>Deploys</v>
      </c>
      <c r="M8" s="172"/>
      <c r="N8" s="175"/>
    </row>
    <row r="9">
      <c r="A9" s="171">
        <f t="shared" si="2"/>
        <v>3</v>
      </c>
      <c r="B9" s="172" t="str">
        <f>IFERROR(__xludf.DUMMYFUNCTION("""COMPUTED_VALUE"""),"29Februaris")</f>
        <v>29Februaris</v>
      </c>
      <c r="C9" s="173">
        <f>IF(ISNUMBER($A9)=TRUE,COUNTIFS(Garden!$H$8:$H652,$B9,Garden!$M$8:$M652,"&gt;0"),"")</f>
        <v>0</v>
      </c>
      <c r="D9" s="173">
        <f>IF(ISNUMBER($A9)=TRUE,COUNTIFS(Garden!$H$8:$H652,$B9,Garden!$N$8:$N652,"&gt;0"),"")</f>
        <v>0</v>
      </c>
      <c r="E9" s="173">
        <f>IF(ISNUMBER($A9)=TRUE,COUNTIFS(Garden!$H$8:$H652,$B9,Garden!$K$8:$K652,"TRUE"),"")</f>
        <v>11</v>
      </c>
      <c r="F9" s="159"/>
      <c r="G9" s="174" t="str">
        <f>IFERROR(__xludf.DUMMYFUNCTION("""COMPUTED_VALUE"""),"Nicolet")</f>
        <v>Nicolet</v>
      </c>
      <c r="H9" s="175">
        <f>IFERROR(__xludf.DUMMYFUNCTION("""COMPUTED_VALUE"""),22.0)</f>
        <v>22</v>
      </c>
      <c r="I9" s="159"/>
      <c r="J9" s="174"/>
      <c r="K9" s="175"/>
      <c r="L9" s="177" t="str">
        <f t="shared" si="1"/>
        <v/>
      </c>
      <c r="M9" s="172"/>
      <c r="N9" s="175"/>
    </row>
    <row r="10">
      <c r="A10" s="171">
        <f t="shared" si="2"/>
        <v>4</v>
      </c>
      <c r="B10" s="172" t="str">
        <f>IFERROR(__xludf.DUMMYFUNCTION("""COMPUTED_VALUE"""),"Adushka")</f>
        <v>Adushka</v>
      </c>
      <c r="C10" s="173">
        <f>IF(ISNUMBER($A10)=TRUE,COUNTIFS(Garden!$H$8:$H652,$B10,Garden!$M$8:$M652,"&gt;0"),"")</f>
        <v>0</v>
      </c>
      <c r="D10" s="173">
        <f>IF(ISNUMBER($A10)=TRUE,COUNTIFS(Garden!$H$8:$H652,$B10,Garden!$N$8:$N652,"&gt;0"),"")</f>
        <v>0</v>
      </c>
      <c r="E10" s="173">
        <f>IF(ISNUMBER($A10)=TRUE,COUNTIFS(Garden!$H$8:$H652,$B10,Garden!$K$8:$K652,"TRUE"),"")</f>
        <v>3</v>
      </c>
      <c r="F10" s="159"/>
      <c r="G10" s="174" t="str">
        <f>IFERROR(__xludf.DUMMYFUNCTION("""COMPUTED_VALUE"""),"Kapor24")</f>
        <v>Kapor24</v>
      </c>
      <c r="H10" s="175">
        <f>IFERROR(__xludf.DUMMYFUNCTION("""COMPUTED_VALUE"""),21.0)</f>
        <v>21</v>
      </c>
      <c r="I10" s="159"/>
      <c r="J10" s="174"/>
      <c r="K10" s="175"/>
      <c r="L10" s="177" t="str">
        <f t="shared" si="1"/>
        <v/>
      </c>
      <c r="M10" s="172"/>
      <c r="N10" s="175"/>
    </row>
    <row r="11">
      <c r="A11" s="171">
        <f t="shared" si="2"/>
        <v>5</v>
      </c>
      <c r="B11" s="172" t="str">
        <f>IFERROR(__xludf.DUMMYFUNCTION("""COMPUTED_VALUE"""),"Aiden29")</f>
        <v>Aiden29</v>
      </c>
      <c r="C11" s="173">
        <f>IF(ISNUMBER($A11)=TRUE,COUNTIFS(Garden!$H$8:$H652,$B11,Garden!$M$8:$M652,"&gt;0"),"")</f>
        <v>0</v>
      </c>
      <c r="D11" s="173">
        <f>IF(ISNUMBER($A11)=TRUE,COUNTIFS(Garden!$H$8:$H652,$B11,Garden!$N$8:$N652,"&gt;0"),"")</f>
        <v>0</v>
      </c>
      <c r="E11" s="173">
        <f>IF(ISNUMBER($A11)=TRUE,COUNTIFS(Garden!$H$8:$H652,$B11,Garden!$K$8:$K652,"TRUE"),"")</f>
        <v>1</v>
      </c>
      <c r="F11" s="159"/>
      <c r="G11" s="174" t="str">
        <f>IFERROR(__xludf.DUMMYFUNCTION("""COMPUTED_VALUE"""),"mathew611")</f>
        <v>mathew611</v>
      </c>
      <c r="H11" s="175">
        <f>IFERROR(__xludf.DUMMYFUNCTION("""COMPUTED_VALUE"""),19.0)</f>
        <v>19</v>
      </c>
      <c r="I11" s="159"/>
      <c r="J11" s="174"/>
      <c r="K11" s="175"/>
      <c r="L11" s="177" t="str">
        <f t="shared" si="1"/>
        <v/>
      </c>
      <c r="M11" s="172"/>
      <c r="N11" s="175"/>
    </row>
    <row r="12">
      <c r="A12" s="171">
        <f t="shared" si="2"/>
        <v>6</v>
      </c>
      <c r="B12" s="172" t="str">
        <f>IFERROR(__xludf.DUMMYFUNCTION("""COMPUTED_VALUE"""),"ajaxiss")</f>
        <v>ajaxiss</v>
      </c>
      <c r="C12" s="173">
        <f>IF(ISNUMBER($A12)=TRUE,COUNTIFS(Garden!$H$8:$H652,$B12,Garden!$M$8:$M652,"&gt;0"),"")</f>
        <v>0</v>
      </c>
      <c r="D12" s="173">
        <f>IF(ISNUMBER($A12)=TRUE,COUNTIFS(Garden!$H$8:$H652,$B12,Garden!$N$8:$N652,"&gt;0"),"")</f>
        <v>0</v>
      </c>
      <c r="E12" s="173">
        <f>IF(ISNUMBER($A12)=TRUE,COUNTIFS(Garden!$H$8:$H652,$B12,Garden!$K$8:$K652,"TRUE"),"")</f>
        <v>1</v>
      </c>
      <c r="F12" s="159"/>
      <c r="G12" s="174" t="str">
        <f>IFERROR(__xludf.DUMMYFUNCTION("""COMPUTED_VALUE"""),"Charonovci")</f>
        <v>Charonovci</v>
      </c>
      <c r="H12" s="175">
        <f>IFERROR(__xludf.DUMMYFUNCTION("""COMPUTED_VALUE"""),16.0)</f>
        <v>16</v>
      </c>
      <c r="I12" s="159"/>
      <c r="J12" s="174"/>
      <c r="K12" s="175"/>
      <c r="L12" s="177" t="str">
        <f t="shared" si="1"/>
        <v/>
      </c>
      <c r="M12" s="172"/>
      <c r="N12" s="175"/>
    </row>
    <row r="13">
      <c r="A13" s="171">
        <f t="shared" si="2"/>
        <v>7</v>
      </c>
      <c r="B13" s="172" t="str">
        <f>IFERROR(__xludf.DUMMYFUNCTION("""COMPUTED_VALUE"""),"amadoreugen")</f>
        <v>amadoreugen</v>
      </c>
      <c r="C13" s="173">
        <f>IF(ISNUMBER($A13)=TRUE,COUNTIFS(Garden!$H$8:$H652,$B13,Garden!$M$8:$M652,"&gt;0"),"")</f>
        <v>0</v>
      </c>
      <c r="D13" s="173">
        <f>IF(ISNUMBER($A13)=TRUE,COUNTIFS(Garden!$H$8:$H652,$B13,Garden!$N$8:$N652,"&gt;0"),"")</f>
        <v>0</v>
      </c>
      <c r="E13" s="173">
        <f>IF(ISNUMBER($A13)=TRUE,COUNTIFS(Garden!$H$8:$H652,$B13,Garden!$K$8:$K652,"TRUE"),"")</f>
        <v>1</v>
      </c>
      <c r="F13" s="159"/>
      <c r="G13" s="174" t="str">
        <f>IFERROR(__xludf.DUMMYFUNCTION("""COMPUTED_VALUE"""),"29Februaris")</f>
        <v>29Februaris</v>
      </c>
      <c r="H13" s="175">
        <f>IFERROR(__xludf.DUMMYFUNCTION("""COMPUTED_VALUE"""),11.0)</f>
        <v>11</v>
      </c>
      <c r="I13" s="159"/>
      <c r="J13" s="174"/>
      <c r="K13" s="175"/>
      <c r="L13" s="177" t="str">
        <f t="shared" si="1"/>
        <v/>
      </c>
      <c r="M13" s="172"/>
      <c r="N13" s="175"/>
    </row>
    <row r="14">
      <c r="A14" s="171">
        <f t="shared" si="2"/>
        <v>8</v>
      </c>
      <c r="B14" s="172" t="str">
        <f>IFERROR(__xludf.DUMMYFUNCTION("""COMPUTED_VALUE"""),"and2470")</f>
        <v>and2470</v>
      </c>
      <c r="C14" s="173">
        <f>IF(ISNUMBER($A14)=TRUE,COUNTIFS(Garden!$H$8:$H652,$B14,Garden!$M$8:$M652,"&gt;0"),"")</f>
        <v>0</v>
      </c>
      <c r="D14" s="173">
        <f>IF(ISNUMBER($A14)=TRUE,COUNTIFS(Garden!$H$8:$H652,$B14,Garden!$N$8:$N652,"&gt;0"),"")</f>
        <v>0</v>
      </c>
      <c r="E14" s="173">
        <f>IF(ISNUMBER($A14)=TRUE,COUNTIFS(Garden!$H$8:$H652,$B14,Garden!$K$8:$K652,"TRUE"),"")</f>
        <v>7</v>
      </c>
      <c r="F14" s="159"/>
      <c r="G14" s="174" t="str">
        <f>IFERROR(__xludf.DUMMYFUNCTION("""COMPUTED_VALUE"""),"Lorax1")</f>
        <v>Lorax1</v>
      </c>
      <c r="H14" s="175">
        <f>IFERROR(__xludf.DUMMYFUNCTION("""COMPUTED_VALUE"""),10.0)</f>
        <v>10</v>
      </c>
      <c r="I14" s="159"/>
      <c r="J14" s="174"/>
      <c r="K14" s="175"/>
      <c r="L14" s="177" t="str">
        <f t="shared" si="1"/>
        <v/>
      </c>
      <c r="M14" s="172"/>
      <c r="N14" s="175"/>
    </row>
    <row r="15">
      <c r="A15" s="171">
        <f t="shared" si="2"/>
        <v>9</v>
      </c>
      <c r="B15" s="172" t="str">
        <f>IFERROR(__xludf.DUMMYFUNCTION("""COMPUTED_VALUE"""),"annabanana")</f>
        <v>annabanana</v>
      </c>
      <c r="C15" s="173">
        <f>IF(ISNUMBER($A15)=TRUE,COUNTIFS(Garden!$H$8:$H652,$B15,Garden!$M$8:$M652,"&gt;0"),"")</f>
        <v>0</v>
      </c>
      <c r="D15" s="173">
        <f>IF(ISNUMBER($A15)=TRUE,COUNTIFS(Garden!$H$8:$H652,$B15,Garden!$N$8:$N652,"&gt;0"),"")</f>
        <v>0</v>
      </c>
      <c r="E15" s="173">
        <f>IF(ISNUMBER($A15)=TRUE,COUNTIFS(Garden!$H$8:$H652,$B15,Garden!$K$8:$K652,"TRUE"),"")</f>
        <v>1</v>
      </c>
      <c r="F15" s="159"/>
      <c r="G15" s="174" t="str">
        <f>IFERROR(__xludf.DUMMYFUNCTION("""COMPUTED_VALUE"""),"florish")</f>
        <v>florish</v>
      </c>
      <c r="H15" s="175">
        <f>IFERROR(__xludf.DUMMYFUNCTION("""COMPUTED_VALUE"""),9.0)</f>
        <v>9</v>
      </c>
      <c r="I15" s="159"/>
      <c r="J15" s="174"/>
      <c r="K15" s="175"/>
      <c r="L15" s="177" t="str">
        <f t="shared" si="1"/>
        <v/>
      </c>
      <c r="M15" s="172"/>
      <c r="N15" s="175"/>
    </row>
    <row r="16">
      <c r="A16" s="171">
        <f t="shared" si="2"/>
        <v>10</v>
      </c>
      <c r="B16" s="172" t="str">
        <f>IFERROR(__xludf.DUMMYFUNCTION("""COMPUTED_VALUE"""),"Attis")</f>
        <v>Attis</v>
      </c>
      <c r="C16" s="173">
        <f>IF(ISNUMBER($A16)=TRUE,COUNTIFS(Garden!$H$8:$H652,$B16,Garden!$M$8:$M652,"&gt;0"),"")</f>
        <v>0</v>
      </c>
      <c r="D16" s="173">
        <f>IF(ISNUMBER($A16)=TRUE,COUNTIFS(Garden!$H$8:$H652,$B16,Garden!$N$8:$N652,"&gt;0"),"")</f>
        <v>0</v>
      </c>
      <c r="E16" s="173">
        <f>IF(ISNUMBER($A16)=TRUE,COUNTIFS(Garden!$H$8:$H652,$B16,Garden!$K$8:$K652,"TRUE"),"")</f>
        <v>1</v>
      </c>
      <c r="F16" s="159"/>
      <c r="G16" s="174" t="str">
        <f>IFERROR(__xludf.DUMMYFUNCTION("""COMPUTED_VALUE"""),"jurikvandspol")</f>
        <v>jurikvandspol</v>
      </c>
      <c r="H16" s="175">
        <f>IFERROR(__xludf.DUMMYFUNCTION("""COMPUTED_VALUE"""),9.0)</f>
        <v>9</v>
      </c>
      <c r="I16" s="159"/>
      <c r="J16" s="174"/>
      <c r="K16" s="175"/>
      <c r="L16" s="177" t="str">
        <f t="shared" si="1"/>
        <v/>
      </c>
      <c r="M16" s="172"/>
      <c r="N16" s="175"/>
    </row>
    <row r="17">
      <c r="A17" s="171">
        <f t="shared" si="2"/>
        <v>11</v>
      </c>
      <c r="B17" s="172" t="str">
        <f>IFERROR(__xludf.DUMMYFUNCTION("""COMPUTED_VALUE"""),"aufbau")</f>
        <v>aufbau</v>
      </c>
      <c r="C17" s="173">
        <f>IF(ISNUMBER($A17)=TRUE,COUNTIFS(Garden!$H$8:$H652,$B17,Garden!$M$8:$M652,"&gt;0"),"")</f>
        <v>0</v>
      </c>
      <c r="D17" s="173">
        <f>IF(ISNUMBER($A17)=TRUE,COUNTIFS(Garden!$H$8:$H652,$B17,Garden!$N$8:$N652,"&gt;0"),"")</f>
        <v>0</v>
      </c>
      <c r="E17" s="173">
        <f>IF(ISNUMBER($A17)=TRUE,COUNTIFS(Garden!$H$8:$H652,$B17,Garden!$K$8:$K652,"TRUE"),"")</f>
        <v>1</v>
      </c>
      <c r="F17" s="159"/>
      <c r="G17" s="174" t="str">
        <f>IFERROR(__xludf.DUMMYFUNCTION("""COMPUTED_VALUE"""),"EeveeFox")</f>
        <v>EeveeFox</v>
      </c>
      <c r="H17" s="175">
        <f>IFERROR(__xludf.DUMMYFUNCTION("""COMPUTED_VALUE"""),8.0)</f>
        <v>8</v>
      </c>
      <c r="I17" s="159"/>
      <c r="J17" s="174"/>
      <c r="K17" s="175"/>
      <c r="L17" s="177" t="str">
        <f t="shared" si="1"/>
        <v/>
      </c>
      <c r="M17" s="172"/>
      <c r="N17" s="175"/>
    </row>
    <row r="18">
      <c r="A18" s="171">
        <f t="shared" si="2"/>
        <v>12</v>
      </c>
      <c r="B18" s="172" t="str">
        <f>IFERROR(__xludf.DUMMYFUNCTION("""COMPUTED_VALUE"""),"babyw")</f>
        <v>babyw</v>
      </c>
      <c r="C18" s="173">
        <f>IF(ISNUMBER($A18)=TRUE,COUNTIFS(Garden!$H$8:$H652,$B18,Garden!$M$8:$M652,"&gt;0"),"")</f>
        <v>0</v>
      </c>
      <c r="D18" s="173">
        <f>IF(ISNUMBER($A18)=TRUE,COUNTIFS(Garden!$H$8:$H652,$B18,Garden!$N$8:$N652,"&gt;0"),"")</f>
        <v>0</v>
      </c>
      <c r="E18" s="173">
        <f>IF(ISNUMBER($A18)=TRUE,COUNTIFS(Garden!$H$8:$H652,$B18,Garden!$K$8:$K652,"TRUE"),"")</f>
        <v>1</v>
      </c>
      <c r="F18" s="159"/>
      <c r="G18" s="174" t="str">
        <f>IFERROR(__xludf.DUMMYFUNCTION("""COMPUTED_VALUE"""),"Rikitan")</f>
        <v>Rikitan</v>
      </c>
      <c r="H18" s="175">
        <f>IFERROR(__xludf.DUMMYFUNCTION("""COMPUTED_VALUE"""),8.0)</f>
        <v>8</v>
      </c>
      <c r="I18" s="159"/>
      <c r="J18" s="174"/>
      <c r="K18" s="175"/>
      <c r="L18" s="177" t="str">
        <f t="shared" si="1"/>
        <v/>
      </c>
      <c r="M18" s="172"/>
      <c r="N18" s="175"/>
    </row>
    <row r="19">
      <c r="A19" s="171">
        <f t="shared" si="2"/>
        <v>13</v>
      </c>
      <c r="B19" s="172" t="str">
        <f>IFERROR(__xludf.DUMMYFUNCTION("""COMPUTED_VALUE"""),"barefootguru")</f>
        <v>barefootguru</v>
      </c>
      <c r="C19" s="173">
        <f>IF(ISNUMBER($A19)=TRUE,COUNTIFS(Garden!$H$8:$H652,$B19,Garden!$M$8:$M652,"&gt;0"),"")</f>
        <v>0</v>
      </c>
      <c r="D19" s="173">
        <f>IF(ISNUMBER($A19)=TRUE,COUNTIFS(Garden!$H$8:$H652,$B19,Garden!$N$8:$N652,"&gt;0"),"")</f>
        <v>0</v>
      </c>
      <c r="E19" s="173">
        <f>IF(ISNUMBER($A19)=TRUE,COUNTIFS(Garden!$H$8:$H652,$B19,Garden!$K$8:$K652,"TRUE"),"")</f>
        <v>1</v>
      </c>
      <c r="F19" s="159"/>
      <c r="G19" s="174" t="str">
        <f>IFERROR(__xludf.DUMMYFUNCTION("""COMPUTED_VALUE"""),"and2470")</f>
        <v>and2470</v>
      </c>
      <c r="H19" s="175">
        <f>IFERROR(__xludf.DUMMYFUNCTION("""COMPUTED_VALUE"""),7.0)</f>
        <v>7</v>
      </c>
      <c r="I19" s="159"/>
      <c r="J19" s="174"/>
      <c r="K19" s="175"/>
      <c r="L19" s="177" t="str">
        <f t="shared" si="1"/>
        <v/>
      </c>
      <c r="M19" s="172"/>
      <c r="N19" s="175"/>
    </row>
    <row r="20">
      <c r="A20" s="171">
        <f t="shared" si="2"/>
        <v>14</v>
      </c>
      <c r="B20" s="172" t="str">
        <f>IFERROR(__xludf.DUMMYFUNCTION("""COMPUTED_VALUE"""),"bazfum")</f>
        <v>bazfum</v>
      </c>
      <c r="C20" s="173">
        <f>IF(ISNUMBER($A20)=TRUE,COUNTIFS(Garden!$H$8:$H652,$B20,Garden!$M$8:$M652,"&gt;0"),"")</f>
        <v>0</v>
      </c>
      <c r="D20" s="173">
        <f>IF(ISNUMBER($A20)=TRUE,COUNTIFS(Garden!$H$8:$H652,$B20,Garden!$N$8:$N652,"&gt;0"),"")</f>
        <v>0</v>
      </c>
      <c r="E20" s="173">
        <f>IF(ISNUMBER($A20)=TRUE,COUNTIFS(Garden!$H$8:$H652,$B20,Garden!$K$8:$K652,"TRUE"),"")</f>
        <v>1</v>
      </c>
      <c r="F20" s="159"/>
      <c r="G20" s="174" t="str">
        <f>IFERROR(__xludf.DUMMYFUNCTION("""COMPUTED_VALUE"""),"Kumahelion")</f>
        <v>Kumahelion</v>
      </c>
      <c r="H20" s="175">
        <f>IFERROR(__xludf.DUMMYFUNCTION("""COMPUTED_VALUE"""),7.0)</f>
        <v>7</v>
      </c>
      <c r="I20" s="159"/>
      <c r="J20" s="174"/>
      <c r="K20" s="175"/>
      <c r="L20" s="177" t="str">
        <f t="shared" si="1"/>
        <v/>
      </c>
      <c r="M20" s="172"/>
      <c r="N20" s="175"/>
    </row>
    <row r="21">
      <c r="A21" s="171">
        <f t="shared" si="2"/>
        <v>15</v>
      </c>
      <c r="B21" s="172" t="str">
        <f>IFERROR(__xludf.DUMMYFUNCTION("""COMPUTED_VALUE"""),"Bisquick2")</f>
        <v>Bisquick2</v>
      </c>
      <c r="C21" s="173">
        <f>IF(ISNUMBER($A21)=TRUE,COUNTIFS(Garden!$H$8:$H652,$B21,Garden!$M$8:$M652,"&gt;0"),"")</f>
        <v>0</v>
      </c>
      <c r="D21" s="173">
        <f>IF(ISNUMBER($A21)=TRUE,COUNTIFS(Garden!$H$8:$H652,$B21,Garden!$N$8:$N652,"&gt;0"),"")</f>
        <v>0</v>
      </c>
      <c r="E21" s="173">
        <f>IF(ISNUMBER($A21)=TRUE,COUNTIFS(Garden!$H$8:$H652,$B21,Garden!$K$8:$K652,"TRUE"),"")</f>
        <v>1</v>
      </c>
      <c r="F21" s="159"/>
      <c r="G21" s="174" t="str">
        <f>IFERROR(__xludf.DUMMYFUNCTION("""COMPUTED_VALUE"""),"MacickaLizza")</f>
        <v>MacickaLizza</v>
      </c>
      <c r="H21" s="175">
        <f>IFERROR(__xludf.DUMMYFUNCTION("""COMPUTED_VALUE"""),7.0)</f>
        <v>7</v>
      </c>
      <c r="I21" s="159"/>
      <c r="J21" s="174"/>
      <c r="K21" s="175"/>
      <c r="L21" s="177" t="str">
        <f t="shared" si="1"/>
        <v/>
      </c>
      <c r="M21" s="172"/>
      <c r="N21" s="175"/>
    </row>
    <row r="22">
      <c r="A22" s="171">
        <f t="shared" si="2"/>
        <v>16</v>
      </c>
      <c r="B22" s="172" t="str">
        <f>IFERROR(__xludf.DUMMYFUNCTION("""COMPUTED_VALUE"""),"BonnieB1")</f>
        <v>BonnieB1</v>
      </c>
      <c r="C22" s="173">
        <f>IF(ISNUMBER($A22)=TRUE,COUNTIFS(Garden!$H$8:$H652,$B22,Garden!$M$8:$M652,"&gt;0"),"")</f>
        <v>0</v>
      </c>
      <c r="D22" s="173">
        <f>IF(ISNUMBER($A22)=TRUE,COUNTIFS(Garden!$H$8:$H652,$B22,Garden!$N$8:$N652,"&gt;0"),"")</f>
        <v>0</v>
      </c>
      <c r="E22" s="173">
        <f>IF(ISNUMBER($A22)=TRUE,COUNTIFS(Garden!$H$8:$H652,$B22,Garden!$K$8:$K652,"TRUE"),"")</f>
        <v>1</v>
      </c>
      <c r="F22" s="159"/>
      <c r="G22" s="174" t="str">
        <f>IFERROR(__xludf.DUMMYFUNCTION("""COMPUTED_VALUE"""),"harrie56")</f>
        <v>harrie56</v>
      </c>
      <c r="H22" s="175">
        <f>IFERROR(__xludf.DUMMYFUNCTION("""COMPUTED_VALUE"""),5.0)</f>
        <v>5</v>
      </c>
      <c r="I22" s="159"/>
      <c r="J22" s="174"/>
      <c r="K22" s="175"/>
      <c r="L22" s="177" t="str">
        <f t="shared" si="1"/>
        <v/>
      </c>
      <c r="M22" s="172"/>
      <c r="N22" s="175"/>
    </row>
    <row r="23">
      <c r="A23" s="171">
        <f t="shared" si="2"/>
        <v>17</v>
      </c>
      <c r="B23" s="172" t="str">
        <f>IFERROR(__xludf.DUMMYFUNCTION("""COMPUTED_VALUE"""),"c-bn")</f>
        <v>c-bn</v>
      </c>
      <c r="C23" s="173">
        <f>IF(ISNUMBER($A23)=TRUE,COUNTIFS(Garden!$H$8:$H652,$B23,Garden!$M$8:$M652,"&gt;0"),"")</f>
        <v>0</v>
      </c>
      <c r="D23" s="173">
        <f>IF(ISNUMBER($A23)=TRUE,COUNTIFS(Garden!$H$8:$H652,$B23,Garden!$N$8:$N652,"&gt;0"),"")</f>
        <v>0</v>
      </c>
      <c r="E23" s="173">
        <f>IF(ISNUMBER($A23)=TRUE,COUNTIFS(Garden!$H$8:$H652,$B23,Garden!$K$8:$K652,"TRUE"),"")</f>
        <v>1</v>
      </c>
      <c r="F23" s="159"/>
      <c r="G23" s="174" t="str">
        <f>IFERROR(__xludf.DUMMYFUNCTION("""COMPUTED_VALUE"""),"woenny")</f>
        <v>woenny</v>
      </c>
      <c r="H23" s="175">
        <f>IFERROR(__xludf.DUMMYFUNCTION("""COMPUTED_VALUE"""),5.0)</f>
        <v>5</v>
      </c>
      <c r="I23" s="159"/>
      <c r="J23" s="174"/>
      <c r="K23" s="175"/>
      <c r="L23" s="177" t="str">
        <f t="shared" si="1"/>
        <v/>
      </c>
      <c r="M23" s="172"/>
      <c r="N23" s="175"/>
    </row>
    <row r="24">
      <c r="A24" s="171">
        <f t="shared" si="2"/>
        <v>18</v>
      </c>
      <c r="B24" s="172" t="str">
        <f>IFERROR(__xludf.DUMMYFUNCTION("""COMPUTED_VALUE"""),"Centern")</f>
        <v>Centern</v>
      </c>
      <c r="C24" s="173">
        <f>IF(ISNUMBER($A24)=TRUE,COUNTIFS(Garden!$H$8:$H652,$B24,Garden!$M$8:$M652,"&gt;0"),"")</f>
        <v>0</v>
      </c>
      <c r="D24" s="173">
        <f>IF(ISNUMBER($A24)=TRUE,COUNTIFS(Garden!$H$8:$H652,$B24,Garden!$N$8:$N652,"&gt;0"),"")</f>
        <v>0</v>
      </c>
      <c r="E24" s="173">
        <f>IF(ISNUMBER($A24)=TRUE,COUNTIFS(Garden!$H$8:$H652,$B24,Garden!$K$8:$K652,"TRUE"),"")</f>
        <v>1</v>
      </c>
      <c r="F24" s="159"/>
      <c r="G24" s="174" t="str">
        <f>IFERROR(__xludf.DUMMYFUNCTION("""COMPUTED_VALUE"""),"Soitenlysue")</f>
        <v>Soitenlysue</v>
      </c>
      <c r="H24" s="175">
        <f>IFERROR(__xludf.DUMMYFUNCTION("""COMPUTED_VALUE"""),4.0)</f>
        <v>4</v>
      </c>
      <c r="I24" s="159"/>
      <c r="J24" s="174"/>
      <c r="K24" s="175"/>
      <c r="L24" s="177" t="str">
        <f t="shared" si="1"/>
        <v/>
      </c>
      <c r="M24" s="172"/>
      <c r="N24" s="175"/>
    </row>
    <row r="25">
      <c r="A25" s="171">
        <f t="shared" si="2"/>
        <v>19</v>
      </c>
      <c r="B25" s="172" t="str">
        <f>IFERROR(__xludf.DUMMYFUNCTION("""COMPUTED_VALUE"""),"chaosmanor")</f>
        <v>chaosmanor</v>
      </c>
      <c r="C25" s="173">
        <f>IF(ISNUMBER($A25)=TRUE,COUNTIFS(Garden!$H$8:$H652,$B25,Garden!$M$8:$M652,"&gt;0"),"")</f>
        <v>0</v>
      </c>
      <c r="D25" s="173">
        <f>IF(ISNUMBER($A25)=TRUE,COUNTIFS(Garden!$H$8:$H652,$B25,Garden!$N$8:$N652,"&gt;0"),"")</f>
        <v>0</v>
      </c>
      <c r="E25" s="173">
        <f>IF(ISNUMBER($A25)=TRUE,COUNTIFS(Garden!$H$8:$H652,$B25,Garden!$K$8:$K652,"TRUE"),"")</f>
        <v>3</v>
      </c>
      <c r="F25" s="159"/>
      <c r="G25" s="174" t="str">
        <f>IFERROR(__xludf.DUMMYFUNCTION("""COMPUTED_VALUE"""),"Adushka")</f>
        <v>Adushka</v>
      </c>
      <c r="H25" s="175">
        <f>IFERROR(__xludf.DUMMYFUNCTION("""COMPUTED_VALUE"""),3.0)</f>
        <v>3</v>
      </c>
      <c r="I25" s="159"/>
      <c r="J25" s="174"/>
      <c r="K25" s="175"/>
      <c r="L25" s="177" t="str">
        <f t="shared" si="1"/>
        <v/>
      </c>
      <c r="M25" s="172"/>
      <c r="N25" s="175"/>
    </row>
    <row r="26">
      <c r="A26" s="171">
        <f t="shared" si="2"/>
        <v>20</v>
      </c>
      <c r="B26" s="172" t="str">
        <f>IFERROR(__xludf.DUMMYFUNCTION("""COMPUTED_VALUE"""),"Charonovci")</f>
        <v>Charonovci</v>
      </c>
      <c r="C26" s="173">
        <f>IF(ISNUMBER($A26)=TRUE,COUNTIFS(Garden!$H$8:$H652,$B26,Garden!$M$8:$M652,"&gt;0"),"")</f>
        <v>0</v>
      </c>
      <c r="D26" s="173">
        <f>IF(ISNUMBER($A26)=TRUE,COUNTIFS(Garden!$H$8:$H652,$B26,Garden!$N$8:$N652,"&gt;0"),"")</f>
        <v>0</v>
      </c>
      <c r="E26" s="173">
        <f>IF(ISNUMBER($A26)=TRUE,COUNTIFS(Garden!$H$8:$H652,$B26,Garden!$K$8:$K652,"TRUE"),"")</f>
        <v>16</v>
      </c>
      <c r="F26" s="159"/>
      <c r="G26" s="174" t="str">
        <f>IFERROR(__xludf.DUMMYFUNCTION("""COMPUTED_VALUE"""),"chaosmanor")</f>
        <v>chaosmanor</v>
      </c>
      <c r="H26" s="175">
        <f>IFERROR(__xludf.DUMMYFUNCTION("""COMPUTED_VALUE"""),3.0)</f>
        <v>3</v>
      </c>
      <c r="I26" s="159"/>
      <c r="J26" s="174"/>
      <c r="K26" s="175"/>
      <c r="L26" s="177" t="str">
        <f t="shared" si="1"/>
        <v/>
      </c>
      <c r="M26" s="172"/>
      <c r="N26" s="175"/>
    </row>
    <row r="27">
      <c r="A27" s="171">
        <f t="shared" si="2"/>
        <v>21</v>
      </c>
      <c r="B27" s="172" t="str">
        <f>IFERROR(__xludf.DUMMYFUNCTION("""COMPUTED_VALUE"""),"ChickenRun")</f>
        <v>ChickenRun</v>
      </c>
      <c r="C27" s="173">
        <f>IF(ISNUMBER($A27)=TRUE,COUNTIFS(Garden!$H$8:$H652,$B27,Garden!$M$8:$M652,"&gt;0"),"")</f>
        <v>0</v>
      </c>
      <c r="D27" s="173">
        <f>IF(ISNUMBER($A27)=TRUE,COUNTIFS(Garden!$H$8:$H652,$B27,Garden!$N$8:$N652,"&gt;0"),"")</f>
        <v>0</v>
      </c>
      <c r="E27" s="173">
        <f>IF(ISNUMBER($A27)=TRUE,COUNTIFS(Garden!$H$8:$H652,$B27,Garden!$K$8:$K652,"TRUE"),"")</f>
        <v>1</v>
      </c>
      <c r="F27" s="159"/>
      <c r="G27" s="174" t="str">
        <f>IFERROR(__xludf.DUMMYFUNCTION("""COMPUTED_VALUE"""),"scarlettdragon")</f>
        <v>scarlettdragon</v>
      </c>
      <c r="H27" s="175">
        <f>IFERROR(__xludf.DUMMYFUNCTION("""COMPUTED_VALUE"""),3.0)</f>
        <v>3</v>
      </c>
      <c r="I27" s="159"/>
      <c r="J27" s="174"/>
      <c r="K27" s="175"/>
      <c r="L27" s="177" t="str">
        <f t="shared" si="1"/>
        <v/>
      </c>
      <c r="M27" s="172"/>
      <c r="N27" s="175"/>
    </row>
    <row r="28">
      <c r="A28" s="171">
        <f t="shared" si="2"/>
        <v>22</v>
      </c>
      <c r="B28" s="172" t="str">
        <f>IFERROR(__xludf.DUMMYFUNCTION("""COMPUTED_VALUE"""),"Chivasloyal")</f>
        <v>Chivasloyal</v>
      </c>
      <c r="C28" s="173">
        <f>IF(ISNUMBER($A28)=TRUE,COUNTIFS(Garden!$H$8:$H652,$B28,Garden!$M$8:$M652,"&gt;0"),"")</f>
        <v>0</v>
      </c>
      <c r="D28" s="173">
        <f>IF(ISNUMBER($A28)=TRUE,COUNTIFS(Garden!$H$8:$H652,$B28,Garden!$N$8:$N652,"&gt;0"),"")</f>
        <v>0</v>
      </c>
      <c r="E28" s="173">
        <f>IF(ISNUMBER($A28)=TRUE,COUNTIFS(Garden!$H$8:$H652,$B28,Garden!$K$8:$K652,"TRUE"),"")</f>
        <v>1</v>
      </c>
      <c r="F28" s="159"/>
      <c r="G28" s="174" t="str">
        <f>IFERROR(__xludf.DUMMYFUNCTION("""COMPUTED_VALUE"""),"TheEvilPoles")</f>
        <v>TheEvilPoles</v>
      </c>
      <c r="H28" s="175">
        <f>IFERROR(__xludf.DUMMYFUNCTION("""COMPUTED_VALUE"""),3.0)</f>
        <v>3</v>
      </c>
      <c r="I28" s="159"/>
      <c r="J28" s="174"/>
      <c r="K28" s="175"/>
      <c r="L28" s="177" t="str">
        <f t="shared" si="1"/>
        <v/>
      </c>
      <c r="M28" s="172"/>
      <c r="N28" s="175"/>
    </row>
    <row r="29">
      <c r="A29" s="171">
        <f t="shared" si="2"/>
        <v>23</v>
      </c>
      <c r="B29" s="172" t="str">
        <f>IFERROR(__xludf.DUMMYFUNCTION("""COMPUTED_VALUE"""),"CoalCracker7")</f>
        <v>CoalCracker7</v>
      </c>
      <c r="C29" s="173">
        <f>IF(ISNUMBER($A29)=TRUE,COUNTIFS(Garden!$H$8:$H652,$B29,Garden!$M$8:$M652,"&gt;0"),"")</f>
        <v>0</v>
      </c>
      <c r="D29" s="173">
        <f>IF(ISNUMBER($A29)=TRUE,COUNTIFS(Garden!$H$8:$H652,$B29,Garden!$N$8:$N652,"&gt;0"),"")</f>
        <v>0</v>
      </c>
      <c r="E29" s="173">
        <f>IF(ISNUMBER($A29)=TRUE,COUNTIFS(Garden!$H$8:$H652,$B29,Garden!$K$8:$K652,"TRUE"),"")</f>
        <v>1</v>
      </c>
      <c r="F29" s="159"/>
      <c r="G29" s="174" t="str">
        <f>IFERROR(__xludf.DUMMYFUNCTION("""COMPUTED_VALUE"""),"CopperWings")</f>
        <v>CopperWings</v>
      </c>
      <c r="H29" s="175">
        <f>IFERROR(__xludf.DUMMYFUNCTION("""COMPUTED_VALUE"""),2.0)</f>
        <v>2</v>
      </c>
      <c r="I29" s="159"/>
      <c r="J29" s="174"/>
      <c r="K29" s="175"/>
      <c r="L29" s="177" t="str">
        <f t="shared" si="1"/>
        <v/>
      </c>
      <c r="M29" s="172"/>
      <c r="N29" s="175"/>
    </row>
    <row r="30">
      <c r="A30" s="171">
        <f t="shared" si="2"/>
        <v>24</v>
      </c>
      <c r="B30" s="172" t="str">
        <f>IFERROR(__xludf.DUMMYFUNCTION("""COMPUTED_VALUE"""),"CoffeeEater")</f>
        <v>CoffeeEater</v>
      </c>
      <c r="C30" s="173">
        <f>IF(ISNUMBER($A30)=TRUE,COUNTIFS(Garden!$H$8:$H652,$B30,Garden!$M$8:$M652,"&gt;0"),"")</f>
        <v>0</v>
      </c>
      <c r="D30" s="173">
        <f>IF(ISNUMBER($A30)=TRUE,COUNTIFS(Garden!$H$8:$H652,$B30,Garden!$N$8:$N652,"&gt;0"),"")</f>
        <v>0</v>
      </c>
      <c r="E30" s="173">
        <f>IF(ISNUMBER($A30)=TRUE,COUNTIFS(Garden!$H$8:$H652,$B30,Garden!$K$8:$K652,"TRUE"),"")</f>
        <v>1</v>
      </c>
      <c r="F30" s="159"/>
      <c r="G30" s="174" t="str">
        <f>IFERROR(__xludf.DUMMYFUNCTION("""COMPUTED_VALUE"""),"Dazzaf")</f>
        <v>Dazzaf</v>
      </c>
      <c r="H30" s="175">
        <f>IFERROR(__xludf.DUMMYFUNCTION("""COMPUTED_VALUE"""),2.0)</f>
        <v>2</v>
      </c>
      <c r="I30" s="159"/>
      <c r="J30" s="174"/>
      <c r="K30" s="175"/>
      <c r="L30" s="177" t="str">
        <f t="shared" si="1"/>
        <v/>
      </c>
      <c r="M30" s="172"/>
      <c r="N30" s="175"/>
    </row>
    <row r="31">
      <c r="A31" s="171">
        <f t="shared" si="2"/>
        <v>25</v>
      </c>
      <c r="B31" s="172" t="str">
        <f>IFERROR(__xludf.DUMMYFUNCTION("""COMPUTED_VALUE"""),"CopperWings")</f>
        <v>CopperWings</v>
      </c>
      <c r="C31" s="173">
        <f>IF(ISNUMBER($A31)=TRUE,COUNTIFS(Garden!$H$8:$H652,$B31,Garden!$M$8:$M652,"&gt;0"),"")</f>
        <v>0</v>
      </c>
      <c r="D31" s="173">
        <f>IF(ISNUMBER($A31)=TRUE,COUNTIFS(Garden!$H$8:$H652,$B31,Garden!$N$8:$N652,"&gt;0"),"")</f>
        <v>0</v>
      </c>
      <c r="E31" s="173">
        <f>IF(ISNUMBER($A31)=TRUE,COUNTIFS(Garden!$H$8:$H652,$B31,Garden!$K$8:$K652,"TRUE"),"")</f>
        <v>2</v>
      </c>
      <c r="F31" s="159"/>
      <c r="G31" s="174" t="str">
        <f>IFERROR(__xludf.DUMMYFUNCTION("""COMPUTED_VALUE"""),"Derlame")</f>
        <v>Derlame</v>
      </c>
      <c r="H31" s="175">
        <f>IFERROR(__xludf.DUMMYFUNCTION("""COMPUTED_VALUE"""),2.0)</f>
        <v>2</v>
      </c>
      <c r="I31" s="159"/>
      <c r="J31" s="174"/>
      <c r="K31" s="175"/>
      <c r="L31" s="177" t="str">
        <f t="shared" si="1"/>
        <v/>
      </c>
      <c r="M31" s="172"/>
      <c r="N31" s="175"/>
    </row>
    <row r="32">
      <c r="A32" s="171">
        <f t="shared" si="2"/>
        <v>26</v>
      </c>
      <c r="B32" s="172" t="str">
        <f>IFERROR(__xludf.DUMMYFUNCTION("""COMPUTED_VALUE"""),"Dazzaf")</f>
        <v>Dazzaf</v>
      </c>
      <c r="C32" s="173">
        <f>IF(ISNUMBER($A32)=TRUE,COUNTIFS(Garden!$H$8:$H652,$B32,Garden!$M$8:$M652,"&gt;0"),"")</f>
        <v>0</v>
      </c>
      <c r="D32" s="173">
        <f>IF(ISNUMBER($A32)=TRUE,COUNTIFS(Garden!$H$8:$H652,$B32,Garden!$N$8:$N652,"&gt;0"),"")</f>
        <v>0</v>
      </c>
      <c r="E32" s="173">
        <f>IF(ISNUMBER($A32)=TRUE,COUNTIFS(Garden!$H$8:$H652,$B32,Garden!$K$8:$K652,"TRUE"),"")</f>
        <v>2</v>
      </c>
      <c r="F32" s="159"/>
      <c r="G32" s="174" t="str">
        <f>IFERROR(__xludf.DUMMYFUNCTION("""COMPUTED_VALUE"""),"Majsan")</f>
        <v>Majsan</v>
      </c>
      <c r="H32" s="175">
        <f>IFERROR(__xludf.DUMMYFUNCTION("""COMPUTED_VALUE"""),2.0)</f>
        <v>2</v>
      </c>
      <c r="I32" s="159"/>
      <c r="J32" s="174"/>
      <c r="K32" s="175"/>
      <c r="L32" s="177" t="str">
        <f t="shared" si="1"/>
        <v/>
      </c>
      <c r="M32" s="172"/>
      <c r="N32" s="175"/>
    </row>
    <row r="33">
      <c r="A33" s="171">
        <f t="shared" si="2"/>
        <v>27</v>
      </c>
      <c r="B33" s="172" t="str">
        <f>IFERROR(__xludf.DUMMYFUNCTION("""COMPUTED_VALUE"""),"DeLeeuwen")</f>
        <v>DeLeeuwen</v>
      </c>
      <c r="C33" s="173">
        <f>IF(ISNUMBER($A33)=TRUE,COUNTIFS(Garden!$H$8:$H652,$B33,Garden!$M$8:$M652,"&gt;0"),"")</f>
        <v>0</v>
      </c>
      <c r="D33" s="173">
        <f>IF(ISNUMBER($A33)=TRUE,COUNTIFS(Garden!$H$8:$H652,$B33,Garden!$N$8:$N652,"&gt;0"),"")</f>
        <v>0</v>
      </c>
      <c r="E33" s="173">
        <f>IF(ISNUMBER($A33)=TRUE,COUNTIFS(Garden!$H$8:$H652,$B33,Garden!$K$8:$K652,"TRUE"),"")</f>
        <v>1</v>
      </c>
      <c r="F33" s="159"/>
      <c r="G33" s="174" t="str">
        <f>IFERROR(__xludf.DUMMYFUNCTION("""COMPUTED_VALUE"""),"mierischclan")</f>
        <v>mierischclan</v>
      </c>
      <c r="H33" s="175">
        <f>IFERROR(__xludf.DUMMYFUNCTION("""COMPUTED_VALUE"""),2.0)</f>
        <v>2</v>
      </c>
      <c r="I33" s="159"/>
      <c r="J33" s="174"/>
      <c r="K33" s="175"/>
      <c r="L33" s="177" t="str">
        <f t="shared" si="1"/>
        <v/>
      </c>
      <c r="M33" s="172"/>
      <c r="N33" s="175"/>
    </row>
    <row r="34">
      <c r="A34" s="171">
        <f t="shared" si="2"/>
        <v>28</v>
      </c>
      <c r="B34" s="172" t="str">
        <f>IFERROR(__xludf.DUMMYFUNCTION("""COMPUTED_VALUE"""),"denali0407")</f>
        <v>denali0407</v>
      </c>
      <c r="C34" s="173">
        <f>IF(ISNUMBER($A34)=TRUE,COUNTIFS(Garden!$H$8:$H652,$B34,Garden!$M$8:$M652,"&gt;0"),"")</f>
        <v>0</v>
      </c>
      <c r="D34" s="173">
        <f>IF(ISNUMBER($A34)=TRUE,COUNTIFS(Garden!$H$8:$H652,$B34,Garden!$N$8:$N652,"&gt;0"),"")</f>
        <v>0</v>
      </c>
      <c r="E34" s="173">
        <f>IF(ISNUMBER($A34)=TRUE,COUNTIFS(Garden!$H$8:$H652,$B34,Garden!$K$8:$K652,"TRUE"),"")</f>
        <v>1</v>
      </c>
      <c r="F34" s="159"/>
      <c r="G34" s="174" t="str">
        <f>IFERROR(__xludf.DUMMYFUNCTION("""COMPUTED_VALUE"""),"scoutref")</f>
        <v>scoutref</v>
      </c>
      <c r="H34" s="175">
        <f>IFERROR(__xludf.DUMMYFUNCTION("""COMPUTED_VALUE"""),2.0)</f>
        <v>2</v>
      </c>
      <c r="I34" s="159"/>
      <c r="J34" s="174"/>
      <c r="K34" s="175"/>
      <c r="L34" s="177" t="str">
        <f t="shared" si="1"/>
        <v/>
      </c>
      <c r="M34" s="172"/>
      <c r="N34" s="175"/>
    </row>
    <row r="35">
      <c r="A35" s="171">
        <f t="shared" si="2"/>
        <v>29</v>
      </c>
      <c r="B35" s="172" t="str">
        <f>IFERROR(__xludf.DUMMYFUNCTION("""COMPUTED_VALUE"""),"Derlame")</f>
        <v>Derlame</v>
      </c>
      <c r="C35" s="173">
        <f>IF(ISNUMBER($A35)=TRUE,COUNTIFS(Garden!$H$8:$H652,$B35,Garden!$M$8:$M652,"&gt;0"),"")</f>
        <v>0</v>
      </c>
      <c r="D35" s="173">
        <f>IF(ISNUMBER($A35)=TRUE,COUNTIFS(Garden!$H$8:$H652,$B35,Garden!$N$8:$N652,"&gt;0"),"")</f>
        <v>0</v>
      </c>
      <c r="E35" s="173">
        <f>IF(ISNUMBER($A35)=TRUE,COUNTIFS(Garden!$H$8:$H652,$B35,Garden!$K$8:$K652,"TRUE"),"")</f>
        <v>2</v>
      </c>
      <c r="F35" s="159"/>
      <c r="G35" s="174" t="str">
        <f>IFERROR(__xludf.DUMMYFUNCTION("""COMPUTED_VALUE"""),"tcguru")</f>
        <v>tcguru</v>
      </c>
      <c r="H35" s="175">
        <f>IFERROR(__xludf.DUMMYFUNCTION("""COMPUTED_VALUE"""),2.0)</f>
        <v>2</v>
      </c>
      <c r="I35" s="159"/>
      <c r="J35" s="174"/>
      <c r="K35" s="175"/>
      <c r="L35" s="177" t="str">
        <f t="shared" si="1"/>
        <v/>
      </c>
      <c r="M35" s="172"/>
      <c r="N35" s="175"/>
    </row>
    <row r="36">
      <c r="A36" s="171">
        <f t="shared" si="2"/>
        <v>30</v>
      </c>
      <c r="B36" s="172" t="str">
        <f>IFERROR(__xludf.DUMMYFUNCTION("""COMPUTED_VALUE"""),"destolkjes4ever")</f>
        <v>destolkjes4ever</v>
      </c>
      <c r="C36" s="173">
        <f>IF(ISNUMBER($A36)=TRUE,COUNTIFS(Garden!$H$8:$H652,$B36,Garden!$M$8:$M652,"&gt;0"),"")</f>
        <v>0</v>
      </c>
      <c r="D36" s="173">
        <f>IF(ISNUMBER($A36)=TRUE,COUNTIFS(Garden!$H$8:$H652,$B36,Garden!$N$8:$N652,"&gt;0"),"")</f>
        <v>0</v>
      </c>
      <c r="E36" s="173">
        <f>IF(ISNUMBER($A36)=TRUE,COUNTIFS(Garden!$H$8:$H652,$B36,Garden!$K$8:$K652,"TRUE"),"")</f>
        <v>1</v>
      </c>
      <c r="F36" s="159"/>
      <c r="G36" s="174" t="str">
        <f>IFERROR(__xludf.DUMMYFUNCTION("""COMPUTED_VALUE"""),"123xilef")</f>
        <v>123xilef</v>
      </c>
      <c r="H36" s="175">
        <f>IFERROR(__xludf.DUMMYFUNCTION("""COMPUTED_VALUE"""),1.0)</f>
        <v>1</v>
      </c>
      <c r="I36" s="159"/>
      <c r="J36" s="174"/>
      <c r="K36" s="175"/>
      <c r="L36" s="177" t="str">
        <f t="shared" si="1"/>
        <v/>
      </c>
      <c r="M36" s="172"/>
      <c r="N36" s="175"/>
    </row>
    <row r="37">
      <c r="A37" s="171">
        <f t="shared" si="2"/>
        <v>31</v>
      </c>
      <c r="B37" s="172" t="str">
        <f>IFERROR(__xludf.DUMMYFUNCTION("""COMPUTED_VALUE"""),"disneyfan4life85")</f>
        <v>disneyfan4life85</v>
      </c>
      <c r="C37" s="173">
        <f>IF(ISNUMBER($A37)=TRUE,COUNTIFS(Garden!$H$8:$H652,$B37,Garden!$M$8:$M652,"&gt;0"),"")</f>
        <v>0</v>
      </c>
      <c r="D37" s="173">
        <f>IF(ISNUMBER($A37)=TRUE,COUNTIFS(Garden!$H$8:$H652,$B37,Garden!$N$8:$N652,"&gt;0"),"")</f>
        <v>0</v>
      </c>
      <c r="E37" s="173">
        <f>IF(ISNUMBER($A37)=TRUE,COUNTIFS(Garden!$H$8:$H652,$B37,Garden!$K$8:$K652,"TRUE"),"")</f>
        <v>1</v>
      </c>
      <c r="F37" s="159"/>
      <c r="G37" s="174" t="str">
        <f>IFERROR(__xludf.DUMMYFUNCTION("""COMPUTED_VALUE"""),"23speds")</f>
        <v>23speds</v>
      </c>
      <c r="H37" s="175">
        <f>IFERROR(__xludf.DUMMYFUNCTION("""COMPUTED_VALUE"""),1.0)</f>
        <v>1</v>
      </c>
      <c r="I37" s="159"/>
      <c r="J37" s="174"/>
      <c r="K37" s="175"/>
      <c r="L37" s="177" t="str">
        <f t="shared" si="1"/>
        <v/>
      </c>
      <c r="M37" s="172"/>
      <c r="N37" s="175"/>
    </row>
    <row r="38">
      <c r="A38" s="171">
        <f t="shared" si="2"/>
        <v>32</v>
      </c>
      <c r="B38" s="172" t="str">
        <f>IFERROR(__xludf.DUMMYFUNCTION("""COMPUTED_VALUE"""),"EagleDadandXenia")</f>
        <v>EagleDadandXenia</v>
      </c>
      <c r="C38" s="173">
        <f>IF(ISNUMBER($A38)=TRUE,COUNTIFS(Garden!$H$8:$H652,$B38,Garden!$M$8:$M652,"&gt;0"),"")</f>
        <v>0</v>
      </c>
      <c r="D38" s="173">
        <f>IF(ISNUMBER($A38)=TRUE,COUNTIFS(Garden!$H$8:$H652,$B38,Garden!$N$8:$N652,"&gt;0"),"")</f>
        <v>0</v>
      </c>
      <c r="E38" s="173">
        <f>IF(ISNUMBER($A38)=TRUE,COUNTIFS(Garden!$H$8:$H652,$B38,Garden!$K$8:$K652,"TRUE"),"")</f>
        <v>1</v>
      </c>
      <c r="F38" s="159"/>
      <c r="G38" s="174" t="str">
        <f>IFERROR(__xludf.DUMMYFUNCTION("""COMPUTED_VALUE"""),"Aiden29")</f>
        <v>Aiden29</v>
      </c>
      <c r="H38" s="175">
        <f>IFERROR(__xludf.DUMMYFUNCTION("""COMPUTED_VALUE"""),1.0)</f>
        <v>1</v>
      </c>
      <c r="I38" s="159"/>
      <c r="J38" s="174"/>
      <c r="K38" s="175"/>
      <c r="L38" s="177" t="str">
        <f t="shared" si="1"/>
        <v/>
      </c>
      <c r="M38" s="172"/>
      <c r="N38" s="175"/>
    </row>
    <row r="39">
      <c r="A39" s="171">
        <f t="shared" si="2"/>
        <v>33</v>
      </c>
      <c r="B39" s="172" t="str">
        <f>IFERROR(__xludf.DUMMYFUNCTION("""COMPUTED_VALUE"""),"EeveeFox")</f>
        <v>EeveeFox</v>
      </c>
      <c r="C39" s="173">
        <f>IF(ISNUMBER($A39)=TRUE,COUNTIFS(Garden!$H$8:$H652,$B39,Garden!$M$8:$M652,"&gt;0"),"")</f>
        <v>0</v>
      </c>
      <c r="D39" s="173">
        <f>IF(ISNUMBER($A39)=TRUE,COUNTIFS(Garden!$H$8:$H652,$B39,Garden!$N$8:$N652,"&gt;0"),"")</f>
        <v>0</v>
      </c>
      <c r="E39" s="173">
        <f>IF(ISNUMBER($A39)=TRUE,COUNTIFS(Garden!$H$8:$H652,$B39,Garden!$K$8:$K652,"TRUE"),"")</f>
        <v>8</v>
      </c>
      <c r="F39" s="159"/>
      <c r="G39" s="174" t="str">
        <f>IFERROR(__xludf.DUMMYFUNCTION("""COMPUTED_VALUE"""),"ajaxiss")</f>
        <v>ajaxiss</v>
      </c>
      <c r="H39" s="175">
        <f>IFERROR(__xludf.DUMMYFUNCTION("""COMPUTED_VALUE"""),1.0)</f>
        <v>1</v>
      </c>
      <c r="I39" s="159"/>
      <c r="J39" s="174"/>
      <c r="K39" s="175"/>
      <c r="L39" s="177" t="str">
        <f t="shared" si="1"/>
        <v/>
      </c>
      <c r="M39" s="172"/>
      <c r="N39" s="175"/>
    </row>
    <row r="40">
      <c r="A40" s="171">
        <f t="shared" si="2"/>
        <v>34</v>
      </c>
      <c r="B40" s="172" t="str">
        <f>IFERROR(__xludf.DUMMYFUNCTION("""COMPUTED_VALUE"""),"florish")</f>
        <v>florish</v>
      </c>
      <c r="C40" s="173">
        <f>IF(ISNUMBER($A40)=TRUE,COUNTIFS(Garden!$H$8:$H652,$B40,Garden!$M$8:$M652,"&gt;0"),"")</f>
        <v>0</v>
      </c>
      <c r="D40" s="173">
        <f>IF(ISNUMBER($A40)=TRUE,COUNTIFS(Garden!$H$8:$H652,$B40,Garden!$N$8:$N652,"&gt;0"),"")</f>
        <v>0</v>
      </c>
      <c r="E40" s="173">
        <f>IF(ISNUMBER($A40)=TRUE,COUNTIFS(Garden!$H$8:$H652,$B40,Garden!$K$8:$K652,"TRUE"),"")</f>
        <v>9</v>
      </c>
      <c r="F40" s="159"/>
      <c r="G40" s="174" t="str">
        <f>IFERROR(__xludf.DUMMYFUNCTION("""COMPUTED_VALUE"""),"amadoreugen")</f>
        <v>amadoreugen</v>
      </c>
      <c r="H40" s="175">
        <f>IFERROR(__xludf.DUMMYFUNCTION("""COMPUTED_VALUE"""),1.0)</f>
        <v>1</v>
      </c>
      <c r="I40" s="159"/>
      <c r="J40" s="174"/>
      <c r="K40" s="175"/>
      <c r="L40" s="177" t="str">
        <f t="shared" si="1"/>
        <v/>
      </c>
      <c r="M40" s="172"/>
      <c r="N40" s="175"/>
    </row>
    <row r="41">
      <c r="A41" s="171">
        <f t="shared" si="2"/>
        <v>35</v>
      </c>
      <c r="B41" s="172" t="str">
        <f>IFERROR(__xludf.DUMMYFUNCTION("""COMPUTED_VALUE"""),"Franske")</f>
        <v>Franske</v>
      </c>
      <c r="C41" s="173">
        <f>IF(ISNUMBER($A41)=TRUE,COUNTIFS(Garden!$H$8:$H652,$B41,Garden!$M$8:$M652,"&gt;0"),"")</f>
        <v>0</v>
      </c>
      <c r="D41" s="173">
        <f>IF(ISNUMBER($A41)=TRUE,COUNTIFS(Garden!$H$8:$H652,$B41,Garden!$N$8:$N652,"&gt;0"),"")</f>
        <v>0</v>
      </c>
      <c r="E41" s="173">
        <f>IF(ISNUMBER($A41)=TRUE,COUNTIFS(Garden!$H$8:$H652,$B41,Garden!$K$8:$K652,"TRUE"),"")</f>
        <v>1</v>
      </c>
      <c r="F41" s="159"/>
      <c r="G41" s="174" t="str">
        <f>IFERROR(__xludf.DUMMYFUNCTION("""COMPUTED_VALUE"""),"annabanana")</f>
        <v>annabanana</v>
      </c>
      <c r="H41" s="175">
        <f>IFERROR(__xludf.DUMMYFUNCTION("""COMPUTED_VALUE"""),1.0)</f>
        <v>1</v>
      </c>
      <c r="I41" s="159"/>
      <c r="J41" s="174"/>
      <c r="K41" s="175"/>
      <c r="L41" s="177" t="str">
        <f t="shared" si="1"/>
        <v/>
      </c>
      <c r="M41" s="172"/>
      <c r="N41" s="175"/>
    </row>
    <row r="42">
      <c r="A42" s="171">
        <f t="shared" si="2"/>
        <v>36</v>
      </c>
      <c r="B42" s="172" t="str">
        <f>IFERROR(__xludf.DUMMYFUNCTION("""COMPUTED_VALUE"""),"Frikandelbroodjes")</f>
        <v>Frikandelbroodjes</v>
      </c>
      <c r="C42" s="173">
        <f>IF(ISNUMBER($A42)=TRUE,COUNTIFS(Garden!$H$8:$H652,$B42,Garden!$M$8:$M652,"&gt;0"),"")</f>
        <v>0</v>
      </c>
      <c r="D42" s="173">
        <f>IF(ISNUMBER($A42)=TRUE,COUNTIFS(Garden!$H$8:$H652,$B42,Garden!$N$8:$N652,"&gt;0"),"")</f>
        <v>0</v>
      </c>
      <c r="E42" s="173">
        <f>IF(ISNUMBER($A42)=TRUE,COUNTIFS(Garden!$H$8:$H652,$B42,Garden!$K$8:$K652,"TRUE"),"")</f>
        <v>1</v>
      </c>
      <c r="F42" s="159"/>
      <c r="G42" s="174" t="str">
        <f>IFERROR(__xludf.DUMMYFUNCTION("""COMPUTED_VALUE"""),"Attis")</f>
        <v>Attis</v>
      </c>
      <c r="H42" s="175">
        <f>IFERROR(__xludf.DUMMYFUNCTION("""COMPUTED_VALUE"""),1.0)</f>
        <v>1</v>
      </c>
      <c r="I42" s="159"/>
      <c r="J42" s="174"/>
      <c r="K42" s="175"/>
      <c r="L42" s="177" t="str">
        <f t="shared" si="1"/>
        <v/>
      </c>
      <c r="M42" s="172"/>
      <c r="N42" s="175"/>
    </row>
    <row r="43">
      <c r="A43" s="171">
        <f t="shared" si="2"/>
        <v>37</v>
      </c>
      <c r="B43" s="172" t="str">
        <f>IFERROR(__xludf.DUMMYFUNCTION("""COMPUTED_VALUE"""),"Ganesia")</f>
        <v>Ganesia</v>
      </c>
      <c r="C43" s="173">
        <f>IF(ISNUMBER($A43)=TRUE,COUNTIFS(Garden!$H$8:$H652,$B43,Garden!$M$8:$M652,"&gt;0"),"")</f>
        <v>0</v>
      </c>
      <c r="D43" s="173">
        <f>IF(ISNUMBER($A43)=TRUE,COUNTIFS(Garden!$H$8:$H652,$B43,Garden!$N$8:$N652,"&gt;0"),"")</f>
        <v>0</v>
      </c>
      <c r="E43" s="173">
        <f>IF(ISNUMBER($A43)=TRUE,COUNTIFS(Garden!$H$8:$H652,$B43,Garden!$K$8:$K652,"TRUE"),"")</f>
        <v>1</v>
      </c>
      <c r="F43" s="159"/>
      <c r="G43" s="174" t="str">
        <f>IFERROR(__xludf.DUMMYFUNCTION("""COMPUTED_VALUE"""),"aufbau")</f>
        <v>aufbau</v>
      </c>
      <c r="H43" s="175">
        <f>IFERROR(__xludf.DUMMYFUNCTION("""COMPUTED_VALUE"""),1.0)</f>
        <v>1</v>
      </c>
      <c r="I43" s="159"/>
      <c r="J43" s="174"/>
      <c r="K43" s="175"/>
      <c r="L43" s="177" t="str">
        <f t="shared" si="1"/>
        <v/>
      </c>
      <c r="M43" s="172"/>
      <c r="N43" s="175"/>
    </row>
    <row r="44">
      <c r="A44" s="171">
        <f t="shared" si="2"/>
        <v>38</v>
      </c>
      <c r="B44" s="172" t="str">
        <f>IFERROR(__xludf.DUMMYFUNCTION("""COMPUTED_VALUE"""),"gd")</f>
        <v>gd</v>
      </c>
      <c r="C44" s="173">
        <f>IF(ISNUMBER($A44)=TRUE,COUNTIFS(Garden!$H$8:$H652,$B44,Garden!$M$8:$M652,"&gt;0"),"")</f>
        <v>0</v>
      </c>
      <c r="D44" s="173">
        <f>IF(ISNUMBER($A44)=TRUE,COUNTIFS(Garden!$H$8:$H652,$B44,Garden!$N$8:$N652,"&gt;0"),"")</f>
        <v>0</v>
      </c>
      <c r="E44" s="173">
        <f>IF(ISNUMBER($A44)=TRUE,COUNTIFS(Garden!$H$8:$H652,$B44,Garden!$K$8:$K652,"TRUE"),"")</f>
        <v>1</v>
      </c>
      <c r="F44" s="159"/>
      <c r="G44" s="174" t="str">
        <f>IFERROR(__xludf.DUMMYFUNCTION("""COMPUTED_VALUE"""),"babyw")</f>
        <v>babyw</v>
      </c>
      <c r="H44" s="175">
        <f>IFERROR(__xludf.DUMMYFUNCTION("""COMPUTED_VALUE"""),1.0)</f>
        <v>1</v>
      </c>
      <c r="I44" s="159"/>
      <c r="J44" s="174"/>
      <c r="K44" s="175"/>
      <c r="L44" s="177" t="str">
        <f t="shared" si="1"/>
        <v/>
      </c>
      <c r="M44" s="172"/>
      <c r="N44" s="175"/>
    </row>
    <row r="45">
      <c r="A45" s="171">
        <f t="shared" si="2"/>
        <v>39</v>
      </c>
      <c r="B45" s="172" t="str">
        <f>IFERROR(__xludf.DUMMYFUNCTION("""COMPUTED_VALUE"""),"halizwein")</f>
        <v>halizwein</v>
      </c>
      <c r="C45" s="173">
        <f>IF(ISNUMBER($A45)=TRUE,COUNTIFS(Garden!$H$8:$H652,$B45,Garden!$M$8:$M652,"&gt;0"),"")</f>
        <v>0</v>
      </c>
      <c r="D45" s="173">
        <f>IF(ISNUMBER($A45)=TRUE,COUNTIFS(Garden!$H$8:$H652,$B45,Garden!$N$8:$N652,"&gt;0"),"")</f>
        <v>0</v>
      </c>
      <c r="E45" s="173">
        <f>IF(ISNUMBER($A45)=TRUE,COUNTIFS(Garden!$H$8:$H652,$B45,Garden!$K$8:$K652,"TRUE"),"")</f>
        <v>1</v>
      </c>
      <c r="F45" s="159"/>
      <c r="G45" s="174" t="str">
        <f>IFERROR(__xludf.DUMMYFUNCTION("""COMPUTED_VALUE"""),"barefootguru")</f>
        <v>barefootguru</v>
      </c>
      <c r="H45" s="175">
        <f>IFERROR(__xludf.DUMMYFUNCTION("""COMPUTED_VALUE"""),1.0)</f>
        <v>1</v>
      </c>
      <c r="I45" s="159"/>
      <c r="J45" s="174"/>
      <c r="K45" s="175"/>
      <c r="L45" s="177" t="str">
        <f t="shared" si="1"/>
        <v/>
      </c>
      <c r="M45" s="172"/>
      <c r="N45" s="175"/>
    </row>
    <row r="46">
      <c r="A46" s="171">
        <f t="shared" si="2"/>
        <v>40</v>
      </c>
      <c r="B46" s="172" t="str">
        <f>IFERROR(__xludf.DUMMYFUNCTION("""COMPUTED_VALUE"""),"harrie56")</f>
        <v>harrie56</v>
      </c>
      <c r="C46" s="173">
        <f>IF(ISNUMBER($A46)=TRUE,COUNTIFS(Garden!$H$8:$H652,$B46,Garden!$M$8:$M652,"&gt;0"),"")</f>
        <v>0</v>
      </c>
      <c r="D46" s="173">
        <f>IF(ISNUMBER($A46)=TRUE,COUNTIFS(Garden!$H$8:$H652,$B46,Garden!$N$8:$N652,"&gt;0"),"")</f>
        <v>0</v>
      </c>
      <c r="E46" s="173">
        <f>IF(ISNUMBER($A46)=TRUE,COUNTIFS(Garden!$H$8:$H652,$B46,Garden!$K$8:$K652,"TRUE"),"")</f>
        <v>5</v>
      </c>
      <c r="F46" s="159"/>
      <c r="G46" s="174" t="str">
        <f>IFERROR(__xludf.DUMMYFUNCTION("""COMPUTED_VALUE"""),"bazfum")</f>
        <v>bazfum</v>
      </c>
      <c r="H46" s="175">
        <f>IFERROR(__xludf.DUMMYFUNCTION("""COMPUTED_VALUE"""),1.0)</f>
        <v>1</v>
      </c>
      <c r="I46" s="159"/>
      <c r="J46" s="174"/>
      <c r="K46" s="175"/>
      <c r="L46" s="177" t="str">
        <f t="shared" si="1"/>
        <v/>
      </c>
      <c r="M46" s="172"/>
      <c r="N46" s="175"/>
    </row>
    <row r="47">
      <c r="A47" s="171">
        <f t="shared" si="2"/>
        <v>41</v>
      </c>
      <c r="B47" s="172" t="str">
        <f>IFERROR(__xludf.DUMMYFUNCTION("""COMPUTED_VALUE"""),"hems79")</f>
        <v>hems79</v>
      </c>
      <c r="C47" s="173">
        <f>IF(ISNUMBER($A47)=TRUE,COUNTIFS(Garden!$H$8:$H652,$B47,Garden!$M$8:$M652,"&gt;0"),"")</f>
        <v>0</v>
      </c>
      <c r="D47" s="173">
        <f>IF(ISNUMBER($A47)=TRUE,COUNTIFS(Garden!$H$8:$H652,$B47,Garden!$N$8:$N652,"&gt;0"),"")</f>
        <v>0</v>
      </c>
      <c r="E47" s="173">
        <f>IF(ISNUMBER($A47)=TRUE,COUNTIFS(Garden!$H$8:$H652,$B47,Garden!$K$8:$K652,"TRUE"),"")</f>
        <v>1</v>
      </c>
      <c r="F47" s="159"/>
      <c r="G47" s="174" t="str">
        <f>IFERROR(__xludf.DUMMYFUNCTION("""COMPUTED_VALUE"""),"Bisquick2")</f>
        <v>Bisquick2</v>
      </c>
      <c r="H47" s="175">
        <f>IFERROR(__xludf.DUMMYFUNCTION("""COMPUTED_VALUE"""),1.0)</f>
        <v>1</v>
      </c>
      <c r="I47" s="159"/>
      <c r="J47" s="174"/>
      <c r="K47" s="175"/>
      <c r="L47" s="177" t="str">
        <f t="shared" si="1"/>
        <v/>
      </c>
      <c r="M47" s="172"/>
      <c r="N47" s="175"/>
    </row>
    <row r="48">
      <c r="A48" s="171">
        <f t="shared" si="2"/>
        <v>42</v>
      </c>
      <c r="B48" s="172" t="str">
        <f>IFERROR(__xludf.DUMMYFUNCTION("""COMPUTED_VALUE"""),"hippiemop")</f>
        <v>hippiemop</v>
      </c>
      <c r="C48" s="173">
        <f>IF(ISNUMBER($A48)=TRUE,COUNTIFS(Garden!$H$8:$H652,$B48,Garden!$M$8:$M652,"&gt;0"),"")</f>
        <v>0</v>
      </c>
      <c r="D48" s="173">
        <f>IF(ISNUMBER($A48)=TRUE,COUNTIFS(Garden!$H$8:$H652,$B48,Garden!$N$8:$N652,"&gt;0"),"")</f>
        <v>0</v>
      </c>
      <c r="E48" s="173">
        <f>IF(ISNUMBER($A48)=TRUE,COUNTIFS(Garden!$H$8:$H652,$B48,Garden!$K$8:$K652,"TRUE"),"")</f>
        <v>1</v>
      </c>
      <c r="F48" s="159"/>
      <c r="G48" s="174" t="str">
        <f>IFERROR(__xludf.DUMMYFUNCTION("""COMPUTED_VALUE"""),"BonnieB1")</f>
        <v>BonnieB1</v>
      </c>
      <c r="H48" s="175">
        <f>IFERROR(__xludf.DUMMYFUNCTION("""COMPUTED_VALUE"""),1.0)</f>
        <v>1</v>
      </c>
      <c r="I48" s="159"/>
      <c r="J48" s="174"/>
      <c r="K48" s="175"/>
      <c r="L48" s="177" t="str">
        <f t="shared" si="1"/>
        <v/>
      </c>
      <c r="M48" s="172"/>
      <c r="N48" s="175"/>
    </row>
    <row r="49">
      <c r="A49" s="171">
        <f t="shared" si="2"/>
        <v>43</v>
      </c>
      <c r="B49" s="172" t="str">
        <f>IFERROR(__xludf.DUMMYFUNCTION("""COMPUTED_VALUE"""),"humbird7")</f>
        <v>humbird7</v>
      </c>
      <c r="C49" s="173">
        <f>IF(ISNUMBER($A49)=TRUE,COUNTIFS(Garden!$H$8:$H652,$B49,Garden!$M$8:$M652,"&gt;0"),"")</f>
        <v>0</v>
      </c>
      <c r="D49" s="173">
        <f>IF(ISNUMBER($A49)=TRUE,COUNTIFS(Garden!$H$8:$H652,$B49,Garden!$N$8:$N652,"&gt;0"),"")</f>
        <v>0</v>
      </c>
      <c r="E49" s="173">
        <f>IF(ISNUMBER($A49)=TRUE,COUNTIFS(Garden!$H$8:$H652,$B49,Garden!$K$8:$K652,"TRUE"),"")</f>
        <v>1</v>
      </c>
      <c r="F49" s="159"/>
      <c r="G49" s="174" t="str">
        <f>IFERROR(__xludf.DUMMYFUNCTION("""COMPUTED_VALUE"""),"c-bn")</f>
        <v>c-bn</v>
      </c>
      <c r="H49" s="175">
        <f>IFERROR(__xludf.DUMMYFUNCTION("""COMPUTED_VALUE"""),1.0)</f>
        <v>1</v>
      </c>
      <c r="I49" s="159"/>
      <c r="J49" s="174"/>
      <c r="K49" s="175"/>
      <c r="L49" s="177" t="str">
        <f t="shared" si="1"/>
        <v/>
      </c>
      <c r="M49" s="172"/>
      <c r="N49" s="175"/>
    </row>
    <row r="50">
      <c r="A50" s="171">
        <f t="shared" si="2"/>
        <v>44</v>
      </c>
      <c r="B50" s="172" t="str">
        <f>IFERROR(__xludf.DUMMYFUNCTION("""COMPUTED_VALUE"""),"Insert URL ▶")</f>
        <v>Insert URL ▶</v>
      </c>
      <c r="C50" s="173">
        <f>IF(ISNUMBER($A50)=TRUE,COUNTIFS(Garden!$H$8:$H652,$B50,Garden!$M$8:$M652,"&gt;0"),"")</f>
        <v>0</v>
      </c>
      <c r="D50" s="173">
        <f>IF(ISNUMBER($A50)=TRUE,COUNTIFS(Garden!$H$8:$H652,$B50,Garden!$N$8:$N652,"&gt;0"),"")</f>
        <v>0</v>
      </c>
      <c r="E50" s="173">
        <f>IF(ISNUMBER($A50)=TRUE,COUNTIFS(Garden!$H$8:$H652,$B50,Garden!$K$8:$K652,"TRUE"),"")</f>
        <v>0</v>
      </c>
      <c r="F50" s="159"/>
      <c r="G50" s="174" t="str">
        <f>IFERROR(__xludf.DUMMYFUNCTION("""COMPUTED_VALUE"""),"Centern")</f>
        <v>Centern</v>
      </c>
      <c r="H50" s="175">
        <f>IFERROR(__xludf.DUMMYFUNCTION("""COMPUTED_VALUE"""),1.0)</f>
        <v>1</v>
      </c>
      <c r="I50" s="159"/>
      <c r="J50" s="174"/>
      <c r="K50" s="175"/>
      <c r="L50" s="177" t="str">
        <f t="shared" si="1"/>
        <v/>
      </c>
      <c r="M50" s="172"/>
      <c r="N50" s="175"/>
    </row>
    <row r="51">
      <c r="A51" s="171">
        <f t="shared" si="2"/>
        <v>45</v>
      </c>
      <c r="B51" s="172" t="str">
        <f>IFERROR(__xludf.DUMMYFUNCTION("""COMPUTED_VALUE"""),"irmeli")</f>
        <v>irmeli</v>
      </c>
      <c r="C51" s="173">
        <f>IF(ISNUMBER($A51)=TRUE,COUNTIFS(Garden!$H$8:$H652,$B51,Garden!$M$8:$M652,"&gt;0"),"")</f>
        <v>0</v>
      </c>
      <c r="D51" s="173">
        <f>IF(ISNUMBER($A51)=TRUE,COUNTIFS(Garden!$H$8:$H652,$B51,Garden!$N$8:$N652,"&gt;0"),"")</f>
        <v>0</v>
      </c>
      <c r="E51" s="173">
        <f>IF(ISNUMBER($A51)=TRUE,COUNTIFS(Garden!$H$8:$H652,$B51,Garden!$K$8:$K652,"TRUE"),"")</f>
        <v>1</v>
      </c>
      <c r="F51" s="159"/>
      <c r="G51" s="174" t="str">
        <f>IFERROR(__xludf.DUMMYFUNCTION("""COMPUTED_VALUE"""),"ChickenRun")</f>
        <v>ChickenRun</v>
      </c>
      <c r="H51" s="175">
        <f>IFERROR(__xludf.DUMMYFUNCTION("""COMPUTED_VALUE"""),1.0)</f>
        <v>1</v>
      </c>
      <c r="I51" s="159"/>
      <c r="J51" s="174"/>
      <c r="K51" s="175"/>
      <c r="L51" s="177" t="str">
        <f t="shared" si="1"/>
        <v/>
      </c>
      <c r="M51" s="172"/>
      <c r="N51" s="175"/>
    </row>
    <row r="52">
      <c r="A52" s="171">
        <f t="shared" si="2"/>
        <v>46</v>
      </c>
      <c r="B52" s="172" t="str">
        <f>IFERROR(__xludf.DUMMYFUNCTION("""COMPUTED_VALUE"""),"JackSparrow")</f>
        <v>JackSparrow</v>
      </c>
      <c r="C52" s="173">
        <f>IF(ISNUMBER($A52)=TRUE,COUNTIFS(Garden!$H$8:$H652,$B52,Garden!$M$8:$M652,"&gt;0"),"")</f>
        <v>0</v>
      </c>
      <c r="D52" s="173">
        <f>IF(ISNUMBER($A52)=TRUE,COUNTIFS(Garden!$H$8:$H652,$B52,Garden!$N$8:$N652,"&gt;0"),"")</f>
        <v>0</v>
      </c>
      <c r="E52" s="173">
        <f>IF(ISNUMBER($A52)=TRUE,COUNTIFS(Garden!$H$8:$H652,$B52,Garden!$K$8:$K652,"TRUE"),"")</f>
        <v>1</v>
      </c>
      <c r="F52" s="159"/>
      <c r="G52" s="174" t="str">
        <f>IFERROR(__xludf.DUMMYFUNCTION("""COMPUTED_VALUE"""),"Chivasloyal")</f>
        <v>Chivasloyal</v>
      </c>
      <c r="H52" s="175">
        <f>IFERROR(__xludf.DUMMYFUNCTION("""COMPUTED_VALUE"""),1.0)</f>
        <v>1</v>
      </c>
      <c r="I52" s="159"/>
      <c r="J52" s="174"/>
      <c r="K52" s="175"/>
      <c r="L52" s="177" t="str">
        <f t="shared" si="1"/>
        <v/>
      </c>
      <c r="M52" s="172"/>
      <c r="N52" s="175"/>
    </row>
    <row r="53">
      <c r="A53" s="171">
        <f t="shared" si="2"/>
        <v>47</v>
      </c>
      <c r="B53" s="172" t="str">
        <f>IFERROR(__xludf.DUMMYFUNCTION("""COMPUTED_VALUE"""),"joroma80")</f>
        <v>joroma80</v>
      </c>
      <c r="C53" s="173">
        <f>IF(ISNUMBER($A53)=TRUE,COUNTIFS(Garden!$H$8:$H652,$B53,Garden!$M$8:$M652,"&gt;0"),"")</f>
        <v>0</v>
      </c>
      <c r="D53" s="173">
        <f>IF(ISNUMBER($A53)=TRUE,COUNTIFS(Garden!$H$8:$H652,$B53,Garden!$N$8:$N652,"&gt;0"),"")</f>
        <v>0</v>
      </c>
      <c r="E53" s="173">
        <f>IF(ISNUMBER($A53)=TRUE,COUNTIFS(Garden!$H$8:$H652,$B53,Garden!$K$8:$K652,"TRUE"),"")</f>
        <v>1</v>
      </c>
      <c r="F53" s="159"/>
      <c r="G53" s="174" t="str">
        <f>IFERROR(__xludf.DUMMYFUNCTION("""COMPUTED_VALUE"""),"CoalCracker7")</f>
        <v>CoalCracker7</v>
      </c>
      <c r="H53" s="175">
        <f>IFERROR(__xludf.DUMMYFUNCTION("""COMPUTED_VALUE"""),1.0)</f>
        <v>1</v>
      </c>
      <c r="I53" s="159"/>
      <c r="J53" s="174"/>
      <c r="K53" s="175"/>
      <c r="L53" s="177" t="str">
        <f t="shared" si="1"/>
        <v/>
      </c>
      <c r="M53" s="172"/>
      <c r="N53" s="175"/>
    </row>
    <row r="54">
      <c r="A54" s="171">
        <f t="shared" si="2"/>
        <v>48</v>
      </c>
      <c r="B54" s="172" t="str">
        <f>IFERROR(__xludf.DUMMYFUNCTION("""COMPUTED_VALUE"""),"jukkas")</f>
        <v>jukkas</v>
      </c>
      <c r="C54" s="173">
        <f>IF(ISNUMBER($A54)=TRUE,COUNTIFS(Garden!$H$8:$H652,$B54,Garden!$M$8:$M652,"&gt;0"),"")</f>
        <v>0</v>
      </c>
      <c r="D54" s="173">
        <f>IF(ISNUMBER($A54)=TRUE,COUNTIFS(Garden!$H$8:$H652,$B54,Garden!$N$8:$N652,"&gt;0"),"")</f>
        <v>0</v>
      </c>
      <c r="E54" s="173">
        <f>IF(ISNUMBER($A54)=TRUE,COUNTIFS(Garden!$H$8:$H652,$B54,Garden!$K$8:$K652,"TRUE"),"")</f>
        <v>1</v>
      </c>
      <c r="F54" s="159"/>
      <c r="G54" s="174" t="str">
        <f>IFERROR(__xludf.DUMMYFUNCTION("""COMPUTED_VALUE"""),"CoffeeEater")</f>
        <v>CoffeeEater</v>
      </c>
      <c r="H54" s="175">
        <f>IFERROR(__xludf.DUMMYFUNCTION("""COMPUTED_VALUE"""),1.0)</f>
        <v>1</v>
      </c>
      <c r="I54" s="159"/>
      <c r="J54" s="174"/>
      <c r="K54" s="175"/>
      <c r="L54" s="177" t="str">
        <f t="shared" si="1"/>
        <v/>
      </c>
      <c r="M54" s="172"/>
      <c r="N54" s="175"/>
    </row>
    <row r="55">
      <c r="A55" s="171">
        <f t="shared" si="2"/>
        <v>49</v>
      </c>
      <c r="B55" s="172" t="str">
        <f>IFERROR(__xludf.DUMMYFUNCTION("""COMPUTED_VALUE"""),"jurikvandspol")</f>
        <v>jurikvandspol</v>
      </c>
      <c r="C55" s="173">
        <f>IF(ISNUMBER($A55)=TRUE,COUNTIFS(Garden!$H$8:$H652,$B55,Garden!$M$8:$M652,"&gt;0"),"")</f>
        <v>0</v>
      </c>
      <c r="D55" s="173">
        <f>IF(ISNUMBER($A55)=TRUE,COUNTIFS(Garden!$H$8:$H652,$B55,Garden!$N$8:$N652,"&gt;0"),"")</f>
        <v>0</v>
      </c>
      <c r="E55" s="173">
        <f>IF(ISNUMBER($A55)=TRUE,COUNTIFS(Garden!$H$8:$H652,$B55,Garden!$K$8:$K652,"TRUE"),"")</f>
        <v>9</v>
      </c>
      <c r="F55" s="159"/>
      <c r="G55" s="174" t="str">
        <f>IFERROR(__xludf.DUMMYFUNCTION("""COMPUTED_VALUE"""),"DeLeeuwen")</f>
        <v>DeLeeuwen</v>
      </c>
      <c r="H55" s="175">
        <f>IFERROR(__xludf.DUMMYFUNCTION("""COMPUTED_VALUE"""),1.0)</f>
        <v>1</v>
      </c>
      <c r="I55" s="159"/>
      <c r="J55" s="174"/>
      <c r="K55" s="175"/>
      <c r="L55" s="177" t="str">
        <f t="shared" si="1"/>
        <v/>
      </c>
      <c r="M55" s="172"/>
      <c r="N55" s="175"/>
    </row>
    <row r="56">
      <c r="A56" s="171">
        <f t="shared" si="2"/>
        <v>50</v>
      </c>
      <c r="B56" s="172" t="str">
        <f>IFERROR(__xludf.DUMMYFUNCTION("""COMPUTED_VALUE"""),"Kapor24")</f>
        <v>Kapor24</v>
      </c>
      <c r="C56" s="173">
        <f>IF(ISNUMBER($A56)=TRUE,COUNTIFS(Garden!$H$8:$H652,$B56,Garden!$M$8:$M652,"&gt;0"),"")</f>
        <v>0</v>
      </c>
      <c r="D56" s="173">
        <f>IF(ISNUMBER($A56)=TRUE,COUNTIFS(Garden!$H$8:$H652,$B56,Garden!$N$8:$N652,"&gt;0"),"")</f>
        <v>0</v>
      </c>
      <c r="E56" s="173">
        <f>IF(ISNUMBER($A56)=TRUE,COUNTIFS(Garden!$H$8:$H652,$B56,Garden!$K$8:$K652,"TRUE"),"")</f>
        <v>21</v>
      </c>
      <c r="F56" s="159"/>
      <c r="G56" s="174" t="str">
        <f>IFERROR(__xludf.DUMMYFUNCTION("""COMPUTED_VALUE"""),"denali0407")</f>
        <v>denali0407</v>
      </c>
      <c r="H56" s="175">
        <f>IFERROR(__xludf.DUMMYFUNCTION("""COMPUTED_VALUE"""),1.0)</f>
        <v>1</v>
      </c>
      <c r="I56" s="159"/>
      <c r="J56" s="174"/>
      <c r="K56" s="175"/>
      <c r="L56" s="177" t="str">
        <f t="shared" si="1"/>
        <v/>
      </c>
      <c r="M56" s="172"/>
      <c r="N56" s="175"/>
    </row>
    <row r="57">
      <c r="A57" s="171">
        <f t="shared" si="2"/>
        <v>51</v>
      </c>
      <c r="B57" s="172" t="str">
        <f>IFERROR(__xludf.DUMMYFUNCTION("""COMPUTED_VALUE"""),"KarelVeliky")</f>
        <v>KarelVeliky</v>
      </c>
      <c r="C57" s="173">
        <f>IF(ISNUMBER($A57)=TRUE,COUNTIFS(Garden!$H$8:$H652,$B57,Garden!$M$8:$M652,"&gt;0"),"")</f>
        <v>0</v>
      </c>
      <c r="D57" s="173">
        <f>IF(ISNUMBER($A57)=TRUE,COUNTIFS(Garden!$H$8:$H652,$B57,Garden!$N$8:$N652,"&gt;0"),"")</f>
        <v>2</v>
      </c>
      <c r="E57" s="173">
        <f>IF(ISNUMBER($A57)=TRUE,COUNTIFS(Garden!$H$8:$H652,$B57,Garden!$K$8:$K652,"TRUE"),"")</f>
        <v>22</v>
      </c>
      <c r="F57" s="159"/>
      <c r="G57" s="174" t="str">
        <f>IFERROR(__xludf.DUMMYFUNCTION("""COMPUTED_VALUE"""),"destolkjes4ever")</f>
        <v>destolkjes4ever</v>
      </c>
      <c r="H57" s="175">
        <f>IFERROR(__xludf.DUMMYFUNCTION("""COMPUTED_VALUE"""),1.0)</f>
        <v>1</v>
      </c>
      <c r="I57" s="159"/>
      <c r="J57" s="174"/>
      <c r="K57" s="175"/>
      <c r="L57" s="177" t="str">
        <f t="shared" si="1"/>
        <v/>
      </c>
      <c r="M57" s="172"/>
      <c r="N57" s="175"/>
    </row>
    <row r="58">
      <c r="A58" s="171">
        <f t="shared" si="2"/>
        <v>52</v>
      </c>
      <c r="B58" s="172" t="str">
        <f>IFERROR(__xludf.DUMMYFUNCTION("""COMPUTED_VALUE"""),"kepke3")</f>
        <v>kepke3</v>
      </c>
      <c r="C58" s="173">
        <f>IF(ISNUMBER($A58)=TRUE,COUNTIFS(Garden!$H$8:$H652,$B58,Garden!$M$8:$M652,"&gt;0"),"")</f>
        <v>0</v>
      </c>
      <c r="D58" s="173">
        <f>IF(ISNUMBER($A58)=TRUE,COUNTIFS(Garden!$H$8:$H652,$B58,Garden!$N$8:$N652,"&gt;0"),"")</f>
        <v>0</v>
      </c>
      <c r="E58" s="173">
        <f>IF(ISNUMBER($A58)=TRUE,COUNTIFS(Garden!$H$8:$H652,$B58,Garden!$K$8:$K652,"TRUE"),"")</f>
        <v>1</v>
      </c>
      <c r="F58" s="159"/>
      <c r="G58" s="174" t="str">
        <f>IFERROR(__xludf.DUMMYFUNCTION("""COMPUTED_VALUE"""),"disneyfan4life85")</f>
        <v>disneyfan4life85</v>
      </c>
      <c r="H58" s="175">
        <f>IFERROR(__xludf.DUMMYFUNCTION("""COMPUTED_VALUE"""),1.0)</f>
        <v>1</v>
      </c>
      <c r="I58" s="159"/>
      <c r="J58" s="174"/>
      <c r="K58" s="175"/>
      <c r="L58" s="177" t="str">
        <f t="shared" si="1"/>
        <v/>
      </c>
      <c r="M58" s="172"/>
      <c r="N58" s="175"/>
    </row>
    <row r="59">
      <c r="A59" s="171">
        <f t="shared" si="2"/>
        <v>53</v>
      </c>
      <c r="B59" s="172" t="str">
        <f>IFERROR(__xludf.DUMMYFUNCTION("""COMPUTED_VALUE"""),"Kiitokurre")</f>
        <v>Kiitokurre</v>
      </c>
      <c r="C59" s="173">
        <f>IF(ISNUMBER($A59)=TRUE,COUNTIFS(Garden!$H$8:$H652,$B59,Garden!$M$8:$M652,"&gt;0"),"")</f>
        <v>0</v>
      </c>
      <c r="D59" s="173">
        <f>IF(ISNUMBER($A59)=TRUE,COUNTIFS(Garden!$H$8:$H652,$B59,Garden!$N$8:$N652,"&gt;0"),"")</f>
        <v>0</v>
      </c>
      <c r="E59" s="173">
        <f>IF(ISNUMBER($A59)=TRUE,COUNTIFS(Garden!$H$8:$H652,$B59,Garden!$K$8:$K652,"TRUE"),"")</f>
        <v>1</v>
      </c>
      <c r="F59" s="159"/>
      <c r="G59" s="174" t="str">
        <f>IFERROR(__xludf.DUMMYFUNCTION("""COMPUTED_VALUE"""),"EagleDadandXenia")</f>
        <v>EagleDadandXenia</v>
      </c>
      <c r="H59" s="175">
        <f>IFERROR(__xludf.DUMMYFUNCTION("""COMPUTED_VALUE"""),1.0)</f>
        <v>1</v>
      </c>
      <c r="I59" s="159"/>
      <c r="J59" s="174"/>
      <c r="K59" s="175"/>
      <c r="L59" s="177" t="str">
        <f t="shared" si="1"/>
        <v/>
      </c>
      <c r="M59" s="172"/>
      <c r="N59" s="175"/>
    </row>
    <row r="60">
      <c r="A60" s="171">
        <f t="shared" si="2"/>
        <v>54</v>
      </c>
      <c r="B60" s="172" t="str">
        <f>IFERROR(__xludf.DUMMYFUNCTION("""COMPUTED_VALUE"""),"kpcrystal07")</f>
        <v>kpcrystal07</v>
      </c>
      <c r="C60" s="173">
        <f>IF(ISNUMBER($A60)=TRUE,COUNTIFS(Garden!$H$8:$H652,$B60,Garden!$M$8:$M652,"&gt;0"),"")</f>
        <v>0</v>
      </c>
      <c r="D60" s="173">
        <f>IF(ISNUMBER($A60)=TRUE,COUNTIFS(Garden!$H$8:$H652,$B60,Garden!$N$8:$N652,"&gt;0"),"")</f>
        <v>0</v>
      </c>
      <c r="E60" s="173">
        <f>IF(ISNUMBER($A60)=TRUE,COUNTIFS(Garden!$H$8:$H652,$B60,Garden!$K$8:$K652,"TRUE"),"")</f>
        <v>1</v>
      </c>
      <c r="F60" s="159"/>
      <c r="G60" s="174" t="str">
        <f>IFERROR(__xludf.DUMMYFUNCTION("""COMPUTED_VALUE"""),"Franske")</f>
        <v>Franske</v>
      </c>
      <c r="H60" s="175">
        <f>IFERROR(__xludf.DUMMYFUNCTION("""COMPUTED_VALUE"""),1.0)</f>
        <v>1</v>
      </c>
      <c r="I60" s="159"/>
      <c r="J60" s="174"/>
      <c r="K60" s="175"/>
      <c r="L60" s="177" t="str">
        <f t="shared" si="1"/>
        <v/>
      </c>
      <c r="M60" s="172"/>
      <c r="N60" s="175"/>
    </row>
    <row r="61">
      <c r="A61" s="171">
        <f t="shared" si="2"/>
        <v>55</v>
      </c>
      <c r="B61" s="172" t="str">
        <f>IFERROR(__xludf.DUMMYFUNCTION("""COMPUTED_VALUE"""),"Kumahelion")</f>
        <v>Kumahelion</v>
      </c>
      <c r="C61" s="173">
        <f>IF(ISNUMBER($A61)=TRUE,COUNTIFS(Garden!$H$8:$H652,$B61,Garden!$M$8:$M652,"&gt;0"),"")</f>
        <v>0</v>
      </c>
      <c r="D61" s="173">
        <f>IF(ISNUMBER($A61)=TRUE,COUNTIFS(Garden!$H$8:$H652,$B61,Garden!$N$8:$N652,"&gt;0"),"")</f>
        <v>0</v>
      </c>
      <c r="E61" s="173">
        <f>IF(ISNUMBER($A61)=TRUE,COUNTIFS(Garden!$H$8:$H652,$B61,Garden!$K$8:$K652,"TRUE"),"")</f>
        <v>7</v>
      </c>
      <c r="F61" s="159"/>
      <c r="G61" s="174" t="str">
        <f>IFERROR(__xludf.DUMMYFUNCTION("""COMPUTED_VALUE"""),"Frikandelbroodjes")</f>
        <v>Frikandelbroodjes</v>
      </c>
      <c r="H61" s="175">
        <f>IFERROR(__xludf.DUMMYFUNCTION("""COMPUTED_VALUE"""),1.0)</f>
        <v>1</v>
      </c>
      <c r="I61" s="159"/>
      <c r="J61" s="174"/>
      <c r="K61" s="175"/>
      <c r="L61" s="177" t="str">
        <f t="shared" si="1"/>
        <v/>
      </c>
      <c r="M61" s="172"/>
      <c r="N61" s="175"/>
    </row>
    <row r="62">
      <c r="A62" s="171">
        <f t="shared" si="2"/>
        <v>56</v>
      </c>
      <c r="B62" s="172" t="str">
        <f>IFERROR(__xludf.DUMMYFUNCTION("""COMPUTED_VALUE"""),"Kyrandia")</f>
        <v>Kyrandia</v>
      </c>
      <c r="C62" s="173">
        <f>IF(ISNUMBER($A62)=TRUE,COUNTIFS(Garden!$H$8:$H652,$B62,Garden!$M$8:$M652,"&gt;0"),"")</f>
        <v>0</v>
      </c>
      <c r="D62" s="173">
        <f>IF(ISNUMBER($A62)=TRUE,COUNTIFS(Garden!$H$8:$H652,$B62,Garden!$N$8:$N652,"&gt;0"),"")</f>
        <v>0</v>
      </c>
      <c r="E62" s="173">
        <f>IF(ISNUMBER($A62)=TRUE,COUNTIFS(Garden!$H$8:$H652,$B62,Garden!$K$8:$K652,"TRUE"),"")</f>
        <v>1</v>
      </c>
      <c r="F62" s="159"/>
      <c r="G62" s="174" t="str">
        <f>IFERROR(__xludf.DUMMYFUNCTION("""COMPUTED_VALUE"""),"Ganesia")</f>
        <v>Ganesia</v>
      </c>
      <c r="H62" s="175">
        <f>IFERROR(__xludf.DUMMYFUNCTION("""COMPUTED_VALUE"""),1.0)</f>
        <v>1</v>
      </c>
      <c r="I62" s="159"/>
      <c r="J62" s="174"/>
      <c r="K62" s="175"/>
      <c r="L62" s="177" t="str">
        <f t="shared" si="1"/>
        <v/>
      </c>
      <c r="M62" s="172"/>
      <c r="N62" s="175"/>
    </row>
    <row r="63">
      <c r="A63" s="171">
        <f t="shared" si="2"/>
        <v>57</v>
      </c>
      <c r="B63" s="172" t="str">
        <f>IFERROR(__xludf.DUMMYFUNCTION("""COMPUTED_VALUE"""),"Lanyasummer")</f>
        <v>Lanyasummer</v>
      </c>
      <c r="C63" s="173">
        <f>IF(ISNUMBER($A63)=TRUE,COUNTIFS(Garden!$H$8:$H652,$B63,Garden!$M$8:$M652,"&gt;0"),"")</f>
        <v>0</v>
      </c>
      <c r="D63" s="173">
        <f>IF(ISNUMBER($A63)=TRUE,COUNTIFS(Garden!$H$8:$H652,$B63,Garden!$N$8:$N652,"&gt;0"),"")</f>
        <v>0</v>
      </c>
      <c r="E63" s="173">
        <f>IF(ISNUMBER($A63)=TRUE,COUNTIFS(Garden!$H$8:$H652,$B63,Garden!$K$8:$K652,"TRUE"),"")</f>
        <v>1</v>
      </c>
      <c r="F63" s="159"/>
      <c r="G63" s="174" t="str">
        <f>IFERROR(__xludf.DUMMYFUNCTION("""COMPUTED_VALUE"""),"gd")</f>
        <v>gd</v>
      </c>
      <c r="H63" s="175">
        <f>IFERROR(__xludf.DUMMYFUNCTION("""COMPUTED_VALUE"""),1.0)</f>
        <v>1</v>
      </c>
      <c r="I63" s="159"/>
      <c r="J63" s="174"/>
      <c r="K63" s="175"/>
      <c r="L63" s="177" t="str">
        <f t="shared" si="1"/>
        <v/>
      </c>
      <c r="M63" s="172"/>
      <c r="N63" s="175"/>
    </row>
    <row r="64">
      <c r="A64" s="171">
        <f t="shared" si="2"/>
        <v>58</v>
      </c>
      <c r="B64" s="172" t="str">
        <f>IFERROR(__xludf.DUMMYFUNCTION("""COMPUTED_VALUE"""),"Leesap")</f>
        <v>Leesap</v>
      </c>
      <c r="C64" s="173">
        <f>IF(ISNUMBER($A64)=TRUE,COUNTIFS(Garden!$H$8:$H652,$B64,Garden!$M$8:$M652,"&gt;0"),"")</f>
        <v>0</v>
      </c>
      <c r="D64" s="173">
        <f>IF(ISNUMBER($A64)=TRUE,COUNTIFS(Garden!$H$8:$H652,$B64,Garden!$N$8:$N652,"&gt;0"),"")</f>
        <v>0</v>
      </c>
      <c r="E64" s="173">
        <f>IF(ISNUMBER($A64)=TRUE,COUNTIFS(Garden!$H$8:$H652,$B64,Garden!$K$8:$K652,"TRUE"),"")</f>
        <v>1</v>
      </c>
      <c r="F64" s="159"/>
      <c r="G64" s="174" t="str">
        <f>IFERROR(__xludf.DUMMYFUNCTION("""COMPUTED_VALUE"""),"halizwein")</f>
        <v>halizwein</v>
      </c>
      <c r="H64" s="175">
        <f>IFERROR(__xludf.DUMMYFUNCTION("""COMPUTED_VALUE"""),1.0)</f>
        <v>1</v>
      </c>
      <c r="I64" s="159"/>
      <c r="J64" s="174"/>
      <c r="K64" s="175"/>
      <c r="L64" s="177" t="str">
        <f t="shared" si="1"/>
        <v/>
      </c>
      <c r="M64" s="172"/>
      <c r="N64" s="175"/>
    </row>
    <row r="65">
      <c r="A65" s="171">
        <f t="shared" si="2"/>
        <v>59</v>
      </c>
      <c r="B65" s="172" t="str">
        <f>IFERROR(__xludf.DUMMYFUNCTION("""COMPUTED_VALUE"""),"levesund")</f>
        <v>levesund</v>
      </c>
      <c r="C65" s="173">
        <f>IF(ISNUMBER($A65)=TRUE,COUNTIFS(Garden!$H$8:$H652,$B65,Garden!$M$8:$M652,"&gt;0"),"")</f>
        <v>0</v>
      </c>
      <c r="D65" s="173">
        <f>IF(ISNUMBER($A65)=TRUE,COUNTIFS(Garden!$H$8:$H652,$B65,Garden!$N$8:$N652,"&gt;0"),"")</f>
        <v>0</v>
      </c>
      <c r="E65" s="173">
        <f>IF(ISNUMBER($A65)=TRUE,COUNTIFS(Garden!$H$8:$H652,$B65,Garden!$K$8:$K652,"TRUE"),"")</f>
        <v>1</v>
      </c>
      <c r="F65" s="159"/>
      <c r="G65" s="174" t="str">
        <f>IFERROR(__xludf.DUMMYFUNCTION("""COMPUTED_VALUE"""),"hems79")</f>
        <v>hems79</v>
      </c>
      <c r="H65" s="175">
        <f>IFERROR(__xludf.DUMMYFUNCTION("""COMPUTED_VALUE"""),1.0)</f>
        <v>1</v>
      </c>
      <c r="I65" s="159"/>
      <c r="J65" s="174"/>
      <c r="K65" s="175"/>
      <c r="L65" s="177" t="str">
        <f t="shared" si="1"/>
        <v/>
      </c>
      <c r="M65" s="172"/>
      <c r="N65" s="175"/>
    </row>
    <row r="66">
      <c r="A66" s="171">
        <f t="shared" si="2"/>
        <v>60</v>
      </c>
      <c r="B66" s="172" t="str">
        <f>IFERROR(__xludf.DUMMYFUNCTION("""COMPUTED_VALUE"""),"lison55")</f>
        <v>lison55</v>
      </c>
      <c r="C66" s="173">
        <f>IF(ISNUMBER($A66)=TRUE,COUNTIFS(Garden!$H$8:$H652,$B66,Garden!$M$8:$M652,"&gt;0"),"")</f>
        <v>0</v>
      </c>
      <c r="D66" s="173">
        <f>IF(ISNUMBER($A66)=TRUE,COUNTIFS(Garden!$H$8:$H652,$B66,Garden!$N$8:$N652,"&gt;0"),"")</f>
        <v>0</v>
      </c>
      <c r="E66" s="173">
        <f>IF(ISNUMBER($A66)=TRUE,COUNTIFS(Garden!$H$8:$H652,$B66,Garden!$K$8:$K652,"TRUE"),"")</f>
        <v>1</v>
      </c>
      <c r="F66" s="159"/>
      <c r="G66" s="174" t="str">
        <f>IFERROR(__xludf.DUMMYFUNCTION("""COMPUTED_VALUE"""),"hippiemop")</f>
        <v>hippiemop</v>
      </c>
      <c r="H66" s="175">
        <f>IFERROR(__xludf.DUMMYFUNCTION("""COMPUTED_VALUE"""),1.0)</f>
        <v>1</v>
      </c>
      <c r="I66" s="159"/>
      <c r="J66" s="174"/>
      <c r="K66" s="175"/>
      <c r="L66" s="177" t="str">
        <f t="shared" si="1"/>
        <v/>
      </c>
      <c r="M66" s="172"/>
      <c r="N66" s="175"/>
    </row>
    <row r="67">
      <c r="A67" s="171">
        <f t="shared" si="2"/>
        <v>61</v>
      </c>
      <c r="B67" s="172" t="str">
        <f>IFERROR(__xludf.DUMMYFUNCTION("""COMPUTED_VALUE"""),"Lonni")</f>
        <v>Lonni</v>
      </c>
      <c r="C67" s="173">
        <f>IF(ISNUMBER($A67)=TRUE,COUNTIFS(Garden!$H$8:$H652,$B67,Garden!$M$8:$M652,"&gt;0"),"")</f>
        <v>0</v>
      </c>
      <c r="D67" s="173">
        <f>IF(ISNUMBER($A67)=TRUE,COUNTIFS(Garden!$H$8:$H652,$B67,Garden!$N$8:$N652,"&gt;0"),"")</f>
        <v>0</v>
      </c>
      <c r="E67" s="173">
        <f>IF(ISNUMBER($A67)=TRUE,COUNTIFS(Garden!$H$8:$H652,$B67,Garden!$K$8:$K652,"TRUE"),"")</f>
        <v>1</v>
      </c>
      <c r="F67" s="159"/>
      <c r="G67" s="174" t="str">
        <f>IFERROR(__xludf.DUMMYFUNCTION("""COMPUTED_VALUE"""),"humbird7")</f>
        <v>humbird7</v>
      </c>
      <c r="H67" s="175">
        <f>IFERROR(__xludf.DUMMYFUNCTION("""COMPUTED_VALUE"""),1.0)</f>
        <v>1</v>
      </c>
      <c r="I67" s="159"/>
      <c r="J67" s="174"/>
      <c r="K67" s="175"/>
      <c r="L67" s="177" t="str">
        <f t="shared" si="1"/>
        <v/>
      </c>
      <c r="M67" s="172"/>
      <c r="N67" s="175"/>
    </row>
    <row r="68">
      <c r="A68" s="171">
        <f t="shared" si="2"/>
        <v>62</v>
      </c>
      <c r="B68" s="172" t="str">
        <f>IFERROR(__xludf.DUMMYFUNCTION("""COMPUTED_VALUE"""),"Lorax1")</f>
        <v>Lorax1</v>
      </c>
      <c r="C68" s="173">
        <f>IF(ISNUMBER($A68)=TRUE,COUNTIFS(Garden!$H$8:$H652,$B68,Garden!$M$8:$M652,"&gt;0"),"")</f>
        <v>0</v>
      </c>
      <c r="D68" s="173">
        <f>IF(ISNUMBER($A68)=TRUE,COUNTIFS(Garden!$H$8:$H652,$B68,Garden!$N$8:$N652,"&gt;0"),"")</f>
        <v>0</v>
      </c>
      <c r="E68" s="173">
        <f>IF(ISNUMBER($A68)=TRUE,COUNTIFS(Garden!$H$8:$H652,$B68,Garden!$K$8:$K652,"TRUE"),"")</f>
        <v>10</v>
      </c>
      <c r="F68" s="159"/>
      <c r="G68" s="174" t="str">
        <f>IFERROR(__xludf.DUMMYFUNCTION("""COMPUTED_VALUE"""),"irmeli")</f>
        <v>irmeli</v>
      </c>
      <c r="H68" s="175">
        <f>IFERROR(__xludf.DUMMYFUNCTION("""COMPUTED_VALUE"""),1.0)</f>
        <v>1</v>
      </c>
      <c r="I68" s="159"/>
      <c r="J68" s="174"/>
      <c r="K68" s="175"/>
      <c r="L68" s="177" t="str">
        <f t="shared" si="1"/>
        <v/>
      </c>
      <c r="M68" s="172"/>
      <c r="N68" s="175"/>
    </row>
    <row r="69">
      <c r="A69" s="171">
        <f t="shared" si="2"/>
        <v>63</v>
      </c>
      <c r="B69" s="172" t="str">
        <f>IFERROR(__xludf.DUMMYFUNCTION("""COMPUTED_VALUE"""),"Maattmoo")</f>
        <v>Maattmoo</v>
      </c>
      <c r="C69" s="173">
        <f>IF(ISNUMBER($A69)=TRUE,COUNTIFS(Garden!$H$8:$H652,$B69,Garden!$M$8:$M652,"&gt;0"),"")</f>
        <v>0</v>
      </c>
      <c r="D69" s="173">
        <f>IF(ISNUMBER($A69)=TRUE,COUNTIFS(Garden!$H$8:$H652,$B69,Garden!$N$8:$N652,"&gt;0"),"")</f>
        <v>0</v>
      </c>
      <c r="E69" s="173">
        <f>IF(ISNUMBER($A69)=TRUE,COUNTIFS(Garden!$H$8:$H652,$B69,Garden!$K$8:$K652,"TRUE"),"")</f>
        <v>1</v>
      </c>
      <c r="F69" s="159"/>
      <c r="G69" s="174" t="str">
        <f>IFERROR(__xludf.DUMMYFUNCTION("""COMPUTED_VALUE"""),"JackSparrow")</f>
        <v>JackSparrow</v>
      </c>
      <c r="H69" s="175">
        <f>IFERROR(__xludf.DUMMYFUNCTION("""COMPUTED_VALUE"""),1.0)</f>
        <v>1</v>
      </c>
      <c r="I69" s="159"/>
      <c r="J69" s="174"/>
      <c r="K69" s="175"/>
      <c r="L69" s="177" t="str">
        <f t="shared" si="1"/>
        <v/>
      </c>
      <c r="M69" s="172"/>
      <c r="N69" s="175"/>
    </row>
    <row r="70">
      <c r="A70" s="171">
        <f t="shared" si="2"/>
        <v>64</v>
      </c>
      <c r="B70" s="172" t="str">
        <f>IFERROR(__xludf.DUMMYFUNCTION("""COMPUTED_VALUE"""),"MacickaLizza")</f>
        <v>MacickaLizza</v>
      </c>
      <c r="C70" s="173">
        <f>IF(ISNUMBER($A70)=TRUE,COUNTIFS(Garden!$H$8:$H652,$B70,Garden!$M$8:$M652,"&gt;0"),"")</f>
        <v>0</v>
      </c>
      <c r="D70" s="173">
        <f>IF(ISNUMBER($A70)=TRUE,COUNTIFS(Garden!$H$8:$H652,$B70,Garden!$N$8:$N652,"&gt;0"),"")</f>
        <v>0</v>
      </c>
      <c r="E70" s="173">
        <f>IF(ISNUMBER($A70)=TRUE,COUNTIFS(Garden!$H$8:$H652,$B70,Garden!$K$8:$K652,"TRUE"),"")</f>
        <v>7</v>
      </c>
      <c r="F70" s="159"/>
      <c r="G70" s="174" t="str">
        <f>IFERROR(__xludf.DUMMYFUNCTION("""COMPUTED_VALUE"""),"joroma80")</f>
        <v>joroma80</v>
      </c>
      <c r="H70" s="175">
        <f>IFERROR(__xludf.DUMMYFUNCTION("""COMPUTED_VALUE"""),1.0)</f>
        <v>1</v>
      </c>
      <c r="I70" s="159"/>
      <c r="J70" s="174"/>
      <c r="K70" s="175"/>
      <c r="L70" s="177" t="str">
        <f t="shared" si="1"/>
        <v/>
      </c>
      <c r="M70" s="172"/>
      <c r="N70" s="175"/>
    </row>
    <row r="71">
      <c r="A71" s="171">
        <f t="shared" si="2"/>
        <v>65</v>
      </c>
      <c r="B71" s="172" t="str">
        <f>IFERROR(__xludf.DUMMYFUNCTION("""COMPUTED_VALUE"""),"Majsan")</f>
        <v>Majsan</v>
      </c>
      <c r="C71" s="173">
        <f>IF(ISNUMBER($A71)=TRUE,COUNTIFS(Garden!$H$8:$H652,$B71,Garden!$M$8:$M652,"&gt;0"),"")</f>
        <v>0</v>
      </c>
      <c r="D71" s="173">
        <f>IF(ISNUMBER($A71)=TRUE,COUNTIFS(Garden!$H$8:$H652,$B71,Garden!$N$8:$N652,"&gt;0"),"")</f>
        <v>0</v>
      </c>
      <c r="E71" s="173">
        <f>IF(ISNUMBER($A71)=TRUE,COUNTIFS(Garden!$H$8:$H652,$B71,Garden!$K$8:$K652,"TRUE"),"")</f>
        <v>2</v>
      </c>
      <c r="F71" s="159"/>
      <c r="G71" s="174" t="str">
        <f>IFERROR(__xludf.DUMMYFUNCTION("""COMPUTED_VALUE"""),"jukkas")</f>
        <v>jukkas</v>
      </c>
      <c r="H71" s="175">
        <f>IFERROR(__xludf.DUMMYFUNCTION("""COMPUTED_VALUE"""),1.0)</f>
        <v>1</v>
      </c>
      <c r="I71" s="159"/>
      <c r="J71" s="174"/>
      <c r="K71" s="175"/>
      <c r="L71" s="177" t="str">
        <f t="shared" si="1"/>
        <v/>
      </c>
      <c r="M71" s="172"/>
      <c r="N71" s="175"/>
    </row>
    <row r="72">
      <c r="A72" s="171">
        <f t="shared" si="2"/>
        <v>66</v>
      </c>
      <c r="B72" s="172" t="str">
        <f>IFERROR(__xludf.DUMMYFUNCTION("""COMPUTED_VALUE"""),"markcase")</f>
        <v>markcase</v>
      </c>
      <c r="C72" s="173">
        <f>IF(ISNUMBER($A72)=TRUE,COUNTIFS(Garden!$H$8:$H652,$B72,Garden!$M$8:$M652,"&gt;0"),"")</f>
        <v>0</v>
      </c>
      <c r="D72" s="173">
        <f>IF(ISNUMBER($A72)=TRUE,COUNTIFS(Garden!$H$8:$H652,$B72,Garden!$N$8:$N652,"&gt;0"),"")</f>
        <v>0</v>
      </c>
      <c r="E72" s="173">
        <f>IF(ISNUMBER($A72)=TRUE,COUNTIFS(Garden!$H$8:$H652,$B72,Garden!$K$8:$K652,"TRUE"),"")</f>
        <v>1</v>
      </c>
      <c r="F72" s="159"/>
      <c r="G72" s="174" t="str">
        <f>IFERROR(__xludf.DUMMYFUNCTION("""COMPUTED_VALUE"""),"kepke3")</f>
        <v>kepke3</v>
      </c>
      <c r="H72" s="175">
        <f>IFERROR(__xludf.DUMMYFUNCTION("""COMPUTED_VALUE"""),1.0)</f>
        <v>1</v>
      </c>
      <c r="I72" s="159"/>
      <c r="J72" s="174"/>
      <c r="K72" s="175"/>
      <c r="L72" s="177" t="str">
        <f t="shared" si="1"/>
        <v/>
      </c>
      <c r="M72" s="172"/>
      <c r="N72" s="175"/>
    </row>
    <row r="73">
      <c r="A73" s="171">
        <f t="shared" si="2"/>
        <v>67</v>
      </c>
      <c r="B73" s="172" t="str">
        <f>IFERROR(__xludf.DUMMYFUNCTION("""COMPUTED_VALUE"""),"mathew611")</f>
        <v>mathew611</v>
      </c>
      <c r="C73" s="173">
        <f>IF(ISNUMBER($A73)=TRUE,COUNTIFS(Garden!$H$8:$H652,$B73,Garden!$M$8:$M652,"&gt;0"),"")</f>
        <v>0</v>
      </c>
      <c r="D73" s="173">
        <f>IF(ISNUMBER($A73)=TRUE,COUNTIFS(Garden!$H$8:$H652,$B73,Garden!$N$8:$N652,"&gt;0"),"")</f>
        <v>0</v>
      </c>
      <c r="E73" s="173">
        <f>IF(ISNUMBER($A73)=TRUE,COUNTIFS(Garden!$H$8:$H652,$B73,Garden!$K$8:$K652,"TRUE"),"")</f>
        <v>19</v>
      </c>
      <c r="F73" s="159"/>
      <c r="G73" s="174" t="str">
        <f>IFERROR(__xludf.DUMMYFUNCTION("""COMPUTED_VALUE"""),"Kiitokurre")</f>
        <v>Kiitokurre</v>
      </c>
      <c r="H73" s="175">
        <f>IFERROR(__xludf.DUMMYFUNCTION("""COMPUTED_VALUE"""),1.0)</f>
        <v>1</v>
      </c>
      <c r="I73" s="159"/>
      <c r="J73" s="174"/>
      <c r="K73" s="175"/>
      <c r="L73" s="177" t="str">
        <f t="shared" si="1"/>
        <v/>
      </c>
      <c r="M73" s="172"/>
      <c r="N73" s="175"/>
    </row>
    <row r="74">
      <c r="A74" s="171">
        <f t="shared" si="2"/>
        <v>68</v>
      </c>
      <c r="B74" s="172" t="str">
        <f>IFERROR(__xludf.DUMMYFUNCTION("""COMPUTED_VALUE"""),"Maxi72")</f>
        <v>Maxi72</v>
      </c>
      <c r="C74" s="173">
        <f>IF(ISNUMBER($A74)=TRUE,COUNTIFS(Garden!$H$8:$H652,$B74,Garden!$M$8:$M652,"&gt;0"),"")</f>
        <v>0</v>
      </c>
      <c r="D74" s="173">
        <f>IF(ISNUMBER($A74)=TRUE,COUNTIFS(Garden!$H$8:$H652,$B74,Garden!$N$8:$N652,"&gt;0"),"")</f>
        <v>0</v>
      </c>
      <c r="E74" s="173">
        <f>IF(ISNUMBER($A74)=TRUE,COUNTIFS(Garden!$H$8:$H652,$B74,Garden!$K$8:$K652,"TRUE"),"")</f>
        <v>1</v>
      </c>
      <c r="F74" s="159"/>
      <c r="G74" s="174" t="str">
        <f>IFERROR(__xludf.DUMMYFUNCTION("""COMPUTED_VALUE"""),"kpcrystal07")</f>
        <v>kpcrystal07</v>
      </c>
      <c r="H74" s="175">
        <f>IFERROR(__xludf.DUMMYFUNCTION("""COMPUTED_VALUE"""),1.0)</f>
        <v>1</v>
      </c>
      <c r="I74" s="159"/>
      <c r="J74" s="174"/>
      <c r="K74" s="175"/>
      <c r="L74" s="177" t="str">
        <f t="shared" si="1"/>
        <v/>
      </c>
      <c r="M74" s="172"/>
      <c r="N74" s="175"/>
    </row>
    <row r="75">
      <c r="A75" s="171">
        <f t="shared" si="2"/>
        <v>69</v>
      </c>
      <c r="B75" s="172" t="str">
        <f>IFERROR(__xludf.DUMMYFUNCTION("""COMPUTED_VALUE"""),"mding4gold")</f>
        <v>mding4gold</v>
      </c>
      <c r="C75" s="173">
        <f>IF(ISNUMBER($A75)=TRUE,COUNTIFS(Garden!$H$8:$H652,$B75,Garden!$M$8:$M652,"&gt;0"),"")</f>
        <v>0</v>
      </c>
      <c r="D75" s="173">
        <f>IF(ISNUMBER($A75)=TRUE,COUNTIFS(Garden!$H$8:$H652,$B75,Garden!$N$8:$N652,"&gt;0"),"")</f>
        <v>0</v>
      </c>
      <c r="E75" s="173">
        <f>IF(ISNUMBER($A75)=TRUE,COUNTIFS(Garden!$H$8:$H652,$B75,Garden!$K$8:$K652,"TRUE"),"")</f>
        <v>1</v>
      </c>
      <c r="F75" s="159"/>
      <c r="G75" s="174" t="str">
        <f>IFERROR(__xludf.DUMMYFUNCTION("""COMPUTED_VALUE"""),"Kyrandia")</f>
        <v>Kyrandia</v>
      </c>
      <c r="H75" s="175">
        <f>IFERROR(__xludf.DUMMYFUNCTION("""COMPUTED_VALUE"""),1.0)</f>
        <v>1</v>
      </c>
      <c r="I75" s="159"/>
      <c r="J75" s="174"/>
      <c r="K75" s="175"/>
      <c r="L75" s="177" t="str">
        <f t="shared" si="1"/>
        <v/>
      </c>
      <c r="M75" s="172"/>
      <c r="N75" s="175"/>
    </row>
    <row r="76">
      <c r="A76" s="171">
        <f t="shared" si="2"/>
        <v>70</v>
      </c>
      <c r="B76" s="172" t="str">
        <f>IFERROR(__xludf.DUMMYFUNCTION("""COMPUTED_VALUE"""),"MeanderingMonkeys")</f>
        <v>MeanderingMonkeys</v>
      </c>
      <c r="C76" s="173">
        <f>IF(ISNUMBER($A76)=TRUE,COUNTIFS(Garden!$H$8:$H652,$B76,Garden!$M$8:$M652,"&gt;0"),"")</f>
        <v>0</v>
      </c>
      <c r="D76" s="173">
        <f>IF(ISNUMBER($A76)=TRUE,COUNTIFS(Garden!$H$8:$H652,$B76,Garden!$N$8:$N652,"&gt;0"),"")</f>
        <v>0</v>
      </c>
      <c r="E76" s="173">
        <f>IF(ISNUMBER($A76)=TRUE,COUNTIFS(Garden!$H$8:$H652,$B76,Garden!$K$8:$K652,"TRUE"),"")</f>
        <v>1</v>
      </c>
      <c r="F76" s="159"/>
      <c r="G76" s="174" t="str">
        <f>IFERROR(__xludf.DUMMYFUNCTION("""COMPUTED_VALUE"""),"Lanyasummer")</f>
        <v>Lanyasummer</v>
      </c>
      <c r="H76" s="175">
        <f>IFERROR(__xludf.DUMMYFUNCTION("""COMPUTED_VALUE"""),1.0)</f>
        <v>1</v>
      </c>
      <c r="I76" s="159"/>
      <c r="J76" s="174"/>
      <c r="K76" s="175"/>
      <c r="L76" s="177" t="str">
        <f t="shared" si="1"/>
        <v/>
      </c>
      <c r="M76" s="172"/>
      <c r="N76" s="175"/>
    </row>
    <row r="77">
      <c r="A77" s="171">
        <f t="shared" si="2"/>
        <v>71</v>
      </c>
      <c r="B77" s="172" t="str">
        <f>IFERROR(__xludf.DUMMYFUNCTION("""COMPUTED_VALUE"""),"mierischclan")</f>
        <v>mierischclan</v>
      </c>
      <c r="C77" s="173">
        <f>IF(ISNUMBER($A77)=TRUE,COUNTIFS(Garden!$H$8:$H652,$B77,Garden!$M$8:$M652,"&gt;0"),"")</f>
        <v>0</v>
      </c>
      <c r="D77" s="173">
        <f>IF(ISNUMBER($A77)=TRUE,COUNTIFS(Garden!$H$8:$H652,$B77,Garden!$N$8:$N652,"&gt;0"),"")</f>
        <v>0</v>
      </c>
      <c r="E77" s="173">
        <f>IF(ISNUMBER($A77)=TRUE,COUNTIFS(Garden!$H$8:$H652,$B77,Garden!$K$8:$K652,"TRUE"),"")</f>
        <v>2</v>
      </c>
      <c r="F77" s="159"/>
      <c r="G77" s="174" t="str">
        <f>IFERROR(__xludf.DUMMYFUNCTION("""COMPUTED_VALUE"""),"Leesap")</f>
        <v>Leesap</v>
      </c>
      <c r="H77" s="175">
        <f>IFERROR(__xludf.DUMMYFUNCTION("""COMPUTED_VALUE"""),1.0)</f>
        <v>1</v>
      </c>
      <c r="I77" s="159"/>
      <c r="J77" s="174"/>
      <c r="K77" s="175"/>
      <c r="L77" s="177" t="str">
        <f t="shared" si="1"/>
        <v/>
      </c>
      <c r="M77" s="172"/>
      <c r="N77" s="175"/>
    </row>
    <row r="78">
      <c r="A78" s="171">
        <f t="shared" si="2"/>
        <v>72</v>
      </c>
      <c r="B78" s="172" t="str">
        <f>IFERROR(__xludf.DUMMYFUNCTION("""COMPUTED_VALUE"""),"Minnie213")</f>
        <v>Minnie213</v>
      </c>
      <c r="C78" s="173">
        <f>IF(ISNUMBER($A78)=TRUE,COUNTIFS(Garden!$H$8:$H652,$B78,Garden!$M$8:$M652,"&gt;0"),"")</f>
        <v>0</v>
      </c>
      <c r="D78" s="173">
        <f>IF(ISNUMBER($A78)=TRUE,COUNTIFS(Garden!$H$8:$H652,$B78,Garden!$N$8:$N652,"&gt;0"),"")</f>
        <v>0</v>
      </c>
      <c r="E78" s="173">
        <f>IF(ISNUMBER($A78)=TRUE,COUNTIFS(Garden!$H$8:$H652,$B78,Garden!$K$8:$K652,"TRUE"),"")</f>
        <v>1</v>
      </c>
      <c r="F78" s="159"/>
      <c r="G78" s="174" t="str">
        <f>IFERROR(__xludf.DUMMYFUNCTION("""COMPUTED_VALUE"""),"levesund")</f>
        <v>levesund</v>
      </c>
      <c r="H78" s="175">
        <f>IFERROR(__xludf.DUMMYFUNCTION("""COMPUTED_VALUE"""),1.0)</f>
        <v>1</v>
      </c>
      <c r="I78" s="159"/>
      <c r="J78" s="174"/>
      <c r="K78" s="175"/>
      <c r="L78" s="177" t="str">
        <f t="shared" si="1"/>
        <v/>
      </c>
      <c r="M78" s="172"/>
      <c r="N78" s="175"/>
    </row>
    <row r="79">
      <c r="A79" s="171">
        <f t="shared" si="2"/>
        <v>73</v>
      </c>
      <c r="B79" s="172" t="str">
        <f>IFERROR(__xludf.DUMMYFUNCTION("""COMPUTED_VALUE"""),"mobility")</f>
        <v>mobility</v>
      </c>
      <c r="C79" s="173">
        <f>IF(ISNUMBER($A79)=TRUE,COUNTIFS(Garden!$H$8:$H652,$B79,Garden!$M$8:$M652,"&gt;0"),"")</f>
        <v>0</v>
      </c>
      <c r="D79" s="173">
        <f>IF(ISNUMBER($A79)=TRUE,COUNTIFS(Garden!$H$8:$H652,$B79,Garden!$N$8:$N652,"&gt;0"),"")</f>
        <v>0</v>
      </c>
      <c r="E79" s="173">
        <f>IF(ISNUMBER($A79)=TRUE,COUNTIFS(Garden!$H$8:$H652,$B79,Garden!$K$8:$K652,"TRUE"),"")</f>
        <v>1</v>
      </c>
      <c r="F79" s="159"/>
      <c r="G79" s="174" t="str">
        <f>IFERROR(__xludf.DUMMYFUNCTION("""COMPUTED_VALUE"""),"lison55")</f>
        <v>lison55</v>
      </c>
      <c r="H79" s="175">
        <f>IFERROR(__xludf.DUMMYFUNCTION("""COMPUTED_VALUE"""),1.0)</f>
        <v>1</v>
      </c>
      <c r="I79" s="159"/>
      <c r="J79" s="174"/>
      <c r="K79" s="175"/>
      <c r="L79" s="177" t="str">
        <f t="shared" si="1"/>
        <v/>
      </c>
      <c r="M79" s="172"/>
      <c r="N79" s="175"/>
    </row>
    <row r="80">
      <c r="A80" s="171">
        <f t="shared" si="2"/>
        <v>74</v>
      </c>
      <c r="B80" s="172" t="str">
        <f>IFERROR(__xludf.DUMMYFUNCTION("""COMPUTED_VALUE"""),"mortonfox")</f>
        <v>mortonfox</v>
      </c>
      <c r="C80" s="173">
        <f>IF(ISNUMBER($A80)=TRUE,COUNTIFS(Garden!$H$8:$H652,$B80,Garden!$M$8:$M652,"&gt;0"),"")</f>
        <v>0</v>
      </c>
      <c r="D80" s="173">
        <f>IF(ISNUMBER($A80)=TRUE,COUNTIFS(Garden!$H$8:$H652,$B80,Garden!$N$8:$N652,"&gt;0"),"")</f>
        <v>1</v>
      </c>
      <c r="E80" s="173">
        <f>IF(ISNUMBER($A80)=TRUE,COUNTIFS(Garden!$H$8:$H652,$B80,Garden!$K$8:$K652,"TRUE"),"")</f>
        <v>0</v>
      </c>
      <c r="F80" s="159"/>
      <c r="G80" s="174" t="str">
        <f>IFERROR(__xludf.DUMMYFUNCTION("""COMPUTED_VALUE"""),"Lonni")</f>
        <v>Lonni</v>
      </c>
      <c r="H80" s="175">
        <f>IFERROR(__xludf.DUMMYFUNCTION("""COMPUTED_VALUE"""),1.0)</f>
        <v>1</v>
      </c>
      <c r="I80" s="159"/>
      <c r="J80" s="174"/>
      <c r="K80" s="175"/>
      <c r="L80" s="177" t="str">
        <f t="shared" si="1"/>
        <v/>
      </c>
      <c r="M80" s="172"/>
      <c r="N80" s="175"/>
    </row>
    <row r="81">
      <c r="A81" s="171">
        <f t="shared" si="2"/>
        <v>75</v>
      </c>
      <c r="B81" s="172" t="str">
        <f>IFERROR(__xludf.DUMMYFUNCTION("""COMPUTED_VALUE"""),"munzeeprof")</f>
        <v>munzeeprof</v>
      </c>
      <c r="C81" s="173">
        <f>IF(ISNUMBER($A81)=TRUE,COUNTIFS(Garden!$H$8:$H652,$B81,Garden!$M$8:$M652,"&gt;0"),"")</f>
        <v>0</v>
      </c>
      <c r="D81" s="173">
        <f>IF(ISNUMBER($A81)=TRUE,COUNTIFS(Garden!$H$8:$H652,$B81,Garden!$N$8:$N652,"&gt;0"),"")</f>
        <v>0</v>
      </c>
      <c r="E81" s="173">
        <f>IF(ISNUMBER($A81)=TRUE,COUNTIFS(Garden!$H$8:$H652,$B81,Garden!$K$8:$K652,"TRUE"),"")</f>
        <v>1</v>
      </c>
      <c r="F81" s="159"/>
      <c r="G81" s="174" t="str">
        <f>IFERROR(__xludf.DUMMYFUNCTION("""COMPUTED_VALUE"""),"Maattmoo")</f>
        <v>Maattmoo</v>
      </c>
      <c r="H81" s="175">
        <f>IFERROR(__xludf.DUMMYFUNCTION("""COMPUTED_VALUE"""),1.0)</f>
        <v>1</v>
      </c>
      <c r="I81" s="159"/>
      <c r="J81" s="174"/>
      <c r="K81" s="175"/>
      <c r="L81" s="177" t="str">
        <f t="shared" si="1"/>
        <v/>
      </c>
      <c r="M81" s="172"/>
      <c r="N81" s="175"/>
    </row>
    <row r="82">
      <c r="A82" s="171">
        <f t="shared" si="2"/>
        <v>76</v>
      </c>
      <c r="B82" s="172" t="str">
        <f>IFERROR(__xludf.DUMMYFUNCTION("""COMPUTED_VALUE"""),"Neloras")</f>
        <v>Neloras</v>
      </c>
      <c r="C82" s="173">
        <f>IF(ISNUMBER($A82)=TRUE,COUNTIFS(Garden!$H$8:$H652,$B82,Garden!$M$8:$M652,"&gt;0"),"")</f>
        <v>0</v>
      </c>
      <c r="D82" s="173">
        <f>IF(ISNUMBER($A82)=TRUE,COUNTIFS(Garden!$H$8:$H652,$B82,Garden!$N$8:$N652,"&gt;0"),"")</f>
        <v>0</v>
      </c>
      <c r="E82" s="173">
        <f>IF(ISNUMBER($A82)=TRUE,COUNTIFS(Garden!$H$8:$H652,$B82,Garden!$K$8:$K652,"TRUE"),"")</f>
        <v>23</v>
      </c>
      <c r="F82" s="159"/>
      <c r="G82" s="174" t="str">
        <f>IFERROR(__xludf.DUMMYFUNCTION("""COMPUTED_VALUE"""),"markcase")</f>
        <v>markcase</v>
      </c>
      <c r="H82" s="175">
        <f>IFERROR(__xludf.DUMMYFUNCTION("""COMPUTED_VALUE"""),1.0)</f>
        <v>1</v>
      </c>
      <c r="I82" s="159"/>
      <c r="J82" s="174"/>
      <c r="K82" s="175"/>
      <c r="L82" s="177" t="str">
        <f t="shared" si="1"/>
        <v/>
      </c>
      <c r="M82" s="172"/>
      <c r="N82" s="175"/>
    </row>
    <row r="83">
      <c r="A83" s="171">
        <f t="shared" si="2"/>
        <v>77</v>
      </c>
      <c r="B83" s="172" t="str">
        <f>IFERROR(__xludf.DUMMYFUNCTION("""COMPUTED_VALUE"""),"Nicolet")</f>
        <v>Nicolet</v>
      </c>
      <c r="C83" s="173">
        <f>IF(ISNUMBER($A83)=TRUE,COUNTIFS(Garden!$H$8:$H652,$B83,Garden!$M$8:$M652,"&gt;0"),"")</f>
        <v>0</v>
      </c>
      <c r="D83" s="173">
        <f>IF(ISNUMBER($A83)=TRUE,COUNTIFS(Garden!$H$8:$H652,$B83,Garden!$N$8:$N652,"&gt;0"),"")</f>
        <v>0</v>
      </c>
      <c r="E83" s="173">
        <f>IF(ISNUMBER($A83)=TRUE,COUNTIFS(Garden!$H$8:$H652,$B83,Garden!$K$8:$K652,"TRUE"),"")</f>
        <v>22</v>
      </c>
      <c r="F83" s="159"/>
      <c r="G83" s="174" t="str">
        <f>IFERROR(__xludf.DUMMYFUNCTION("""COMPUTED_VALUE"""),"Maxi72")</f>
        <v>Maxi72</v>
      </c>
      <c r="H83" s="175">
        <f>IFERROR(__xludf.DUMMYFUNCTION("""COMPUTED_VALUE"""),1.0)</f>
        <v>1</v>
      </c>
      <c r="I83" s="159"/>
      <c r="J83" s="174"/>
      <c r="K83" s="175"/>
      <c r="L83" s="177" t="str">
        <f t="shared" si="1"/>
        <v/>
      </c>
      <c r="M83" s="172"/>
      <c r="N83" s="175"/>
    </row>
    <row r="84">
      <c r="A84" s="171">
        <f t="shared" si="2"/>
        <v>78</v>
      </c>
      <c r="B84" s="172" t="str">
        <f>IFERROR(__xludf.DUMMYFUNCTION("""COMPUTED_VALUE"""),"NikitaStolk")</f>
        <v>NikitaStolk</v>
      </c>
      <c r="C84" s="173">
        <f>IF(ISNUMBER($A84)=TRUE,COUNTIFS(Garden!$H$8:$H652,$B84,Garden!$M$8:$M652,"&gt;0"),"")</f>
        <v>0</v>
      </c>
      <c r="D84" s="173">
        <f>IF(ISNUMBER($A84)=TRUE,COUNTIFS(Garden!$H$8:$H652,$B84,Garden!$N$8:$N652,"&gt;0"),"")</f>
        <v>0</v>
      </c>
      <c r="E84" s="173">
        <f>IF(ISNUMBER($A84)=TRUE,COUNTIFS(Garden!$H$8:$H652,$B84,Garden!$K$8:$K652,"TRUE"),"")</f>
        <v>1</v>
      </c>
      <c r="F84" s="159"/>
      <c r="G84" s="174" t="str">
        <f>IFERROR(__xludf.DUMMYFUNCTION("""COMPUTED_VALUE"""),"mding4gold")</f>
        <v>mding4gold</v>
      </c>
      <c r="H84" s="175">
        <f>IFERROR(__xludf.DUMMYFUNCTION("""COMPUTED_VALUE"""),1.0)</f>
        <v>1</v>
      </c>
      <c r="I84" s="159"/>
      <c r="J84" s="174"/>
      <c r="K84" s="175"/>
      <c r="L84" s="177" t="str">
        <f t="shared" si="1"/>
        <v/>
      </c>
      <c r="M84" s="172"/>
      <c r="N84" s="175"/>
    </row>
    <row r="85">
      <c r="A85" s="171">
        <f t="shared" si="2"/>
        <v>79</v>
      </c>
      <c r="B85" s="172" t="str">
        <f>IFERROR(__xludf.DUMMYFUNCTION("""COMPUTED_VALUE"""),"nyisutter")</f>
        <v>nyisutter</v>
      </c>
      <c r="C85" s="173">
        <f>IF(ISNUMBER($A85)=TRUE,COUNTIFS(Garden!$H$8:$H652,$B85,Garden!$M$8:$M652,"&gt;0"),"")</f>
        <v>0</v>
      </c>
      <c r="D85" s="173">
        <f>IF(ISNUMBER($A85)=TRUE,COUNTIFS(Garden!$H$8:$H652,$B85,Garden!$N$8:$N652,"&gt;0"),"")</f>
        <v>0</v>
      </c>
      <c r="E85" s="173">
        <f>IF(ISNUMBER($A85)=TRUE,COUNTIFS(Garden!$H$8:$H652,$B85,Garden!$K$8:$K652,"TRUE"),"")</f>
        <v>1</v>
      </c>
      <c r="F85" s="159"/>
      <c r="G85" s="174" t="str">
        <f>IFERROR(__xludf.DUMMYFUNCTION("""COMPUTED_VALUE"""),"MeanderingMonkeys")</f>
        <v>MeanderingMonkeys</v>
      </c>
      <c r="H85" s="175">
        <f>IFERROR(__xludf.DUMMYFUNCTION("""COMPUTED_VALUE"""),1.0)</f>
        <v>1</v>
      </c>
      <c r="I85" s="159"/>
      <c r="J85" s="174"/>
      <c r="K85" s="175"/>
      <c r="L85" s="177" t="str">
        <f t="shared" si="1"/>
        <v/>
      </c>
      <c r="M85" s="172"/>
      <c r="N85" s="175"/>
    </row>
    <row r="86">
      <c r="A86" s="171">
        <f t="shared" si="2"/>
        <v>80</v>
      </c>
      <c r="B86" s="172" t="str">
        <f>IFERROR(__xludf.DUMMYFUNCTION("""COMPUTED_VALUE"""),"PelicanRouge")</f>
        <v>PelicanRouge</v>
      </c>
      <c r="C86" s="173">
        <f>IF(ISNUMBER($A86)=TRUE,COUNTIFS(Garden!$H$8:$H652,$B86,Garden!$M$8:$M652,"&gt;0"),"")</f>
        <v>0</v>
      </c>
      <c r="D86" s="173">
        <f>IF(ISNUMBER($A86)=TRUE,COUNTIFS(Garden!$H$8:$H652,$B86,Garden!$N$8:$N652,"&gt;0"),"")</f>
        <v>0</v>
      </c>
      <c r="E86" s="173">
        <f>IF(ISNUMBER($A86)=TRUE,COUNTIFS(Garden!$H$8:$H652,$B86,Garden!$K$8:$K652,"TRUE"),"")</f>
        <v>1</v>
      </c>
      <c r="F86" s="159"/>
      <c r="G86" s="174" t="str">
        <f>IFERROR(__xludf.DUMMYFUNCTION("""COMPUTED_VALUE"""),"Minnie213")</f>
        <v>Minnie213</v>
      </c>
      <c r="H86" s="175">
        <f>IFERROR(__xludf.DUMMYFUNCTION("""COMPUTED_VALUE"""),1.0)</f>
        <v>1</v>
      </c>
      <c r="I86" s="159"/>
      <c r="J86" s="174"/>
      <c r="K86" s="175"/>
      <c r="L86" s="177" t="str">
        <f t="shared" si="1"/>
        <v/>
      </c>
      <c r="M86" s="172"/>
      <c r="N86" s="175"/>
    </row>
    <row r="87">
      <c r="A87" s="171">
        <f t="shared" si="2"/>
        <v>81</v>
      </c>
      <c r="B87" s="172" t="str">
        <f>IFERROR(__xludf.DUMMYFUNCTION("""COMPUTED_VALUE"""),"ponu")</f>
        <v>ponu</v>
      </c>
      <c r="C87" s="173">
        <f>IF(ISNUMBER($A87)=TRUE,COUNTIFS(Garden!$H$8:$H652,$B87,Garden!$M$8:$M652,"&gt;0"),"")</f>
        <v>0</v>
      </c>
      <c r="D87" s="173">
        <f>IF(ISNUMBER($A87)=TRUE,COUNTIFS(Garden!$H$8:$H652,$B87,Garden!$N$8:$N652,"&gt;0"),"")</f>
        <v>0</v>
      </c>
      <c r="E87" s="173">
        <f>IF(ISNUMBER($A87)=TRUE,COUNTIFS(Garden!$H$8:$H652,$B87,Garden!$K$8:$K652,"TRUE"),"")</f>
        <v>1</v>
      </c>
      <c r="F87" s="159"/>
      <c r="G87" s="174" t="str">
        <f>IFERROR(__xludf.DUMMYFUNCTION("""COMPUTED_VALUE"""),"mobility")</f>
        <v>mobility</v>
      </c>
      <c r="H87" s="175">
        <f>IFERROR(__xludf.DUMMYFUNCTION("""COMPUTED_VALUE"""),1.0)</f>
        <v>1</v>
      </c>
      <c r="I87" s="159"/>
      <c r="J87" s="174"/>
      <c r="K87" s="175"/>
      <c r="L87" s="177" t="str">
        <f t="shared" si="1"/>
        <v/>
      </c>
      <c r="M87" s="172"/>
      <c r="N87" s="175"/>
    </row>
    <row r="88">
      <c r="A88" s="171">
        <f t="shared" si="2"/>
        <v>82</v>
      </c>
      <c r="B88" s="172" t="str">
        <f>IFERROR(__xludf.DUMMYFUNCTION("""COMPUTED_VALUE"""),"Redsixmix")</f>
        <v>Redsixmix</v>
      </c>
      <c r="C88" s="173">
        <f>IF(ISNUMBER($A88)=TRUE,COUNTIFS(Garden!$H$8:$H652,$B88,Garden!$M$8:$M652,"&gt;0"),"")</f>
        <v>0</v>
      </c>
      <c r="D88" s="173">
        <f>IF(ISNUMBER($A88)=TRUE,COUNTIFS(Garden!$H$8:$H652,$B88,Garden!$N$8:$N652,"&gt;0"),"")</f>
        <v>0</v>
      </c>
      <c r="E88" s="173">
        <f>IF(ISNUMBER($A88)=TRUE,COUNTIFS(Garden!$H$8:$H652,$B88,Garden!$K$8:$K652,"TRUE"),"")</f>
        <v>1</v>
      </c>
      <c r="F88" s="159"/>
      <c r="G88" s="174" t="str">
        <f>IFERROR(__xludf.DUMMYFUNCTION("""COMPUTED_VALUE"""),"munzeeprof")</f>
        <v>munzeeprof</v>
      </c>
      <c r="H88" s="175">
        <f>IFERROR(__xludf.DUMMYFUNCTION("""COMPUTED_VALUE"""),1.0)</f>
        <v>1</v>
      </c>
      <c r="I88" s="159"/>
      <c r="J88" s="174"/>
      <c r="K88" s="175"/>
      <c r="L88" s="177" t="str">
        <f t="shared" si="1"/>
        <v/>
      </c>
      <c r="M88" s="172"/>
      <c r="N88" s="175"/>
    </row>
    <row r="89">
      <c r="A89" s="171">
        <f t="shared" si="2"/>
        <v>83</v>
      </c>
      <c r="B89" s="172" t="str">
        <f>IFERROR(__xludf.DUMMYFUNCTION("""COMPUTED_VALUE"""),"RF")</f>
        <v>RF</v>
      </c>
      <c r="C89" s="173">
        <f>IF(ISNUMBER($A89)=TRUE,COUNTIFS(Garden!$H$8:$H652,$B89,Garden!$M$8:$M652,"&gt;0"),"")</f>
        <v>0</v>
      </c>
      <c r="D89" s="173">
        <f>IF(ISNUMBER($A89)=TRUE,COUNTIFS(Garden!$H$8:$H652,$B89,Garden!$N$8:$N652,"&gt;0"),"")</f>
        <v>0</v>
      </c>
      <c r="E89" s="173">
        <f>IF(ISNUMBER($A89)=TRUE,COUNTIFS(Garden!$H$8:$H652,$B89,Garden!$K$8:$K652,"TRUE"),"")</f>
        <v>1</v>
      </c>
      <c r="F89" s="159"/>
      <c r="G89" s="174" t="str">
        <f>IFERROR(__xludf.DUMMYFUNCTION("""COMPUTED_VALUE"""),"NikitaStolk")</f>
        <v>NikitaStolk</v>
      </c>
      <c r="H89" s="175">
        <f>IFERROR(__xludf.DUMMYFUNCTION("""COMPUTED_VALUE"""),1.0)</f>
        <v>1</v>
      </c>
      <c r="I89" s="159"/>
      <c r="J89" s="174"/>
      <c r="K89" s="175"/>
      <c r="L89" s="177" t="str">
        <f t="shared" si="1"/>
        <v/>
      </c>
      <c r="M89" s="172"/>
      <c r="N89" s="175"/>
    </row>
    <row r="90">
      <c r="A90" s="171">
        <f t="shared" si="2"/>
        <v>84</v>
      </c>
      <c r="B90" s="172" t="str">
        <f>IFERROR(__xludf.DUMMYFUNCTION("""COMPUTED_VALUE"""),"rgforsythe")</f>
        <v>rgforsythe</v>
      </c>
      <c r="C90" s="173">
        <f>IF(ISNUMBER($A90)=TRUE,COUNTIFS(Garden!$H$8:$H652,$B90,Garden!$M$8:$M652,"&gt;0"),"")</f>
        <v>0</v>
      </c>
      <c r="D90" s="173">
        <f>IF(ISNUMBER($A90)=TRUE,COUNTIFS(Garden!$H$8:$H652,$B90,Garden!$N$8:$N652,"&gt;0"),"")</f>
        <v>0</v>
      </c>
      <c r="E90" s="173">
        <f>IF(ISNUMBER($A90)=TRUE,COUNTIFS(Garden!$H$8:$H652,$B90,Garden!$K$8:$K652,"TRUE"),"")</f>
        <v>1</v>
      </c>
      <c r="F90" s="159"/>
      <c r="G90" s="174" t="str">
        <f>IFERROR(__xludf.DUMMYFUNCTION("""COMPUTED_VALUE"""),"nyisutter")</f>
        <v>nyisutter</v>
      </c>
      <c r="H90" s="175">
        <f>IFERROR(__xludf.DUMMYFUNCTION("""COMPUTED_VALUE"""),1.0)</f>
        <v>1</v>
      </c>
      <c r="I90" s="159"/>
      <c r="J90" s="174"/>
      <c r="K90" s="175"/>
      <c r="L90" s="177" t="str">
        <f t="shared" si="1"/>
        <v/>
      </c>
      <c r="M90" s="172"/>
      <c r="N90" s="175"/>
    </row>
    <row r="91">
      <c r="A91" s="171">
        <f t="shared" si="2"/>
        <v>85</v>
      </c>
      <c r="B91" s="172" t="str">
        <f>IFERROR(__xludf.DUMMYFUNCTION("""COMPUTED_VALUE"""),"Rikitan")</f>
        <v>Rikitan</v>
      </c>
      <c r="C91" s="173">
        <f>IF(ISNUMBER($A91)=TRUE,COUNTIFS(Garden!$H$8:$H652,$B91,Garden!$M$8:$M652,"&gt;0"),"")</f>
        <v>0</v>
      </c>
      <c r="D91" s="173">
        <f>IF(ISNUMBER($A91)=TRUE,COUNTIFS(Garden!$H$8:$H652,$B91,Garden!$N$8:$N652,"&gt;0"),"")</f>
        <v>0</v>
      </c>
      <c r="E91" s="173">
        <f>IF(ISNUMBER($A91)=TRUE,COUNTIFS(Garden!$H$8:$H652,$B91,Garden!$K$8:$K652,"TRUE"),"")</f>
        <v>8</v>
      </c>
      <c r="F91" s="159"/>
      <c r="G91" s="174" t="str">
        <f>IFERROR(__xludf.DUMMYFUNCTION("""COMPUTED_VALUE"""),"PelicanRouge")</f>
        <v>PelicanRouge</v>
      </c>
      <c r="H91" s="175">
        <f>IFERROR(__xludf.DUMMYFUNCTION("""COMPUTED_VALUE"""),1.0)</f>
        <v>1</v>
      </c>
      <c r="I91" s="159"/>
      <c r="J91" s="174"/>
      <c r="K91" s="175"/>
      <c r="L91" s="177" t="str">
        <f t="shared" si="1"/>
        <v/>
      </c>
      <c r="M91" s="172"/>
      <c r="N91" s="175"/>
    </row>
    <row r="92">
      <c r="A92" s="171">
        <f t="shared" si="2"/>
        <v>86</v>
      </c>
      <c r="B92" s="172" t="str">
        <f>IFERROR(__xludf.DUMMYFUNCTION("""COMPUTED_VALUE"""),"rita85gto")</f>
        <v>rita85gto</v>
      </c>
      <c r="C92" s="173">
        <f>IF(ISNUMBER($A92)=TRUE,COUNTIFS(Garden!$H$8:$H652,$B92,Garden!$M$8:$M652,"&gt;0"),"")</f>
        <v>0</v>
      </c>
      <c r="D92" s="173">
        <f>IF(ISNUMBER($A92)=TRUE,COUNTIFS(Garden!$H$8:$H652,$B92,Garden!$N$8:$N652,"&gt;0"),"")</f>
        <v>0</v>
      </c>
      <c r="E92" s="173">
        <f>IF(ISNUMBER($A92)=TRUE,COUNTIFS(Garden!$H$8:$H652,$B92,Garden!$K$8:$K652,"TRUE"),"")</f>
        <v>1</v>
      </c>
      <c r="F92" s="159"/>
      <c r="G92" s="174" t="str">
        <f>IFERROR(__xludf.DUMMYFUNCTION("""COMPUTED_VALUE"""),"ponu")</f>
        <v>ponu</v>
      </c>
      <c r="H92" s="175">
        <f>IFERROR(__xludf.DUMMYFUNCTION("""COMPUTED_VALUE"""),1.0)</f>
        <v>1</v>
      </c>
      <c r="I92" s="159"/>
      <c r="J92" s="174"/>
      <c r="K92" s="175"/>
      <c r="L92" s="177" t="str">
        <f t="shared" si="1"/>
        <v/>
      </c>
      <c r="M92" s="172"/>
      <c r="N92" s="175"/>
    </row>
    <row r="93">
      <c r="A93" s="171">
        <f t="shared" si="2"/>
        <v>87</v>
      </c>
      <c r="B93" s="172" t="str">
        <f>IFERROR(__xludf.DUMMYFUNCTION("""COMPUTED_VALUE"""),"rodrico101")</f>
        <v>rodrico101</v>
      </c>
      <c r="C93" s="173">
        <f>IF(ISNUMBER($A93)=TRUE,COUNTIFS(Garden!$H$8:$H652,$B93,Garden!$M$8:$M652,"&gt;0"),"")</f>
        <v>0</v>
      </c>
      <c r="D93" s="173">
        <f>IF(ISNUMBER($A93)=TRUE,COUNTIFS(Garden!$H$8:$H652,$B93,Garden!$N$8:$N652,"&gt;0"),"")</f>
        <v>0</v>
      </c>
      <c r="E93" s="173">
        <f>IF(ISNUMBER($A93)=TRUE,COUNTIFS(Garden!$H$8:$H652,$B93,Garden!$K$8:$K652,"TRUE"),"")</f>
        <v>1</v>
      </c>
      <c r="F93" s="159"/>
      <c r="G93" s="174" t="str">
        <f>IFERROR(__xludf.DUMMYFUNCTION("""COMPUTED_VALUE"""),"Redsixmix")</f>
        <v>Redsixmix</v>
      </c>
      <c r="H93" s="175">
        <f>IFERROR(__xludf.DUMMYFUNCTION("""COMPUTED_VALUE"""),1.0)</f>
        <v>1</v>
      </c>
      <c r="I93" s="159"/>
      <c r="J93" s="174"/>
      <c r="K93" s="175"/>
      <c r="L93" s="177" t="str">
        <f t="shared" si="1"/>
        <v/>
      </c>
      <c r="M93" s="172"/>
      <c r="N93" s="175"/>
    </row>
    <row r="94">
      <c r="A94" s="171">
        <f t="shared" si="2"/>
        <v>88</v>
      </c>
      <c r="B94" s="172" t="str">
        <f>IFERROR(__xludf.DUMMYFUNCTION("""COMPUTED_VALUE"""),"scarlettdragon")</f>
        <v>scarlettdragon</v>
      </c>
      <c r="C94" s="173">
        <f>IF(ISNUMBER($A94)=TRUE,COUNTIFS(Garden!$H$8:$H652,$B94,Garden!$M$8:$M652,"&gt;0"),"")</f>
        <v>0</v>
      </c>
      <c r="D94" s="173">
        <f>IF(ISNUMBER($A94)=TRUE,COUNTIFS(Garden!$H$8:$H652,$B94,Garden!$N$8:$N652,"&gt;0"),"")</f>
        <v>0</v>
      </c>
      <c r="E94" s="173">
        <f>IF(ISNUMBER($A94)=TRUE,COUNTIFS(Garden!$H$8:$H652,$B94,Garden!$K$8:$K652,"TRUE"),"")</f>
        <v>3</v>
      </c>
      <c r="F94" s="159"/>
      <c r="G94" s="174" t="str">
        <f>IFERROR(__xludf.DUMMYFUNCTION("""COMPUTED_VALUE"""),"RF")</f>
        <v>RF</v>
      </c>
      <c r="H94" s="175">
        <f>IFERROR(__xludf.DUMMYFUNCTION("""COMPUTED_VALUE"""),1.0)</f>
        <v>1</v>
      </c>
      <c r="I94" s="159"/>
      <c r="J94" s="174"/>
      <c r="K94" s="175"/>
      <c r="L94" s="177" t="str">
        <f t="shared" si="1"/>
        <v/>
      </c>
      <c r="M94" s="172"/>
      <c r="N94" s="175"/>
    </row>
    <row r="95">
      <c r="A95" s="181">
        <f t="shared" si="2"/>
        <v>89</v>
      </c>
      <c r="B95" s="172" t="str">
        <f>IFERROR(__xludf.DUMMYFUNCTION("""COMPUTED_VALUE"""),"scoutref")</f>
        <v>scoutref</v>
      </c>
      <c r="C95" s="173">
        <f>IF(ISNUMBER($A95)=TRUE,COUNTIFS(Garden!$H$8:$H652,$B95,Garden!$M$8:$M652,"&gt;0"),"")</f>
        <v>0</v>
      </c>
      <c r="D95" s="173">
        <f>IF(ISNUMBER($A95)=TRUE,COUNTIFS(Garden!$H$8:$H652,$B95,Garden!$N$8:$N652,"&gt;0"),"")</f>
        <v>0</v>
      </c>
      <c r="E95" s="173">
        <f>IF(ISNUMBER($A95)=TRUE,COUNTIFS(Garden!$H$8:$H652,$B95,Garden!$K$8:$K652,"TRUE"),"")</f>
        <v>2</v>
      </c>
      <c r="F95" s="159"/>
      <c r="G95" s="174" t="str">
        <f>IFERROR(__xludf.DUMMYFUNCTION("""COMPUTED_VALUE"""),"rgforsythe")</f>
        <v>rgforsythe</v>
      </c>
      <c r="H95" s="175">
        <f>IFERROR(__xludf.DUMMYFUNCTION("""COMPUTED_VALUE"""),1.0)</f>
        <v>1</v>
      </c>
      <c r="I95" s="159"/>
      <c r="J95" s="174"/>
      <c r="K95" s="175"/>
      <c r="L95" s="177" t="str">
        <f t="shared" si="1"/>
        <v/>
      </c>
      <c r="M95" s="172"/>
      <c r="N95" s="175"/>
    </row>
    <row r="96">
      <c r="A96" s="181">
        <f t="shared" si="2"/>
        <v>90</v>
      </c>
      <c r="B96" s="172" t="str">
        <f>IFERROR(__xludf.DUMMYFUNCTION("""COMPUTED_VALUE"""),"Shun79")</f>
        <v>Shun79</v>
      </c>
      <c r="C96" s="173">
        <f>IF(ISNUMBER($A96)=TRUE,COUNTIFS(Garden!$H$8:$H652,$B96,Garden!$M$8:$M652,"&gt;0"),"")</f>
        <v>0</v>
      </c>
      <c r="D96" s="173">
        <f>IF(ISNUMBER($A96)=TRUE,COUNTIFS(Garden!$H$8:$H652,$B96,Garden!$N$8:$N652,"&gt;0"),"")</f>
        <v>0</v>
      </c>
      <c r="E96" s="173">
        <f>IF(ISNUMBER($A96)=TRUE,COUNTIFS(Garden!$H$8:$H652,$B96,Garden!$K$8:$K652,"TRUE"),"")</f>
        <v>1</v>
      </c>
      <c r="F96" s="159"/>
      <c r="G96" s="174" t="str">
        <f>IFERROR(__xludf.DUMMYFUNCTION("""COMPUTED_VALUE"""),"rita85gto")</f>
        <v>rita85gto</v>
      </c>
      <c r="H96" s="175">
        <f>IFERROR(__xludf.DUMMYFUNCTION("""COMPUTED_VALUE"""),1.0)</f>
        <v>1</v>
      </c>
      <c r="I96" s="159"/>
      <c r="J96" s="174"/>
      <c r="K96" s="175"/>
      <c r="L96" s="177" t="str">
        <f t="shared" si="1"/>
        <v/>
      </c>
      <c r="M96" s="172"/>
      <c r="N96" s="175"/>
    </row>
    <row r="97">
      <c r="A97" s="181">
        <f t="shared" si="2"/>
        <v>91</v>
      </c>
      <c r="B97" s="172" t="str">
        <f>IFERROR(__xludf.DUMMYFUNCTION("""COMPUTED_VALUE"""),"Sidcup")</f>
        <v>Sidcup</v>
      </c>
      <c r="C97" s="173">
        <f>IF(ISNUMBER($A97)=TRUE,COUNTIFS(Garden!$H$8:$H652,$B97,Garden!$M$8:$M652,"&gt;0"),"")</f>
        <v>0</v>
      </c>
      <c r="D97" s="173">
        <f>IF(ISNUMBER($A97)=TRUE,COUNTIFS(Garden!$H$8:$H652,$B97,Garden!$N$8:$N652,"&gt;0"),"")</f>
        <v>0</v>
      </c>
      <c r="E97" s="173">
        <f>IF(ISNUMBER($A97)=TRUE,COUNTIFS(Garden!$H$8:$H652,$B97,Garden!$K$8:$K652,"TRUE"),"")</f>
        <v>1</v>
      </c>
      <c r="F97" s="159"/>
      <c r="G97" s="174" t="str">
        <f>IFERROR(__xludf.DUMMYFUNCTION("""COMPUTED_VALUE"""),"rodrico101")</f>
        <v>rodrico101</v>
      </c>
      <c r="H97" s="175">
        <f>IFERROR(__xludf.DUMMYFUNCTION("""COMPUTED_VALUE"""),1.0)</f>
        <v>1</v>
      </c>
      <c r="I97" s="159"/>
      <c r="J97" s="174"/>
      <c r="K97" s="175"/>
      <c r="L97" s="177" t="str">
        <f t="shared" si="1"/>
        <v/>
      </c>
      <c r="M97" s="172"/>
      <c r="N97" s="175"/>
    </row>
    <row r="98">
      <c r="A98" s="181">
        <f t="shared" si="2"/>
        <v>92</v>
      </c>
      <c r="B98" s="172" t="str">
        <f>IFERROR(__xludf.DUMMYFUNCTION("""COMPUTED_VALUE"""),"Soitenlysue")</f>
        <v>Soitenlysue</v>
      </c>
      <c r="C98" s="173">
        <f>IF(ISNUMBER($A98)=TRUE,COUNTIFS(Garden!$H$8:$H652,$B98,Garden!$M$8:$M652,"&gt;0"),"")</f>
        <v>0</v>
      </c>
      <c r="D98" s="173">
        <f>IF(ISNUMBER($A98)=TRUE,COUNTIFS(Garden!$H$8:$H652,$B98,Garden!$N$8:$N652,"&gt;0"),"")</f>
        <v>0</v>
      </c>
      <c r="E98" s="173">
        <f>IF(ISNUMBER($A98)=TRUE,COUNTIFS(Garden!$H$8:$H652,$B98,Garden!$K$8:$K652,"TRUE"),"")</f>
        <v>4</v>
      </c>
      <c r="F98" s="159"/>
      <c r="G98" s="174" t="str">
        <f>IFERROR(__xludf.DUMMYFUNCTION("""COMPUTED_VALUE"""),"Shun79")</f>
        <v>Shun79</v>
      </c>
      <c r="H98" s="175">
        <f>IFERROR(__xludf.DUMMYFUNCTION("""COMPUTED_VALUE"""),1.0)</f>
        <v>1</v>
      </c>
      <c r="I98" s="159"/>
      <c r="J98" s="174"/>
      <c r="K98" s="175"/>
      <c r="L98" s="177" t="str">
        <f t="shared" si="1"/>
        <v/>
      </c>
      <c r="M98" s="172"/>
      <c r="N98" s="175"/>
    </row>
    <row r="99">
      <c r="A99" s="181">
        <f t="shared" si="2"/>
        <v>93</v>
      </c>
      <c r="B99" s="172" t="str">
        <f>IFERROR(__xludf.DUMMYFUNCTION("""COMPUTED_VALUE"""),"StaceyZ")</f>
        <v>StaceyZ</v>
      </c>
      <c r="C99" s="173">
        <f>IF(ISNUMBER($A99)=TRUE,COUNTIFS(Garden!$H$8:$H652,$B99,Garden!$M$8:$M652,"&gt;0"),"")</f>
        <v>0</v>
      </c>
      <c r="D99" s="173">
        <f>IF(ISNUMBER($A99)=TRUE,COUNTIFS(Garden!$H$8:$H652,$B99,Garden!$N$8:$N652,"&gt;0"),"")</f>
        <v>0</v>
      </c>
      <c r="E99" s="173">
        <f>IF(ISNUMBER($A99)=TRUE,COUNTIFS(Garden!$H$8:$H652,$B99,Garden!$K$8:$K652,"TRUE"),"")</f>
        <v>1</v>
      </c>
      <c r="F99" s="159"/>
      <c r="G99" s="174" t="str">
        <f>IFERROR(__xludf.DUMMYFUNCTION("""COMPUTED_VALUE"""),"Sidcup")</f>
        <v>Sidcup</v>
      </c>
      <c r="H99" s="175">
        <f>IFERROR(__xludf.DUMMYFUNCTION("""COMPUTED_VALUE"""),1.0)</f>
        <v>1</v>
      </c>
      <c r="I99" s="159"/>
      <c r="J99" s="174"/>
      <c r="K99" s="175"/>
      <c r="L99" s="177" t="str">
        <f t="shared" si="1"/>
        <v/>
      </c>
      <c r="M99" s="172"/>
      <c r="N99" s="175"/>
    </row>
    <row r="100">
      <c r="A100" s="181">
        <f t="shared" si="2"/>
        <v>94</v>
      </c>
      <c r="B100" s="172" t="str">
        <f>IFERROR(__xludf.DUMMYFUNCTION("""COMPUTED_VALUE"""),"taska1981")</f>
        <v>taska1981</v>
      </c>
      <c r="C100" s="173">
        <f>IF(ISNUMBER($A100)=TRUE,COUNTIFS(Garden!$H$8:$H652,$B100,Garden!$M$8:$M652,"&gt;0"),"")</f>
        <v>0</v>
      </c>
      <c r="D100" s="173">
        <f>IF(ISNUMBER($A100)=TRUE,COUNTIFS(Garden!$H$8:$H652,$B100,Garden!$N$8:$N652,"&gt;0"),"")</f>
        <v>0</v>
      </c>
      <c r="E100" s="173">
        <f>IF(ISNUMBER($A100)=TRUE,COUNTIFS(Garden!$H$8:$H652,$B100,Garden!$K$8:$K652,"TRUE"),"")</f>
        <v>1</v>
      </c>
      <c r="F100" s="159"/>
      <c r="G100" s="174" t="str">
        <f>IFERROR(__xludf.DUMMYFUNCTION("""COMPUTED_VALUE"""),"StaceyZ")</f>
        <v>StaceyZ</v>
      </c>
      <c r="H100" s="175">
        <f>IFERROR(__xludf.DUMMYFUNCTION("""COMPUTED_VALUE"""),1.0)</f>
        <v>1</v>
      </c>
      <c r="I100" s="159"/>
      <c r="J100" s="174"/>
      <c r="K100" s="175"/>
      <c r="L100" s="177" t="str">
        <f t="shared" si="1"/>
        <v/>
      </c>
      <c r="M100" s="172"/>
      <c r="N100" s="175"/>
    </row>
    <row r="101">
      <c r="A101" s="181">
        <f t="shared" si="2"/>
        <v>95</v>
      </c>
      <c r="B101" s="172" t="str">
        <f>IFERROR(__xludf.DUMMYFUNCTION("""COMPUTED_VALUE"""),"tcguru")</f>
        <v>tcguru</v>
      </c>
      <c r="C101" s="173">
        <f>IF(ISNUMBER($A101)=TRUE,COUNTIFS(Garden!$H$8:$H652,$B101,Garden!$M$8:$M652,"&gt;0"),"")</f>
        <v>0</v>
      </c>
      <c r="D101" s="173">
        <f>IF(ISNUMBER($A101)=TRUE,COUNTIFS(Garden!$H$8:$H652,$B101,Garden!$N$8:$N652,"&gt;0"),"")</f>
        <v>0</v>
      </c>
      <c r="E101" s="173">
        <f>IF(ISNUMBER($A101)=TRUE,COUNTIFS(Garden!$H$8:$H652,$B101,Garden!$K$8:$K652,"TRUE"),"")</f>
        <v>2</v>
      </c>
      <c r="F101" s="159"/>
      <c r="G101" s="174" t="str">
        <f>IFERROR(__xludf.DUMMYFUNCTION("""COMPUTED_VALUE"""),"taska1981")</f>
        <v>taska1981</v>
      </c>
      <c r="H101" s="175">
        <f>IFERROR(__xludf.DUMMYFUNCTION("""COMPUTED_VALUE"""),1.0)</f>
        <v>1</v>
      </c>
      <c r="I101" s="159"/>
      <c r="J101" s="174"/>
      <c r="K101" s="175"/>
      <c r="L101" s="177" t="str">
        <f t="shared" si="1"/>
        <v/>
      </c>
      <c r="M101" s="172"/>
      <c r="N101" s="175"/>
    </row>
    <row r="102">
      <c r="A102" s="181">
        <f t="shared" si="2"/>
        <v>96</v>
      </c>
      <c r="B102" s="172" t="str">
        <f>IFERROR(__xludf.DUMMYFUNCTION("""COMPUTED_VALUE"""),"teamsturms")</f>
        <v>teamsturms</v>
      </c>
      <c r="C102" s="173">
        <f>IF(ISNUMBER($A102)=TRUE,COUNTIFS(Garden!$H$8:$H652,$B102,Garden!$M$8:$M652,"&gt;0"),"")</f>
        <v>0</v>
      </c>
      <c r="D102" s="173">
        <f>IF(ISNUMBER($A102)=TRUE,COUNTIFS(Garden!$H$8:$H652,$B102,Garden!$N$8:$N652,"&gt;0"),"")</f>
        <v>0</v>
      </c>
      <c r="E102" s="173">
        <f>IF(ISNUMBER($A102)=TRUE,COUNTIFS(Garden!$H$8:$H652,$B102,Garden!$K$8:$K652,"TRUE"),"")</f>
        <v>1</v>
      </c>
      <c r="F102" s="159"/>
      <c r="G102" s="174" t="str">
        <f>IFERROR(__xludf.DUMMYFUNCTION("""COMPUTED_VALUE"""),"teamsturms")</f>
        <v>teamsturms</v>
      </c>
      <c r="H102" s="175">
        <f>IFERROR(__xludf.DUMMYFUNCTION("""COMPUTED_VALUE"""),1.0)</f>
        <v>1</v>
      </c>
      <c r="I102" s="159"/>
      <c r="J102" s="174"/>
      <c r="K102" s="175"/>
      <c r="L102" s="177" t="str">
        <f t="shared" si="1"/>
        <v/>
      </c>
      <c r="M102" s="172"/>
      <c r="N102" s="175"/>
    </row>
    <row r="103">
      <c r="A103" s="181">
        <f t="shared" si="2"/>
        <v>97</v>
      </c>
      <c r="B103" s="172" t="str">
        <f>IFERROR(__xludf.DUMMYFUNCTION("""COMPUTED_VALUE"""),"TheEvilPoles")</f>
        <v>TheEvilPoles</v>
      </c>
      <c r="C103" s="173">
        <f>IF(ISNUMBER($A103)=TRUE,COUNTIFS(Garden!$H$8:$H652,$B103,Garden!$M$8:$M652,"&gt;0"),"")</f>
        <v>0</v>
      </c>
      <c r="D103" s="173">
        <f>IF(ISNUMBER($A103)=TRUE,COUNTIFS(Garden!$H$8:$H652,$B103,Garden!$N$8:$N652,"&gt;0"),"")</f>
        <v>0</v>
      </c>
      <c r="E103" s="173">
        <f>IF(ISNUMBER($A103)=TRUE,COUNTIFS(Garden!$H$8:$H652,$B103,Garden!$K$8:$K652,"TRUE"),"")</f>
        <v>3</v>
      </c>
      <c r="F103" s="159"/>
      <c r="G103" s="174" t="str">
        <f>IFERROR(__xludf.DUMMYFUNCTION("""COMPUTED_VALUE"""),"TheFrog")</f>
        <v>TheFrog</v>
      </c>
      <c r="H103" s="175">
        <f>IFERROR(__xludf.DUMMYFUNCTION("""COMPUTED_VALUE"""),1.0)</f>
        <v>1</v>
      </c>
      <c r="I103" s="159"/>
      <c r="J103" s="174"/>
      <c r="K103" s="175"/>
      <c r="L103" s="177" t="str">
        <f t="shared" si="1"/>
        <v/>
      </c>
      <c r="M103" s="172"/>
      <c r="N103" s="175"/>
    </row>
    <row r="104">
      <c r="A104" s="181">
        <f t="shared" si="2"/>
        <v>98</v>
      </c>
      <c r="B104" s="172" t="str">
        <f>IFERROR(__xludf.DUMMYFUNCTION("""COMPUTED_VALUE"""),"TheFrog")</f>
        <v>TheFrog</v>
      </c>
      <c r="C104" s="173">
        <f>IF(ISNUMBER($A104)=TRUE,COUNTIFS(Garden!$H$8:$H652,$B104,Garden!$M$8:$M652,"&gt;0"),"")</f>
        <v>0</v>
      </c>
      <c r="D104" s="173">
        <f>IF(ISNUMBER($A104)=TRUE,COUNTIFS(Garden!$H$8:$H652,$B104,Garden!$N$8:$N652,"&gt;0"),"")</f>
        <v>0</v>
      </c>
      <c r="E104" s="173">
        <f>IF(ISNUMBER($A104)=TRUE,COUNTIFS(Garden!$H$8:$H652,$B104,Garden!$K$8:$K652,"TRUE"),"")</f>
        <v>1</v>
      </c>
      <c r="F104" s="159"/>
      <c r="G104" s="174" t="str">
        <f>IFERROR(__xludf.DUMMYFUNCTION("""COMPUTED_VALUE"""),"thehowlers")</f>
        <v>thehowlers</v>
      </c>
      <c r="H104" s="175">
        <f>IFERROR(__xludf.DUMMYFUNCTION("""COMPUTED_VALUE"""),1.0)</f>
        <v>1</v>
      </c>
      <c r="I104" s="159"/>
      <c r="J104" s="174"/>
      <c r="K104" s="175"/>
      <c r="L104" s="177" t="str">
        <f t="shared" si="1"/>
        <v/>
      </c>
      <c r="M104" s="172"/>
      <c r="N104" s="175"/>
    </row>
    <row r="105">
      <c r="A105" s="181">
        <f t="shared" si="2"/>
        <v>99</v>
      </c>
      <c r="B105" s="172" t="str">
        <f>IFERROR(__xludf.DUMMYFUNCTION("""COMPUTED_VALUE"""),"thehowlers")</f>
        <v>thehowlers</v>
      </c>
      <c r="C105" s="173">
        <f>IF(ISNUMBER($A105)=TRUE,COUNTIFS(Garden!$H$8:$H652,$B105,Garden!$M$8:$M652,"&gt;0"),"")</f>
        <v>0</v>
      </c>
      <c r="D105" s="173">
        <f>IF(ISNUMBER($A105)=TRUE,COUNTIFS(Garden!$H$8:$H652,$B105,Garden!$N$8:$N652,"&gt;0"),"")</f>
        <v>0</v>
      </c>
      <c r="E105" s="173">
        <f>IF(ISNUMBER($A105)=TRUE,COUNTIFS(Garden!$H$8:$H652,$B105,Garden!$K$8:$K652,"TRUE"),"")</f>
        <v>1</v>
      </c>
      <c r="F105" s="159"/>
      <c r="G105" s="174" t="str">
        <f>IFERROR(__xludf.DUMMYFUNCTION("""COMPUTED_VALUE"""),"thelanes")</f>
        <v>thelanes</v>
      </c>
      <c r="H105" s="175">
        <f>IFERROR(__xludf.DUMMYFUNCTION("""COMPUTED_VALUE"""),1.0)</f>
        <v>1</v>
      </c>
      <c r="I105" s="159"/>
      <c r="J105" s="174"/>
      <c r="K105" s="175"/>
      <c r="L105" s="177" t="str">
        <f t="shared" si="1"/>
        <v/>
      </c>
      <c r="M105" s="172"/>
      <c r="N105" s="175"/>
    </row>
    <row r="106">
      <c r="A106" s="181">
        <f t="shared" si="2"/>
        <v>100</v>
      </c>
      <c r="B106" s="172" t="str">
        <f>IFERROR(__xludf.DUMMYFUNCTION("""COMPUTED_VALUE"""),"thelanes")</f>
        <v>thelanes</v>
      </c>
      <c r="C106" s="173">
        <f>IF(ISNUMBER($A106)=TRUE,COUNTIFS(Garden!$H$8:$H652,$B106,Garden!$M$8:$M652,"&gt;0"),"")</f>
        <v>0</v>
      </c>
      <c r="D106" s="173">
        <f>IF(ISNUMBER($A106)=TRUE,COUNTIFS(Garden!$H$8:$H652,$B106,Garden!$N$8:$N652,"&gt;0"),"")</f>
        <v>0</v>
      </c>
      <c r="E106" s="173">
        <f>IF(ISNUMBER($A106)=TRUE,COUNTIFS(Garden!$H$8:$H652,$B106,Garden!$K$8:$K652,"TRUE"),"")</f>
        <v>1</v>
      </c>
      <c r="F106" s="159"/>
      <c r="G106" s="174" t="str">
        <f>IFERROR(__xludf.DUMMYFUNCTION("""COMPUTED_VALUE"""),"TheOneWhoScans")</f>
        <v>TheOneWhoScans</v>
      </c>
      <c r="H106" s="175">
        <f>IFERROR(__xludf.DUMMYFUNCTION("""COMPUTED_VALUE"""),1.0)</f>
        <v>1</v>
      </c>
      <c r="I106" s="159"/>
      <c r="J106" s="174"/>
      <c r="K106" s="175"/>
      <c r="L106" s="177" t="str">
        <f t="shared" si="1"/>
        <v/>
      </c>
      <c r="M106" s="172"/>
      <c r="N106" s="175"/>
    </row>
    <row r="107">
      <c r="A107" s="181">
        <f t="shared" si="2"/>
        <v>101</v>
      </c>
      <c r="B107" s="172" t="str">
        <f>IFERROR(__xludf.DUMMYFUNCTION("""COMPUTED_VALUE"""),"TheOneWhoScans")</f>
        <v>TheOneWhoScans</v>
      </c>
      <c r="C107" s="173">
        <f>IF(ISNUMBER($A107)=TRUE,COUNTIFS(Garden!$H$8:$H652,$B107,Garden!$M$8:$M652,"&gt;0"),"")</f>
        <v>0</v>
      </c>
      <c r="D107" s="173">
        <f>IF(ISNUMBER($A107)=TRUE,COUNTIFS(Garden!$H$8:$H652,$B107,Garden!$N$8:$N652,"&gt;0"),"")</f>
        <v>0</v>
      </c>
      <c r="E107" s="173">
        <f>IF(ISNUMBER($A107)=TRUE,COUNTIFS(Garden!$H$8:$H652,$B107,Garden!$K$8:$K652,"TRUE"),"")</f>
        <v>1</v>
      </c>
      <c r="F107" s="159"/>
      <c r="G107" s="174" t="str">
        <f>IFERROR(__xludf.DUMMYFUNCTION("""COMPUTED_VALUE"""),"thorkel")</f>
        <v>thorkel</v>
      </c>
      <c r="H107" s="175">
        <f>IFERROR(__xludf.DUMMYFUNCTION("""COMPUTED_VALUE"""),1.0)</f>
        <v>1</v>
      </c>
      <c r="I107" s="159"/>
      <c r="J107" s="174"/>
      <c r="K107" s="175"/>
      <c r="L107" s="177" t="str">
        <f t="shared" si="1"/>
        <v/>
      </c>
      <c r="M107" s="172"/>
      <c r="N107" s="175"/>
    </row>
    <row r="108">
      <c r="A108" s="181">
        <f t="shared" si="2"/>
        <v>102</v>
      </c>
      <c r="B108" s="172" t="str">
        <f>IFERROR(__xludf.DUMMYFUNCTION("""COMPUTED_VALUE"""),"thorkel")</f>
        <v>thorkel</v>
      </c>
      <c r="C108" s="173">
        <f>IF(ISNUMBER($A108)=TRUE,COUNTIFS(Garden!$H$8:$H652,$B108,Garden!$M$8:$M652,"&gt;0"),"")</f>
        <v>0</v>
      </c>
      <c r="D108" s="173">
        <f>IF(ISNUMBER($A108)=TRUE,COUNTIFS(Garden!$H$8:$H652,$B108,Garden!$N$8:$N652,"&gt;0"),"")</f>
        <v>0</v>
      </c>
      <c r="E108" s="173">
        <f>IF(ISNUMBER($A108)=TRUE,COUNTIFS(Garden!$H$8:$H652,$B108,Garden!$K$8:$K652,"TRUE"),"")</f>
        <v>1</v>
      </c>
      <c r="F108" s="159"/>
      <c r="G108" s="174" t="str">
        <f>IFERROR(__xludf.DUMMYFUNCTION("""COMPUTED_VALUE"""),"Traycee")</f>
        <v>Traycee</v>
      </c>
      <c r="H108" s="175">
        <f>IFERROR(__xludf.DUMMYFUNCTION("""COMPUTED_VALUE"""),1.0)</f>
        <v>1</v>
      </c>
      <c r="I108" s="159"/>
      <c r="J108" s="174"/>
      <c r="K108" s="175"/>
      <c r="L108" s="177" t="str">
        <f t="shared" si="1"/>
        <v/>
      </c>
      <c r="M108" s="172"/>
      <c r="N108" s="175"/>
    </row>
    <row r="109">
      <c r="A109" s="181">
        <f t="shared" si="2"/>
        <v>103</v>
      </c>
      <c r="B109" s="172" t="str">
        <f>IFERROR(__xludf.DUMMYFUNCTION("""COMPUTED_VALUE"""),"Traycee")</f>
        <v>Traycee</v>
      </c>
      <c r="C109" s="173">
        <f>IF(ISNUMBER($A109)=TRUE,COUNTIFS(Garden!$H$8:$H652,$B109,Garden!$M$8:$M652,"&gt;0"),"")</f>
        <v>0</v>
      </c>
      <c r="D109" s="173">
        <f>IF(ISNUMBER($A109)=TRUE,COUNTIFS(Garden!$H$8:$H652,$B109,Garden!$N$8:$N652,"&gt;0"),"")</f>
        <v>0</v>
      </c>
      <c r="E109" s="173">
        <f>IF(ISNUMBER($A109)=TRUE,COUNTIFS(Garden!$H$8:$H652,$B109,Garden!$K$8:$K652,"TRUE"),"")</f>
        <v>1</v>
      </c>
      <c r="F109" s="159"/>
      <c r="G109" s="174" t="str">
        <f>IFERROR(__xludf.DUMMYFUNCTION("""COMPUTED_VALUE"""),"VikingPrincess")</f>
        <v>VikingPrincess</v>
      </c>
      <c r="H109" s="175">
        <f>IFERROR(__xludf.DUMMYFUNCTION("""COMPUTED_VALUE"""),1.0)</f>
        <v>1</v>
      </c>
      <c r="I109" s="159"/>
      <c r="J109" s="174"/>
      <c r="K109" s="175"/>
      <c r="L109" s="177" t="str">
        <f t="shared" si="1"/>
        <v/>
      </c>
      <c r="M109" s="172"/>
      <c r="N109" s="175"/>
    </row>
    <row r="110">
      <c r="A110" s="181">
        <f t="shared" si="2"/>
        <v>104</v>
      </c>
      <c r="B110" s="172" t="str">
        <f>IFERROR(__xludf.DUMMYFUNCTION("""COMPUTED_VALUE"""),"VikingPrincess")</f>
        <v>VikingPrincess</v>
      </c>
      <c r="C110" s="173">
        <f>IF(ISNUMBER($A110)=TRUE,COUNTIFS(Garden!$H$8:$H652,$B110,Garden!$M$8:$M652,"&gt;0"),"")</f>
        <v>0</v>
      </c>
      <c r="D110" s="173">
        <f>IF(ISNUMBER($A110)=TRUE,COUNTIFS(Garden!$H$8:$H652,$B110,Garden!$N$8:$N652,"&gt;0"),"")</f>
        <v>0</v>
      </c>
      <c r="E110" s="173">
        <f>IF(ISNUMBER($A110)=TRUE,COUNTIFS(Garden!$H$8:$H652,$B110,Garden!$K$8:$K652,"TRUE"),"")</f>
        <v>1</v>
      </c>
      <c r="F110" s="159"/>
      <c r="G110" s="174" t="str">
        <f>IFERROR(__xludf.DUMMYFUNCTION("""COMPUTED_VALUE"""),"VLoopSouth")</f>
        <v>VLoopSouth</v>
      </c>
      <c r="H110" s="175">
        <f>IFERROR(__xludf.DUMMYFUNCTION("""COMPUTED_VALUE"""),1.0)</f>
        <v>1</v>
      </c>
      <c r="I110" s="159"/>
      <c r="J110" s="174"/>
      <c r="K110" s="175"/>
      <c r="L110" s="177" t="str">
        <f t="shared" si="1"/>
        <v/>
      </c>
      <c r="M110" s="172"/>
      <c r="N110" s="175"/>
    </row>
    <row r="111">
      <c r="A111" s="181">
        <f t="shared" si="2"/>
        <v>105</v>
      </c>
      <c r="B111" s="172" t="str">
        <f>IFERROR(__xludf.DUMMYFUNCTION("""COMPUTED_VALUE"""),"VLoopSouth")</f>
        <v>VLoopSouth</v>
      </c>
      <c r="C111" s="173">
        <f>IF(ISNUMBER($A111)=TRUE,COUNTIFS(Garden!$H$8:$H652,$B111,Garden!$M$8:$M652,"&gt;0"),"")</f>
        <v>0</v>
      </c>
      <c r="D111" s="173">
        <f>IF(ISNUMBER($A111)=TRUE,COUNTIFS(Garden!$H$8:$H652,$B111,Garden!$N$8:$N652,"&gt;0"),"")</f>
        <v>0</v>
      </c>
      <c r="E111" s="173">
        <f>IF(ISNUMBER($A111)=TRUE,COUNTIFS(Garden!$H$8:$H652,$B111,Garden!$K$8:$K652,"TRUE"),"")</f>
        <v>1</v>
      </c>
      <c r="F111" s="159"/>
      <c r="G111" s="174" t="str">
        <f>IFERROR(__xludf.DUMMYFUNCTION("""COMPUTED_VALUE"""),"ZlatanTrip")</f>
        <v>ZlatanTrip</v>
      </c>
      <c r="H111" s="175">
        <f>IFERROR(__xludf.DUMMYFUNCTION("""COMPUTED_VALUE"""),1.0)</f>
        <v>1</v>
      </c>
      <c r="I111" s="159"/>
      <c r="J111" s="174"/>
      <c r="K111" s="175"/>
      <c r="L111" s="177" t="str">
        <f t="shared" si="1"/>
        <v/>
      </c>
      <c r="M111" s="172"/>
      <c r="N111" s="175"/>
    </row>
    <row r="112">
      <c r="A112" s="181">
        <f t="shared" si="2"/>
        <v>106</v>
      </c>
      <c r="B112" s="172" t="str">
        <f>IFERROR(__xludf.DUMMYFUNCTION("""COMPUTED_VALUE"""),"woenny")</f>
        <v>woenny</v>
      </c>
      <c r="C112" s="173">
        <f>IF(ISNUMBER($A112)=TRUE,COUNTIFS(Garden!$H$8:$H652,$B112,Garden!$M$8:$M652,"&gt;0"),"")</f>
        <v>0</v>
      </c>
      <c r="D112" s="173">
        <f>IF(ISNUMBER($A112)=TRUE,COUNTIFS(Garden!$H$8:$H652,$B112,Garden!$N$8:$N652,"&gt;0"),"")</f>
        <v>0</v>
      </c>
      <c r="E112" s="173">
        <f>IF(ISNUMBER($A112)=TRUE,COUNTIFS(Garden!$H$8:$H652,$B112,Garden!$K$8:$K652,"TRUE"),"")</f>
        <v>5</v>
      </c>
      <c r="F112" s="159"/>
      <c r="G112" s="174"/>
      <c r="H112" s="175"/>
      <c r="I112" s="159"/>
      <c r="J112" s="174"/>
      <c r="K112" s="175"/>
      <c r="L112" s="177" t="str">
        <f t="shared" si="1"/>
        <v/>
      </c>
      <c r="M112" s="172"/>
      <c r="N112" s="175"/>
    </row>
    <row r="113">
      <c r="A113" s="181">
        <f t="shared" si="2"/>
        <v>107</v>
      </c>
      <c r="B113" s="172" t="str">
        <f>IFERROR(__xludf.DUMMYFUNCTION("""COMPUTED_VALUE"""),"ZlatanTrip")</f>
        <v>ZlatanTrip</v>
      </c>
      <c r="C113" s="173">
        <f>IF(ISNUMBER($A113)=TRUE,COUNTIFS(Garden!$H$8:$H652,$B113,Garden!$M$8:$M652,"&gt;0"),"")</f>
        <v>0</v>
      </c>
      <c r="D113" s="173">
        <f>IF(ISNUMBER($A113)=TRUE,COUNTIFS(Garden!$H$8:$H652,$B113,Garden!$N$8:$N652,"&gt;0"),"")</f>
        <v>0</v>
      </c>
      <c r="E113" s="173">
        <f>IF(ISNUMBER($A113)=TRUE,COUNTIFS(Garden!$H$8:$H652,$B113,Garden!$K$8:$K652,"TRUE"),"")</f>
        <v>1</v>
      </c>
      <c r="F113" s="159"/>
      <c r="G113" s="174"/>
      <c r="H113" s="175"/>
      <c r="I113" s="159"/>
      <c r="J113" s="174"/>
      <c r="K113" s="175"/>
      <c r="L113" s="177" t="str">
        <f t="shared" si="1"/>
        <v/>
      </c>
      <c r="M113" s="172"/>
      <c r="N113" s="175"/>
    </row>
    <row r="114">
      <c r="A114" s="181" t="str">
        <f t="shared" si="2"/>
        <v/>
      </c>
      <c r="B114" s="172"/>
      <c r="C114" s="173" t="str">
        <f>IF(ISNUMBER($A114)=TRUE,COUNTIFS(Garden!$H$8:$H652,$B114,Garden!$M$8:$M652,"&gt;0"),"")</f>
        <v/>
      </c>
      <c r="D114" s="173" t="str">
        <f>IF(ISNUMBER($A114)=TRUE,COUNTIFS(Garden!$H$8:$H652,$B114,Garden!$N$8:$N652,"&gt;0"),"")</f>
        <v/>
      </c>
      <c r="E114" s="173" t="str">
        <f>IF(ISNUMBER($A114)=TRUE,COUNTIFS(Garden!$H$8:$H652,$B114,Garden!$K$8:$K652,"TRUE"),"")</f>
        <v/>
      </c>
      <c r="F114" s="159"/>
      <c r="G114" s="174"/>
      <c r="H114" s="175"/>
      <c r="I114" s="159"/>
      <c r="J114" s="174"/>
      <c r="K114" s="175"/>
      <c r="L114" s="177" t="str">
        <f t="shared" si="1"/>
        <v/>
      </c>
      <c r="M114" s="172"/>
      <c r="N114" s="175"/>
    </row>
    <row r="115">
      <c r="A115" s="181" t="str">
        <f t="shared" si="2"/>
        <v/>
      </c>
      <c r="B115" s="172"/>
      <c r="C115" s="173" t="str">
        <f>IF(ISNUMBER($A115)=TRUE,COUNTIFS(Garden!$H$8:$H652,$B115,Garden!$M$8:$M652,"&gt;0"),"")</f>
        <v/>
      </c>
      <c r="D115" s="173" t="str">
        <f>IF(ISNUMBER($A115)=TRUE,COUNTIFS(Garden!$H$8:$H652,$B115,Garden!$N$8:$N652,"&gt;0"),"")</f>
        <v/>
      </c>
      <c r="E115" s="173" t="str">
        <f>IF(ISNUMBER($A115)=TRUE,COUNTIFS(Garden!$H$8:$H652,$B115,Garden!$K$8:$K652,"TRUE"),"")</f>
        <v/>
      </c>
      <c r="F115" s="159"/>
      <c r="G115" s="174"/>
      <c r="H115" s="175"/>
      <c r="I115" s="159"/>
      <c r="J115" s="174"/>
      <c r="K115" s="175"/>
      <c r="L115" s="177" t="str">
        <f t="shared" si="1"/>
        <v/>
      </c>
      <c r="M115" s="172"/>
      <c r="N115" s="175"/>
    </row>
    <row r="116">
      <c r="A116" s="181" t="str">
        <f t="shared" si="2"/>
        <v/>
      </c>
      <c r="B116" s="172"/>
      <c r="C116" s="173" t="str">
        <f>IF(ISNUMBER($A116)=TRUE,COUNTIFS(Garden!$H$8:$H652,$B116,Garden!$M$8:$M652,"&gt;0"),"")</f>
        <v/>
      </c>
      <c r="D116" s="173" t="str">
        <f>IF(ISNUMBER($A116)=TRUE,COUNTIFS(Garden!$H$8:$H652,$B116,Garden!$N$8:$N652,"&gt;0"),"")</f>
        <v/>
      </c>
      <c r="E116" s="173" t="str">
        <f>IF(ISNUMBER($A116)=TRUE,COUNTIFS(Garden!$H$8:$H652,$B116,Garden!$K$8:$K652,"TRUE"),"")</f>
        <v/>
      </c>
      <c r="F116" s="159"/>
      <c r="G116" s="174"/>
      <c r="H116" s="175"/>
      <c r="I116" s="159"/>
      <c r="J116" s="174"/>
      <c r="K116" s="175"/>
      <c r="L116" s="177" t="str">
        <f t="shared" si="1"/>
        <v/>
      </c>
      <c r="M116" s="172"/>
      <c r="N116" s="175"/>
    </row>
    <row r="117">
      <c r="A117" s="181" t="str">
        <f t="shared" si="2"/>
        <v/>
      </c>
      <c r="B117" s="172"/>
      <c r="C117" s="173" t="str">
        <f>IF(ISNUMBER($A117)=TRUE,COUNTIFS(Garden!$H$8:$H652,$B117,Garden!$M$8:$M652,"&gt;0"),"")</f>
        <v/>
      </c>
      <c r="D117" s="173" t="str">
        <f>IF(ISNUMBER($A117)=TRUE,COUNTIFS(Garden!$H$8:$H652,$B117,Garden!$N$8:$N652,"&gt;0"),"")</f>
        <v/>
      </c>
      <c r="E117" s="173" t="str">
        <f>IF(ISNUMBER($A117)=TRUE,COUNTIFS(Garden!$H$8:$H652,$B117,Garden!$K$8:$K652,"TRUE"),"")</f>
        <v/>
      </c>
      <c r="F117" s="159"/>
      <c r="G117" s="174"/>
      <c r="H117" s="175"/>
      <c r="I117" s="159"/>
      <c r="J117" s="174"/>
      <c r="K117" s="175"/>
      <c r="L117" s="177" t="str">
        <f t="shared" si="1"/>
        <v/>
      </c>
      <c r="M117" s="172"/>
      <c r="N117" s="175"/>
    </row>
    <row r="118">
      <c r="A118" s="181" t="str">
        <f t="shared" si="2"/>
        <v/>
      </c>
      <c r="B118" s="172"/>
      <c r="C118" s="173" t="str">
        <f>IF(ISNUMBER($A118)=TRUE,COUNTIFS(Garden!$H$8:$H652,$B118,Garden!$M$8:$M652,"&gt;0"),"")</f>
        <v/>
      </c>
      <c r="D118" s="173" t="str">
        <f>IF(ISNUMBER($A118)=TRUE,COUNTIFS(Garden!$H$8:$H652,$B118,Garden!$N$8:$N652,"&gt;0"),"")</f>
        <v/>
      </c>
      <c r="E118" s="173" t="str">
        <f>IF(ISNUMBER($A118)=TRUE,COUNTIFS(Garden!$H$8:$H652,$B118,Garden!$K$8:$K652,"TRUE"),"")</f>
        <v/>
      </c>
      <c r="F118" s="159"/>
      <c r="G118" s="174"/>
      <c r="H118" s="175"/>
      <c r="I118" s="159"/>
      <c r="J118" s="174"/>
      <c r="K118" s="175"/>
      <c r="L118" s="177" t="str">
        <f t="shared" si="1"/>
        <v/>
      </c>
      <c r="M118" s="172"/>
      <c r="N118" s="175"/>
    </row>
    <row r="119">
      <c r="A119" s="181" t="str">
        <f t="shared" si="2"/>
        <v/>
      </c>
      <c r="B119" s="172"/>
      <c r="C119" s="173" t="str">
        <f>IF(ISNUMBER($A119)=TRUE,COUNTIFS(Garden!$H$8:$H652,$B119,Garden!$M$8:$M652,"&gt;0"),"")</f>
        <v/>
      </c>
      <c r="D119" s="173" t="str">
        <f>IF(ISNUMBER($A119)=TRUE,COUNTIFS(Garden!$H$8:$H652,$B119,Garden!$N$8:$N652,"&gt;0"),"")</f>
        <v/>
      </c>
      <c r="E119" s="173" t="str">
        <f>IF(ISNUMBER($A119)=TRUE,COUNTIFS(Garden!$H$8:$H652,$B119,Garden!$K$8:$K652,"TRUE"),"")</f>
        <v/>
      </c>
      <c r="F119" s="159"/>
      <c r="G119" s="174"/>
      <c r="H119" s="175"/>
      <c r="I119" s="159"/>
      <c r="J119" s="174"/>
      <c r="K119" s="175"/>
      <c r="L119" s="177" t="str">
        <f t="shared" si="1"/>
        <v/>
      </c>
      <c r="M119" s="172"/>
      <c r="N119" s="175"/>
    </row>
    <row r="120">
      <c r="A120" s="181" t="str">
        <f t="shared" si="2"/>
        <v/>
      </c>
      <c r="B120" s="172"/>
      <c r="C120" s="173" t="str">
        <f>IF(ISNUMBER($A120)=TRUE,COUNTIFS(Garden!$H$8:$H652,$B120,Garden!$M$8:$M652,"&gt;0"),"")</f>
        <v/>
      </c>
      <c r="D120" s="173" t="str">
        <f>IF(ISNUMBER($A120)=TRUE,COUNTIFS(Garden!$H$8:$H652,$B120,Garden!$N$8:$N652,"&gt;0"),"")</f>
        <v/>
      </c>
      <c r="E120" s="173" t="str">
        <f>IF(ISNUMBER($A120)=TRUE,COUNTIFS(Garden!$H$8:$H652,$B120,Garden!$K$8:$K652,"TRUE"),"")</f>
        <v/>
      </c>
      <c r="F120" s="159"/>
      <c r="G120" s="174"/>
      <c r="H120" s="175"/>
      <c r="I120" s="159"/>
      <c r="J120" s="174"/>
      <c r="K120" s="175"/>
      <c r="L120" s="177" t="str">
        <f t="shared" si="1"/>
        <v/>
      </c>
      <c r="M120" s="172"/>
      <c r="N120" s="175"/>
    </row>
    <row r="121">
      <c r="A121" s="181" t="str">
        <f t="shared" si="2"/>
        <v/>
      </c>
      <c r="B121" s="172"/>
      <c r="C121" s="173" t="str">
        <f>IF(ISNUMBER($A121)=TRUE,COUNTIFS(Garden!$H$8:$H652,$B121,Garden!$M$8:$M652,"&gt;0"),"")</f>
        <v/>
      </c>
      <c r="D121" s="173" t="str">
        <f>IF(ISNUMBER($A121)=TRUE,COUNTIFS(Garden!$H$8:$H652,$B121,Garden!$N$8:$N652,"&gt;0"),"")</f>
        <v/>
      </c>
      <c r="E121" s="173" t="str">
        <f>IF(ISNUMBER($A121)=TRUE,COUNTIFS(Garden!$H$8:$H652,$B121,Garden!$K$8:$K652,"TRUE"),"")</f>
        <v/>
      </c>
      <c r="F121" s="159"/>
      <c r="G121" s="174"/>
      <c r="H121" s="175"/>
      <c r="I121" s="159"/>
      <c r="J121" s="174"/>
      <c r="K121" s="175"/>
      <c r="L121" s="177" t="str">
        <f t="shared" si="1"/>
        <v/>
      </c>
      <c r="M121" s="172"/>
      <c r="N121" s="175"/>
    </row>
    <row r="122">
      <c r="A122" s="181" t="str">
        <f t="shared" si="2"/>
        <v/>
      </c>
      <c r="B122" s="172"/>
      <c r="C122" s="173" t="str">
        <f>IF(ISNUMBER($A122)=TRUE,COUNTIFS(Garden!$H$8:$H652,$B122,Garden!$M$8:$M652,"&gt;0"),"")</f>
        <v/>
      </c>
      <c r="D122" s="173" t="str">
        <f>IF(ISNUMBER($A122)=TRUE,COUNTIFS(Garden!$H$8:$H652,$B122,Garden!$N$8:$N652,"&gt;0"),"")</f>
        <v/>
      </c>
      <c r="E122" s="173" t="str">
        <f>IF(ISNUMBER($A122)=TRUE,COUNTIFS(Garden!$H$8:$H652,$B122,Garden!$K$8:$K652,"TRUE"),"")</f>
        <v/>
      </c>
      <c r="F122" s="159"/>
      <c r="G122" s="174"/>
      <c r="H122" s="175"/>
      <c r="I122" s="159"/>
      <c r="J122" s="174"/>
      <c r="K122" s="175"/>
      <c r="L122" s="177" t="str">
        <f t="shared" si="1"/>
        <v/>
      </c>
      <c r="M122" s="172"/>
      <c r="N122" s="175"/>
    </row>
    <row r="123">
      <c r="A123" s="181" t="str">
        <f t="shared" si="2"/>
        <v/>
      </c>
      <c r="B123" s="172"/>
      <c r="C123" s="173" t="str">
        <f>IF(ISNUMBER($A123)=TRUE,COUNTIFS(Garden!$H$8:$H652,$B123,Garden!$M$8:$M652,"&gt;0"),"")</f>
        <v/>
      </c>
      <c r="D123" s="173" t="str">
        <f>IF(ISNUMBER($A123)=TRUE,COUNTIFS(Garden!$H$8:$H652,$B123,Garden!$N$8:$N652,"&gt;0"),"")</f>
        <v/>
      </c>
      <c r="E123" s="173" t="str">
        <f>IF(ISNUMBER($A123)=TRUE,COUNTIFS(Garden!$H$8:$H652,$B123,Garden!$K$8:$K652,"TRUE"),"")</f>
        <v/>
      </c>
      <c r="F123" s="159"/>
      <c r="G123" s="174"/>
      <c r="H123" s="175"/>
      <c r="I123" s="159"/>
      <c r="J123" s="174"/>
      <c r="K123" s="175"/>
      <c r="L123" s="177" t="str">
        <f t="shared" si="1"/>
        <v/>
      </c>
      <c r="M123" s="172"/>
      <c r="N123" s="175"/>
    </row>
    <row r="124">
      <c r="A124" s="181" t="str">
        <f t="shared" si="2"/>
        <v/>
      </c>
      <c r="B124" s="172"/>
      <c r="C124" s="173" t="str">
        <f>IF(ISNUMBER($A124)=TRUE,COUNTIFS(Garden!$H$8:$H652,$B124,Garden!$M$8:$M652,"&gt;0"),"")</f>
        <v/>
      </c>
      <c r="D124" s="173" t="str">
        <f>IF(ISNUMBER($A124)=TRUE,COUNTIFS(Garden!$H$8:$H652,$B124,Garden!$N$8:$N652,"&gt;0"),"")</f>
        <v/>
      </c>
      <c r="E124" s="173" t="str">
        <f>IF(ISNUMBER($A124)=TRUE,COUNTIFS(Garden!$H$8:$H652,$B124,Garden!$K$8:$K652,"TRUE"),"")</f>
        <v/>
      </c>
      <c r="F124" s="159"/>
      <c r="G124" s="174"/>
      <c r="H124" s="175"/>
      <c r="I124" s="159"/>
      <c r="J124" s="174"/>
      <c r="K124" s="175"/>
      <c r="L124" s="177" t="str">
        <f t="shared" si="1"/>
        <v/>
      </c>
      <c r="M124" s="172"/>
      <c r="N124" s="175"/>
    </row>
    <row r="125">
      <c r="A125" s="181" t="str">
        <f t="shared" si="2"/>
        <v/>
      </c>
      <c r="B125" s="172"/>
      <c r="C125" s="173" t="str">
        <f>IF(ISNUMBER($A125)=TRUE,COUNTIFS(Garden!$H$8:$H652,$B125,Garden!$M$8:$M652,"&gt;0"),"")</f>
        <v/>
      </c>
      <c r="D125" s="173" t="str">
        <f>IF(ISNUMBER($A125)=TRUE,COUNTIFS(Garden!$H$8:$H652,$B125,Garden!$N$8:$N652,"&gt;0"),"")</f>
        <v/>
      </c>
      <c r="E125" s="173" t="str">
        <f>IF(ISNUMBER($A125)=TRUE,COUNTIFS(Garden!$H$8:$H652,$B125,Garden!$K$8:$K652,"TRUE"),"")</f>
        <v/>
      </c>
      <c r="F125" s="159"/>
      <c r="G125" s="174"/>
      <c r="H125" s="175"/>
      <c r="I125" s="159"/>
      <c r="J125" s="174"/>
      <c r="K125" s="175"/>
      <c r="L125" s="177" t="str">
        <f t="shared" si="1"/>
        <v/>
      </c>
      <c r="M125" s="172"/>
      <c r="N125" s="175"/>
    </row>
    <row r="126">
      <c r="A126" s="181" t="str">
        <f t="shared" si="2"/>
        <v/>
      </c>
      <c r="B126" s="172"/>
      <c r="C126" s="173" t="str">
        <f>IF(ISNUMBER($A126)=TRUE,COUNTIFS(Garden!$H$8:$H652,$B126,Garden!$M$8:$M652,"&gt;0"),"")</f>
        <v/>
      </c>
      <c r="D126" s="173" t="str">
        <f>IF(ISNUMBER($A126)=TRUE,COUNTIFS(Garden!$H$8:$H652,$B126,Garden!$N$8:$N652,"&gt;0"),"")</f>
        <v/>
      </c>
      <c r="E126" s="173" t="str">
        <f>IF(ISNUMBER($A126)=TRUE,COUNTIFS(Garden!$H$8:$H652,$B126,Garden!$K$8:$K652,"TRUE"),"")</f>
        <v/>
      </c>
      <c r="F126" s="159"/>
      <c r="G126" s="174"/>
      <c r="H126" s="175"/>
      <c r="I126" s="159"/>
      <c r="J126" s="174"/>
      <c r="K126" s="175"/>
      <c r="L126" s="177" t="str">
        <f t="shared" si="1"/>
        <v/>
      </c>
      <c r="M126" s="172"/>
      <c r="N126" s="175"/>
    </row>
    <row r="127">
      <c r="A127" s="181" t="str">
        <f t="shared" si="2"/>
        <v/>
      </c>
      <c r="B127" s="172"/>
      <c r="C127" s="173" t="str">
        <f>IF(ISNUMBER($A127)=TRUE,COUNTIFS(Garden!$H$8:$H652,$B127,Garden!$M$8:$M652,"&gt;0"),"")</f>
        <v/>
      </c>
      <c r="D127" s="173" t="str">
        <f>IF(ISNUMBER($A127)=TRUE,COUNTIFS(Garden!$H$8:$H652,$B127,Garden!$N$8:$N652,"&gt;0"),"")</f>
        <v/>
      </c>
      <c r="E127" s="173" t="str">
        <f>IF(ISNUMBER($A127)=TRUE,COUNTIFS(Garden!$H$8:$H652,$B127,Garden!$K$8:$K652,"TRUE"),"")</f>
        <v/>
      </c>
      <c r="F127" s="159"/>
      <c r="G127" s="174"/>
      <c r="H127" s="175"/>
      <c r="I127" s="159"/>
      <c r="J127" s="174"/>
      <c r="K127" s="175"/>
      <c r="L127" s="177" t="str">
        <f t="shared" si="1"/>
        <v/>
      </c>
      <c r="M127" s="172"/>
      <c r="N127" s="175"/>
    </row>
    <row r="128">
      <c r="A128" s="181" t="str">
        <f t="shared" si="2"/>
        <v/>
      </c>
      <c r="B128" s="172"/>
      <c r="C128" s="173" t="str">
        <f>IF(ISNUMBER($A128)=TRUE,COUNTIFS(Garden!$H$8:$H652,$B128,Garden!$M$8:$M652,"&gt;0"),"")</f>
        <v/>
      </c>
      <c r="D128" s="173" t="str">
        <f>IF(ISNUMBER($A128)=TRUE,COUNTIFS(Garden!$H$8:$H652,$B128,Garden!$N$8:$N652,"&gt;0"),"")</f>
        <v/>
      </c>
      <c r="E128" s="173" t="str">
        <f>IF(ISNUMBER($A128)=TRUE,COUNTIFS(Garden!$H$8:$H652,$B128,Garden!$K$8:$K652,"TRUE"),"")</f>
        <v/>
      </c>
      <c r="F128" s="159"/>
      <c r="G128" s="174"/>
      <c r="H128" s="175"/>
      <c r="I128" s="159"/>
      <c r="J128" s="174"/>
      <c r="K128" s="175"/>
      <c r="L128" s="177" t="str">
        <f t="shared" si="1"/>
        <v/>
      </c>
      <c r="M128" s="172"/>
      <c r="N128" s="175"/>
    </row>
    <row r="129">
      <c r="A129" s="181" t="str">
        <f t="shared" si="2"/>
        <v/>
      </c>
      <c r="B129" s="172"/>
      <c r="C129" s="173" t="str">
        <f>IF(ISNUMBER($A129)=TRUE,COUNTIFS(Garden!$H$8:$H652,$B129,Garden!$M$8:$M652,"&gt;0"),"")</f>
        <v/>
      </c>
      <c r="D129" s="173" t="str">
        <f>IF(ISNUMBER($A129)=TRUE,COUNTIFS(Garden!$H$8:$H652,$B129,Garden!$N$8:$N652,"&gt;0"),"")</f>
        <v/>
      </c>
      <c r="E129" s="173" t="str">
        <f>IF(ISNUMBER($A129)=TRUE,COUNTIFS(Garden!$H$8:$H652,$B129,Garden!$K$8:$K652,"TRUE"),"")</f>
        <v/>
      </c>
      <c r="F129" s="159"/>
      <c r="G129" s="174"/>
      <c r="H129" s="175"/>
      <c r="I129" s="159"/>
      <c r="J129" s="174"/>
      <c r="K129" s="175"/>
      <c r="L129" s="177" t="str">
        <f t="shared" si="1"/>
        <v/>
      </c>
      <c r="M129" s="172"/>
      <c r="N129" s="175"/>
    </row>
    <row r="130">
      <c r="A130" s="181" t="str">
        <f t="shared" si="2"/>
        <v/>
      </c>
      <c r="B130" s="172"/>
      <c r="C130" s="173" t="str">
        <f>IF(ISNUMBER($A130)=TRUE,COUNTIFS(Garden!$H$8:$H652,$B130,Garden!$M$8:$M652,"&gt;0"),"")</f>
        <v/>
      </c>
      <c r="D130" s="173" t="str">
        <f>IF(ISNUMBER($A130)=TRUE,COUNTIFS(Garden!$H$8:$H652,$B130,Garden!$N$8:$N652,"&gt;0"),"")</f>
        <v/>
      </c>
      <c r="E130" s="173" t="str">
        <f>IF(ISNUMBER($A130)=TRUE,COUNTIFS(Garden!$H$8:$H652,$B130,Garden!$K$8:$K652,"TRUE"),"")</f>
        <v/>
      </c>
      <c r="F130" s="159"/>
      <c r="G130" s="174"/>
      <c r="H130" s="175"/>
      <c r="I130" s="159"/>
      <c r="J130" s="174"/>
      <c r="K130" s="175"/>
      <c r="L130" s="177" t="str">
        <f t="shared" si="1"/>
        <v/>
      </c>
      <c r="M130" s="172"/>
      <c r="N130" s="175"/>
    </row>
    <row r="131">
      <c r="A131" s="181" t="str">
        <f t="shared" si="2"/>
        <v/>
      </c>
      <c r="B131" s="172"/>
      <c r="C131" s="173" t="str">
        <f>IF(ISNUMBER($A131)=TRUE,COUNTIFS(Garden!$H$8:$H652,$B131,Garden!$M$8:$M652,"&gt;0"),"")</f>
        <v/>
      </c>
      <c r="D131" s="173" t="str">
        <f>IF(ISNUMBER($A131)=TRUE,COUNTIFS(Garden!$H$8:$H652,$B131,Garden!$N$8:$N652,"&gt;0"),"")</f>
        <v/>
      </c>
      <c r="E131" s="173" t="str">
        <f>IF(ISNUMBER($A131)=TRUE,COUNTIFS(Garden!$H$8:$H652,$B131,Garden!$K$8:$K652,"TRUE"),"")</f>
        <v/>
      </c>
      <c r="F131" s="159"/>
      <c r="G131" s="174"/>
      <c r="H131" s="175"/>
      <c r="I131" s="159"/>
      <c r="J131" s="174"/>
      <c r="K131" s="175"/>
      <c r="L131" s="177" t="str">
        <f t="shared" si="1"/>
        <v/>
      </c>
      <c r="M131" s="172"/>
      <c r="N131" s="175"/>
    </row>
    <row r="132">
      <c r="A132" s="181" t="str">
        <f t="shared" si="2"/>
        <v/>
      </c>
      <c r="B132" s="172"/>
      <c r="C132" s="173" t="str">
        <f>IF(ISNUMBER($A132)=TRUE,COUNTIFS(Garden!$H$8:$H652,$B132,Garden!$M$8:$M652,"&gt;0"),"")</f>
        <v/>
      </c>
      <c r="D132" s="173" t="str">
        <f>IF(ISNUMBER($A132)=TRUE,COUNTIFS(Garden!$H$8:$H652,$B132,Garden!$N$8:$N652,"&gt;0"),"")</f>
        <v/>
      </c>
      <c r="E132" s="173" t="str">
        <f>IF(ISNUMBER($A132)=TRUE,COUNTIFS(Garden!$H$8:$H652,$B132,Garden!$K$8:$K652,"TRUE"),"")</f>
        <v/>
      </c>
      <c r="F132" s="159"/>
      <c r="G132" s="174"/>
      <c r="H132" s="175"/>
      <c r="I132" s="159"/>
      <c r="J132" s="174"/>
      <c r="K132" s="175"/>
      <c r="L132" s="177" t="str">
        <f t="shared" si="1"/>
        <v/>
      </c>
      <c r="M132" s="172"/>
      <c r="N132" s="175"/>
    </row>
    <row r="133">
      <c r="A133" s="181" t="str">
        <f t="shared" si="2"/>
        <v/>
      </c>
      <c r="B133" s="172"/>
      <c r="C133" s="173" t="str">
        <f>IF(ISNUMBER($A133)=TRUE,COUNTIFS(Garden!$H$8:$H652,$B133,Garden!$M$8:$M652,"&gt;0"),"")</f>
        <v/>
      </c>
      <c r="D133" s="173" t="str">
        <f>IF(ISNUMBER($A133)=TRUE,COUNTIFS(Garden!$H$8:$H652,$B133,Garden!$N$8:$N652,"&gt;0"),"")</f>
        <v/>
      </c>
      <c r="E133" s="173" t="str">
        <f>IF(ISNUMBER($A133)=TRUE,COUNTIFS(Garden!$H$8:$H652,$B133,Garden!$K$8:$K652,"TRUE"),"")</f>
        <v/>
      </c>
      <c r="F133" s="159"/>
      <c r="G133" s="174"/>
      <c r="H133" s="175"/>
      <c r="I133" s="159"/>
      <c r="J133" s="174"/>
      <c r="K133" s="175"/>
      <c r="L133" s="177" t="str">
        <f t="shared" si="1"/>
        <v/>
      </c>
      <c r="M133" s="172"/>
      <c r="N133" s="175"/>
    </row>
    <row r="134">
      <c r="A134" s="181" t="str">
        <f t="shared" si="2"/>
        <v/>
      </c>
      <c r="B134" s="172"/>
      <c r="C134" s="173" t="str">
        <f>IF(ISNUMBER($A134)=TRUE,COUNTIFS(Garden!$H$8:$H652,$B134,Garden!$M$8:$M652,"&gt;0"),"")</f>
        <v/>
      </c>
      <c r="D134" s="173" t="str">
        <f>IF(ISNUMBER($A134)=TRUE,COUNTIFS(Garden!$H$8:$H652,$B134,Garden!$N$8:$N652,"&gt;0"),"")</f>
        <v/>
      </c>
      <c r="E134" s="173" t="str">
        <f>IF(ISNUMBER($A134)=TRUE,COUNTIFS(Garden!$H$8:$H652,$B134,Garden!$K$8:$K652,"TRUE"),"")</f>
        <v/>
      </c>
      <c r="F134" s="159"/>
      <c r="G134" s="174"/>
      <c r="H134" s="175"/>
      <c r="I134" s="159"/>
      <c r="J134" s="174"/>
      <c r="K134" s="175"/>
      <c r="L134" s="177" t="str">
        <f t="shared" si="1"/>
        <v/>
      </c>
      <c r="M134" s="172"/>
      <c r="N134" s="175"/>
    </row>
    <row r="135">
      <c r="A135" s="181" t="str">
        <f t="shared" si="2"/>
        <v/>
      </c>
      <c r="B135" s="172"/>
      <c r="C135" s="173" t="str">
        <f>IF(ISNUMBER($A135)=TRUE,COUNTIFS(Garden!$H$8:$H652,$B135,Garden!$M$8:$M652,"&gt;0"),"")</f>
        <v/>
      </c>
      <c r="D135" s="173" t="str">
        <f>IF(ISNUMBER($A135)=TRUE,COUNTIFS(Garden!$H$8:$H652,$B135,Garden!$N$8:$N652,"&gt;0"),"")</f>
        <v/>
      </c>
      <c r="E135" s="173" t="str">
        <f>IF(ISNUMBER($A135)=TRUE,COUNTIFS(Garden!$H$8:$H652,$B135,Garden!$K$8:$K652,"TRUE"),"")</f>
        <v/>
      </c>
      <c r="F135" s="159"/>
      <c r="G135" s="174"/>
      <c r="H135" s="175"/>
      <c r="I135" s="159"/>
      <c r="J135" s="174"/>
      <c r="K135" s="175"/>
      <c r="L135" s="177" t="str">
        <f t="shared" si="1"/>
        <v/>
      </c>
      <c r="M135" s="172"/>
      <c r="N135" s="175"/>
    </row>
    <row r="136">
      <c r="A136" s="181" t="str">
        <f t="shared" si="2"/>
        <v/>
      </c>
      <c r="B136" s="172"/>
      <c r="C136" s="173" t="str">
        <f>IF(ISNUMBER($A136)=TRUE,COUNTIFS(Garden!$H$8:$H652,$B136,Garden!$M$8:$M652,"&gt;0"),"")</f>
        <v/>
      </c>
      <c r="D136" s="173" t="str">
        <f>IF(ISNUMBER($A136)=TRUE,COUNTIFS(Garden!$H$8:$H652,$B136,Garden!$N$8:$N652,"&gt;0"),"")</f>
        <v/>
      </c>
      <c r="E136" s="173" t="str">
        <f>IF(ISNUMBER($A136)=TRUE,COUNTIFS(Garden!$H$8:$H652,$B136,Garden!$K$8:$K652,"TRUE"),"")</f>
        <v/>
      </c>
      <c r="F136" s="159"/>
      <c r="G136" s="174"/>
      <c r="H136" s="175"/>
      <c r="I136" s="159"/>
      <c r="J136" s="174"/>
      <c r="K136" s="175"/>
      <c r="L136" s="177" t="str">
        <f t="shared" si="1"/>
        <v/>
      </c>
      <c r="M136" s="172"/>
      <c r="N136" s="175"/>
    </row>
    <row r="137">
      <c r="A137" s="181" t="str">
        <f t="shared" si="2"/>
        <v/>
      </c>
      <c r="B137" s="172"/>
      <c r="C137" s="173" t="str">
        <f>IF(ISNUMBER($A137)=TRUE,COUNTIFS(Garden!$H$8:$H652,$B137,Garden!$M$8:$M652,"&gt;0"),"")</f>
        <v/>
      </c>
      <c r="D137" s="173" t="str">
        <f>IF(ISNUMBER($A137)=TRUE,COUNTIFS(Garden!$H$8:$H652,$B137,Garden!$N$8:$N652,"&gt;0"),"")</f>
        <v/>
      </c>
      <c r="E137" s="173" t="str">
        <f>IF(ISNUMBER($A137)=TRUE,COUNTIFS(Garden!$H$8:$H652,$B137,Garden!$K$8:$K652,"TRUE"),"")</f>
        <v/>
      </c>
      <c r="F137" s="159"/>
      <c r="G137" s="174"/>
      <c r="H137" s="175"/>
      <c r="I137" s="159"/>
      <c r="J137" s="174"/>
      <c r="K137" s="175"/>
      <c r="L137" s="177" t="str">
        <f t="shared" si="1"/>
        <v/>
      </c>
      <c r="M137" s="172"/>
      <c r="N137" s="175"/>
    </row>
    <row r="138">
      <c r="A138" s="181" t="str">
        <f t="shared" si="2"/>
        <v/>
      </c>
      <c r="B138" s="172"/>
      <c r="C138" s="173" t="str">
        <f>IF(ISNUMBER($A138)=TRUE,COUNTIFS(Garden!$H$8:$H652,$B138,Garden!$M$8:$M652,"&gt;0"),"")</f>
        <v/>
      </c>
      <c r="D138" s="173" t="str">
        <f>IF(ISNUMBER($A138)=TRUE,COUNTIFS(Garden!$H$8:$H652,$B138,Garden!$N$8:$N652,"&gt;0"),"")</f>
        <v/>
      </c>
      <c r="E138" s="173" t="str">
        <f>IF(ISNUMBER($A138)=TRUE,COUNTIFS(Garden!$H$8:$H652,$B138,Garden!$K$8:$K652,"TRUE"),"")</f>
        <v/>
      </c>
      <c r="F138" s="159"/>
      <c r="G138" s="174"/>
      <c r="H138" s="175"/>
      <c r="I138" s="159"/>
      <c r="J138" s="174"/>
      <c r="K138" s="175"/>
      <c r="L138" s="177" t="str">
        <f t="shared" si="1"/>
        <v/>
      </c>
      <c r="M138" s="172"/>
      <c r="N138" s="175"/>
    </row>
    <row r="139">
      <c r="A139" s="181" t="str">
        <f t="shared" si="2"/>
        <v/>
      </c>
      <c r="B139" s="172"/>
      <c r="C139" s="173" t="str">
        <f>IF(ISNUMBER($A139)=TRUE,COUNTIFS(Garden!$H$8:$H652,$B139,Garden!$M$8:$M652,"&gt;0"),"")</f>
        <v/>
      </c>
      <c r="D139" s="173" t="str">
        <f>IF(ISNUMBER($A139)=TRUE,COUNTIFS(Garden!$H$8:$H652,$B139,Garden!$N$8:$N652,"&gt;0"),"")</f>
        <v/>
      </c>
      <c r="E139" s="173" t="str">
        <f>IF(ISNUMBER($A139)=TRUE,COUNTIFS(Garden!$H$8:$H652,$B139,Garden!$K$8:$K652,"TRUE"),"")</f>
        <v/>
      </c>
      <c r="F139" s="159"/>
      <c r="G139" s="174"/>
      <c r="H139" s="175"/>
      <c r="I139" s="159"/>
      <c r="J139" s="174"/>
      <c r="K139" s="175"/>
      <c r="L139" s="177" t="str">
        <f t="shared" si="1"/>
        <v/>
      </c>
      <c r="M139" s="172"/>
      <c r="N139" s="175"/>
    </row>
    <row r="140">
      <c r="A140" s="181" t="str">
        <f t="shared" si="2"/>
        <v/>
      </c>
      <c r="B140" s="172"/>
      <c r="C140" s="173" t="str">
        <f>IF(ISNUMBER($A140)=TRUE,COUNTIFS(Garden!$H$8:$H652,$B140,Garden!$M$8:$M652,"&gt;0"),"")</f>
        <v/>
      </c>
      <c r="D140" s="173" t="str">
        <f>IF(ISNUMBER($A140)=TRUE,COUNTIFS(Garden!$H$8:$H652,$B140,Garden!$N$8:$N652,"&gt;0"),"")</f>
        <v/>
      </c>
      <c r="E140" s="173" t="str">
        <f>IF(ISNUMBER($A140)=TRUE,COUNTIFS(Garden!$H$8:$H652,$B140,Garden!$K$8:$K652,"TRUE"),"")</f>
        <v/>
      </c>
      <c r="F140" s="159"/>
      <c r="G140" s="174"/>
      <c r="H140" s="175"/>
      <c r="I140" s="159"/>
      <c r="J140" s="174"/>
      <c r="K140" s="175"/>
      <c r="L140" s="177" t="str">
        <f t="shared" si="1"/>
        <v/>
      </c>
      <c r="M140" s="172"/>
      <c r="N140" s="175"/>
    </row>
    <row r="141">
      <c r="A141" s="181" t="str">
        <f t="shared" si="2"/>
        <v/>
      </c>
      <c r="B141" s="172"/>
      <c r="C141" s="173" t="str">
        <f>IF(ISNUMBER($A141)=TRUE,COUNTIFS(Garden!$H$8:$H652,$B141,Garden!$M$8:$M652,"&gt;0"),"")</f>
        <v/>
      </c>
      <c r="D141" s="173" t="str">
        <f>IF(ISNUMBER($A141)=TRUE,COUNTIFS(Garden!$H$8:$H652,$B141,Garden!$N$8:$N652,"&gt;0"),"")</f>
        <v/>
      </c>
      <c r="E141" s="173" t="str">
        <f>IF(ISNUMBER($A141)=TRUE,COUNTIFS(Garden!$H$8:$H652,$B141,Garden!$K$8:$K652,"TRUE"),"")</f>
        <v/>
      </c>
      <c r="F141" s="159"/>
      <c r="G141" s="174"/>
      <c r="H141" s="175"/>
      <c r="I141" s="159"/>
      <c r="J141" s="174"/>
      <c r="K141" s="175"/>
      <c r="L141" s="177" t="str">
        <f t="shared" si="1"/>
        <v/>
      </c>
      <c r="M141" s="172"/>
      <c r="N141" s="175"/>
    </row>
    <row r="142">
      <c r="A142" s="181" t="str">
        <f t="shared" si="2"/>
        <v/>
      </c>
      <c r="B142" s="172"/>
      <c r="C142" s="173" t="str">
        <f>IF(ISNUMBER($A142)=TRUE,COUNTIFS(Garden!$H$8:$H652,$B142,Garden!$M$8:$M652,"&gt;0"),"")</f>
        <v/>
      </c>
      <c r="D142" s="173" t="str">
        <f>IF(ISNUMBER($A142)=TRUE,COUNTIFS(Garden!$H$8:$H652,$B142,Garden!$N$8:$N652,"&gt;0"),"")</f>
        <v/>
      </c>
      <c r="E142" s="173" t="str">
        <f>IF(ISNUMBER($A142)=TRUE,COUNTIFS(Garden!$H$8:$H652,$B142,Garden!$K$8:$K652,"TRUE"),"")</f>
        <v/>
      </c>
      <c r="F142" s="159"/>
      <c r="G142" s="174"/>
      <c r="H142" s="175"/>
      <c r="I142" s="159"/>
      <c r="J142" s="174"/>
      <c r="K142" s="175"/>
      <c r="L142" s="177" t="str">
        <f t="shared" si="1"/>
        <v/>
      </c>
      <c r="M142" s="172"/>
      <c r="N142" s="175"/>
    </row>
    <row r="143">
      <c r="A143" s="181" t="str">
        <f t="shared" si="2"/>
        <v/>
      </c>
      <c r="B143" s="172"/>
      <c r="C143" s="173" t="str">
        <f>IF(ISNUMBER($A143)=TRUE,COUNTIFS(Garden!$H$8:$H652,$B143,Garden!$M$8:$M652,"&gt;0"),"")</f>
        <v/>
      </c>
      <c r="D143" s="173" t="str">
        <f>IF(ISNUMBER($A143)=TRUE,COUNTIFS(Garden!$H$8:$H652,$B143,Garden!$N$8:$N652,"&gt;0"),"")</f>
        <v/>
      </c>
      <c r="E143" s="173" t="str">
        <f>IF(ISNUMBER($A143)=TRUE,COUNTIFS(Garden!$H$8:$H652,$B143,Garden!$K$8:$K652,"TRUE"),"")</f>
        <v/>
      </c>
      <c r="F143" s="159"/>
      <c r="G143" s="174"/>
      <c r="H143" s="175"/>
      <c r="I143" s="159"/>
      <c r="J143" s="174"/>
      <c r="K143" s="175"/>
      <c r="L143" s="177" t="str">
        <f t="shared" si="1"/>
        <v/>
      </c>
      <c r="M143" s="172"/>
      <c r="N143" s="175"/>
    </row>
    <row r="144">
      <c r="A144" s="181" t="str">
        <f t="shared" si="2"/>
        <v/>
      </c>
      <c r="B144" s="172"/>
      <c r="C144" s="173" t="str">
        <f>IF(ISNUMBER($A144)=TRUE,COUNTIFS(Garden!$H$8:$H652,$B144,Garden!$M$8:$M652,"&gt;0"),"")</f>
        <v/>
      </c>
      <c r="D144" s="173" t="str">
        <f>IF(ISNUMBER($A144)=TRUE,COUNTIFS(Garden!$H$8:$H652,$B144,Garden!$N$8:$N652,"&gt;0"),"")</f>
        <v/>
      </c>
      <c r="E144" s="173" t="str">
        <f>IF(ISNUMBER($A144)=TRUE,COUNTIFS(Garden!$H$8:$H652,$B144,Garden!$K$8:$K652,"TRUE"),"")</f>
        <v/>
      </c>
      <c r="F144" s="159"/>
      <c r="G144" s="174"/>
      <c r="H144" s="175"/>
      <c r="I144" s="159"/>
      <c r="J144" s="174"/>
      <c r="K144" s="175"/>
      <c r="L144" s="177" t="str">
        <f t="shared" si="1"/>
        <v/>
      </c>
      <c r="M144" s="172"/>
      <c r="N144" s="175"/>
    </row>
    <row r="145">
      <c r="A145" s="181" t="str">
        <f t="shared" si="2"/>
        <v/>
      </c>
      <c r="B145" s="172"/>
      <c r="C145" s="173" t="str">
        <f>IF(ISNUMBER($A145)=TRUE,COUNTIFS(Garden!$H$8:$H652,$B145,Garden!$M$8:$M652,"&gt;0"),"")</f>
        <v/>
      </c>
      <c r="D145" s="173" t="str">
        <f>IF(ISNUMBER($A145)=TRUE,COUNTIFS(Garden!$H$8:$H652,$B145,Garden!$N$8:$N652,"&gt;0"),"")</f>
        <v/>
      </c>
      <c r="E145" s="173" t="str">
        <f>IF(ISNUMBER($A145)=TRUE,COUNTIFS(Garden!$H$8:$H652,$B145,Garden!$K$8:$K652,"TRUE"),"")</f>
        <v/>
      </c>
      <c r="F145" s="159"/>
      <c r="G145" s="174"/>
      <c r="H145" s="175"/>
      <c r="I145" s="159"/>
      <c r="J145" s="174"/>
      <c r="K145" s="175"/>
      <c r="L145" s="177" t="str">
        <f t="shared" si="1"/>
        <v/>
      </c>
      <c r="M145" s="172"/>
      <c r="N145" s="175"/>
    </row>
    <row r="146">
      <c r="A146" s="181" t="str">
        <f t="shared" si="2"/>
        <v/>
      </c>
      <c r="B146" s="172"/>
      <c r="C146" s="173" t="str">
        <f>IF(ISNUMBER($A146)=TRUE,COUNTIFS(Garden!$H$8:$H652,$B146,Garden!$M$8:$M652,"&gt;0"),"")</f>
        <v/>
      </c>
      <c r="D146" s="173" t="str">
        <f>IF(ISNUMBER($A146)=TRUE,COUNTIFS(Garden!$H$8:$H652,$B146,Garden!$N$8:$N652,"&gt;0"),"")</f>
        <v/>
      </c>
      <c r="E146" s="173" t="str">
        <f>IF(ISNUMBER($A146)=TRUE,COUNTIFS(Garden!$H$8:$H652,$B146,Garden!$K$8:$K652,"TRUE"),"")</f>
        <v/>
      </c>
      <c r="F146" s="159"/>
      <c r="G146" s="174"/>
      <c r="H146" s="175"/>
      <c r="I146" s="159"/>
      <c r="J146" s="174"/>
      <c r="K146" s="175"/>
      <c r="L146" s="177" t="str">
        <f t="shared" si="1"/>
        <v/>
      </c>
      <c r="M146" s="172"/>
      <c r="N146" s="175"/>
    </row>
    <row r="147">
      <c r="A147" s="181" t="str">
        <f t="shared" si="2"/>
        <v/>
      </c>
      <c r="B147" s="172"/>
      <c r="C147" s="173" t="str">
        <f>IF(ISNUMBER($A147)=TRUE,COUNTIFS(Garden!$H$8:$H652,$B147,Garden!$M$8:$M652,"&gt;0"),"")</f>
        <v/>
      </c>
      <c r="D147" s="173" t="str">
        <f>IF(ISNUMBER($A147)=TRUE,COUNTIFS(Garden!$H$8:$H652,$B147,Garden!$N$8:$N652,"&gt;0"),"")</f>
        <v/>
      </c>
      <c r="E147" s="173" t="str">
        <f>IF(ISNUMBER($A147)=TRUE,COUNTIFS(Garden!$H$8:$H652,$B147,Garden!$K$8:$K652,"TRUE"),"")</f>
        <v/>
      </c>
      <c r="F147" s="159"/>
      <c r="G147" s="174"/>
      <c r="H147" s="175"/>
      <c r="I147" s="159"/>
      <c r="J147" s="174"/>
      <c r="K147" s="175"/>
      <c r="L147" s="177" t="str">
        <f t="shared" si="1"/>
        <v/>
      </c>
      <c r="M147" s="172"/>
      <c r="N147" s="175"/>
    </row>
    <row r="148">
      <c r="A148" s="181" t="str">
        <f t="shared" si="2"/>
        <v/>
      </c>
      <c r="B148" s="172"/>
      <c r="C148" s="173" t="str">
        <f>IF(ISNUMBER($A148)=TRUE,COUNTIFS(Garden!$H$8:$H652,$B148,Garden!$M$8:$M652,"&gt;0"),"")</f>
        <v/>
      </c>
      <c r="D148" s="173" t="str">
        <f>IF(ISNUMBER($A148)=TRUE,COUNTIFS(Garden!$H$8:$H652,$B148,Garden!$N$8:$N652,"&gt;0"),"")</f>
        <v/>
      </c>
      <c r="E148" s="173" t="str">
        <f>IF(ISNUMBER($A148)=TRUE,COUNTIFS(Garden!$H$8:$H652,$B148,Garden!$K$8:$K652,"TRUE"),"")</f>
        <v/>
      </c>
      <c r="F148" s="159"/>
      <c r="G148" s="174"/>
      <c r="H148" s="175"/>
      <c r="I148" s="159"/>
      <c r="J148" s="174"/>
      <c r="K148" s="175"/>
      <c r="L148" s="177" t="str">
        <f t="shared" si="1"/>
        <v/>
      </c>
      <c r="M148" s="172"/>
      <c r="N148" s="175"/>
    </row>
    <row r="149">
      <c r="A149" s="181" t="str">
        <f t="shared" si="2"/>
        <v/>
      </c>
      <c r="B149" s="172"/>
      <c r="C149" s="173" t="str">
        <f>IF(ISNUMBER($A149)=TRUE,COUNTIFS(Garden!$H$8:$H652,$B149,Garden!$M$8:$M652,"&gt;0"),"")</f>
        <v/>
      </c>
      <c r="D149" s="173" t="str">
        <f>IF(ISNUMBER($A149)=TRUE,COUNTIFS(Garden!$H$8:$H652,$B149,Garden!$N$8:$N652,"&gt;0"),"")</f>
        <v/>
      </c>
      <c r="E149" s="173" t="str">
        <f>IF(ISNUMBER($A149)=TRUE,COUNTIFS(Garden!$H$8:$H652,$B149,Garden!$K$8:$K652,"TRUE"),"")</f>
        <v/>
      </c>
      <c r="F149" s="159"/>
      <c r="G149" s="174"/>
      <c r="H149" s="175"/>
      <c r="I149" s="159"/>
      <c r="J149" s="174"/>
      <c r="K149" s="175"/>
      <c r="L149" s="177" t="str">
        <f t="shared" si="1"/>
        <v/>
      </c>
      <c r="M149" s="172"/>
      <c r="N149" s="175"/>
    </row>
    <row r="150">
      <c r="A150" s="181" t="str">
        <f t="shared" si="2"/>
        <v/>
      </c>
      <c r="B150" s="172"/>
      <c r="C150" s="173" t="str">
        <f>IF(ISNUMBER($A150)=TRUE,COUNTIFS(Garden!$H$8:$H652,$B150,Garden!$M$8:$M652,"&gt;0"),"")</f>
        <v/>
      </c>
      <c r="D150" s="173" t="str">
        <f>IF(ISNUMBER($A150)=TRUE,COUNTIFS(Garden!$H$8:$H652,$B150,Garden!$N$8:$N652,"&gt;0"),"")</f>
        <v/>
      </c>
      <c r="E150" s="173" t="str">
        <f>IF(ISNUMBER($A150)=TRUE,COUNTIFS(Garden!$H$8:$H652,$B150,Garden!$K$8:$K652,"TRUE"),"")</f>
        <v/>
      </c>
      <c r="F150" s="159"/>
      <c r="G150" s="174"/>
      <c r="H150" s="175"/>
      <c r="I150" s="159"/>
      <c r="J150" s="174"/>
      <c r="K150" s="175"/>
      <c r="L150" s="177" t="str">
        <f t="shared" si="1"/>
        <v/>
      </c>
      <c r="M150" s="172"/>
      <c r="N150" s="175"/>
    </row>
    <row r="151">
      <c r="A151" s="182" t="str">
        <f t="shared" si="2"/>
        <v/>
      </c>
      <c r="B151" s="183"/>
      <c r="C151" s="173" t="str">
        <f>IF(ISNUMBER($A151)=TRUE,COUNTIFS(Garden!$H$8:$H652,$B151,Garden!$M$8:$M652,"&gt;0"),"")</f>
        <v/>
      </c>
      <c r="D151" s="173" t="str">
        <f>IF(ISNUMBER($A151)=TRUE,COUNTIFS(Garden!$H$8:$H652,$B151,Garden!$N$8:$N652,"&gt;0"),"")</f>
        <v/>
      </c>
      <c r="E151" s="173" t="str">
        <f>IF(ISNUMBER($A151)=TRUE,COUNTIFS(Garden!$H$8:$H652,$B151,Garden!$K$8:$K652,"TRUE"),"")</f>
        <v/>
      </c>
      <c r="F151" s="159"/>
      <c r="G151" s="184"/>
      <c r="H151" s="185"/>
      <c r="I151" s="159"/>
      <c r="J151" s="184"/>
      <c r="K151" s="185"/>
      <c r="L151" s="186" t="str">
        <f t="shared" si="1"/>
        <v/>
      </c>
      <c r="M151" s="182"/>
      <c r="N151" s="187"/>
    </row>
    <row r="152">
      <c r="A152" s="188"/>
      <c r="B152" s="188"/>
      <c r="C152" s="189"/>
      <c r="D152" s="189"/>
      <c r="E152" s="189"/>
      <c r="F152" s="149"/>
      <c r="G152" s="190"/>
      <c r="H152" s="189"/>
      <c r="I152" s="149"/>
      <c r="J152" s="190"/>
      <c r="K152" s="189"/>
      <c r="L152" s="188"/>
      <c r="M152" s="188"/>
      <c r="N152" s="188"/>
    </row>
    <row r="153">
      <c r="A153" s="188"/>
      <c r="B153" s="188"/>
      <c r="C153" s="189"/>
      <c r="D153" s="189"/>
      <c r="E153" s="189"/>
      <c r="F153" s="149"/>
      <c r="G153" s="190"/>
      <c r="H153" s="189"/>
      <c r="I153" s="149"/>
      <c r="J153" s="190"/>
      <c r="K153" s="189"/>
      <c r="L153" s="188"/>
      <c r="M153" s="188"/>
      <c r="N153" s="188"/>
    </row>
    <row r="154">
      <c r="A154" s="188"/>
      <c r="B154" s="188"/>
      <c r="C154" s="189"/>
      <c r="D154" s="189"/>
      <c r="E154" s="189"/>
      <c r="F154" s="149"/>
      <c r="G154" s="190"/>
      <c r="H154" s="189"/>
      <c r="I154" s="149"/>
      <c r="J154" s="190"/>
      <c r="K154" s="189"/>
      <c r="L154" s="188"/>
      <c r="M154" s="188"/>
      <c r="N154" s="188"/>
    </row>
    <row r="155">
      <c r="A155" s="188"/>
      <c r="B155" s="188"/>
      <c r="C155" s="189"/>
      <c r="D155" s="189"/>
      <c r="E155" s="189"/>
      <c r="F155" s="149"/>
      <c r="G155" s="190"/>
      <c r="H155" s="189"/>
      <c r="I155" s="149"/>
      <c r="J155" s="190"/>
      <c r="K155" s="189"/>
      <c r="L155" s="188"/>
      <c r="M155" s="188"/>
      <c r="N155" s="188"/>
    </row>
    <row r="156">
      <c r="A156" s="188"/>
      <c r="B156" s="188"/>
      <c r="C156" s="189"/>
      <c r="D156" s="189"/>
      <c r="E156" s="189"/>
      <c r="F156" s="149"/>
      <c r="G156" s="190"/>
      <c r="H156" s="189"/>
      <c r="I156" s="149"/>
      <c r="J156" s="190"/>
      <c r="K156" s="189"/>
      <c r="L156" s="188"/>
      <c r="M156" s="188"/>
      <c r="N156" s="188"/>
    </row>
    <row r="157">
      <c r="A157" s="188"/>
      <c r="B157" s="188"/>
      <c r="C157" s="189"/>
      <c r="D157" s="189"/>
      <c r="E157" s="189"/>
      <c r="F157" s="149"/>
      <c r="G157" s="190"/>
      <c r="H157" s="189"/>
      <c r="I157" s="149"/>
      <c r="J157" s="190"/>
      <c r="K157" s="189"/>
      <c r="L157" s="188"/>
      <c r="M157" s="188"/>
      <c r="N157" s="188"/>
    </row>
    <row r="158">
      <c r="A158" s="188"/>
      <c r="B158" s="188"/>
      <c r="C158" s="189"/>
      <c r="D158" s="189"/>
      <c r="E158" s="189"/>
      <c r="F158" s="149"/>
      <c r="G158" s="190"/>
      <c r="H158" s="189"/>
      <c r="I158" s="149"/>
      <c r="J158" s="190"/>
      <c r="K158" s="189"/>
      <c r="L158" s="188"/>
      <c r="M158" s="188"/>
      <c r="N158" s="188"/>
    </row>
    <row r="159">
      <c r="A159" s="188"/>
      <c r="B159" s="188"/>
      <c r="C159" s="189"/>
      <c r="D159" s="189"/>
      <c r="E159" s="189"/>
      <c r="F159" s="149"/>
      <c r="G159" s="190"/>
      <c r="H159" s="189"/>
      <c r="I159" s="149"/>
      <c r="J159" s="190"/>
      <c r="K159" s="189"/>
      <c r="L159" s="188"/>
      <c r="M159" s="188"/>
      <c r="N159" s="188"/>
    </row>
    <row r="160">
      <c r="A160" s="188"/>
      <c r="B160" s="188"/>
      <c r="C160" s="189"/>
      <c r="D160" s="189"/>
      <c r="E160" s="189"/>
      <c r="F160" s="149"/>
      <c r="G160" s="190"/>
      <c r="H160" s="189"/>
      <c r="I160" s="149"/>
      <c r="J160" s="190"/>
      <c r="K160" s="189"/>
      <c r="L160" s="188"/>
      <c r="M160" s="188"/>
      <c r="N160" s="188"/>
    </row>
    <row r="161">
      <c r="A161" s="188"/>
      <c r="B161" s="188"/>
      <c r="C161" s="189"/>
      <c r="D161" s="189"/>
      <c r="E161" s="189"/>
      <c r="F161" s="149"/>
      <c r="G161" s="190"/>
      <c r="H161" s="189"/>
      <c r="I161" s="149"/>
      <c r="J161" s="190"/>
      <c r="K161" s="189"/>
      <c r="L161" s="188"/>
      <c r="M161" s="188"/>
      <c r="N161" s="188"/>
    </row>
    <row r="162">
      <c r="A162" s="188"/>
      <c r="B162" s="188"/>
      <c r="C162" s="189"/>
      <c r="D162" s="189"/>
      <c r="E162" s="189"/>
      <c r="F162" s="149"/>
      <c r="G162" s="190"/>
      <c r="H162" s="189"/>
      <c r="I162" s="149"/>
      <c r="J162" s="190"/>
      <c r="K162" s="189"/>
      <c r="L162" s="188"/>
      <c r="M162" s="188"/>
      <c r="N162" s="188"/>
    </row>
    <row r="163">
      <c r="A163" s="188"/>
      <c r="B163" s="188"/>
      <c r="C163" s="189"/>
      <c r="D163" s="189"/>
      <c r="E163" s="189"/>
      <c r="F163" s="149"/>
      <c r="G163" s="190"/>
      <c r="H163" s="189"/>
      <c r="I163" s="149"/>
      <c r="J163" s="190"/>
      <c r="K163" s="189"/>
      <c r="L163" s="188"/>
      <c r="M163" s="188"/>
      <c r="N163" s="188"/>
    </row>
    <row r="164">
      <c r="A164" s="188"/>
      <c r="B164" s="188"/>
      <c r="C164" s="189"/>
      <c r="D164" s="189"/>
      <c r="E164" s="189"/>
      <c r="F164" s="149"/>
      <c r="G164" s="190"/>
      <c r="H164" s="189"/>
      <c r="I164" s="149"/>
      <c r="J164" s="190"/>
      <c r="K164" s="189"/>
      <c r="L164" s="188"/>
      <c r="M164" s="188"/>
      <c r="N164" s="188"/>
    </row>
    <row r="165">
      <c r="A165" s="188"/>
      <c r="B165" s="188"/>
      <c r="C165" s="189"/>
      <c r="D165" s="189"/>
      <c r="E165" s="189"/>
      <c r="F165" s="149"/>
      <c r="G165" s="190"/>
      <c r="H165" s="189"/>
      <c r="I165" s="149"/>
      <c r="J165" s="190"/>
      <c r="K165" s="189"/>
      <c r="L165" s="188"/>
      <c r="M165" s="188"/>
      <c r="N165" s="188"/>
    </row>
    <row r="166">
      <c r="A166" s="188"/>
      <c r="B166" s="188"/>
      <c r="C166" s="189"/>
      <c r="D166" s="189"/>
      <c r="E166" s="189"/>
      <c r="F166" s="149"/>
      <c r="G166" s="190"/>
      <c r="H166" s="189"/>
      <c r="I166" s="149"/>
      <c r="J166" s="190"/>
      <c r="K166" s="189"/>
      <c r="L166" s="188"/>
      <c r="M166" s="188"/>
      <c r="N166" s="188"/>
    </row>
    <row r="167">
      <c r="A167" s="188"/>
      <c r="B167" s="188"/>
      <c r="C167" s="189"/>
      <c r="D167" s="189"/>
      <c r="E167" s="189"/>
      <c r="F167" s="149"/>
      <c r="G167" s="190"/>
      <c r="H167" s="189"/>
      <c r="I167" s="149"/>
      <c r="J167" s="190"/>
      <c r="K167" s="189"/>
      <c r="L167" s="188"/>
      <c r="M167" s="188"/>
      <c r="N167" s="188"/>
    </row>
    <row r="168">
      <c r="A168" s="188"/>
      <c r="B168" s="188"/>
      <c r="C168" s="189"/>
      <c r="D168" s="189"/>
      <c r="E168" s="189"/>
      <c r="F168" s="149"/>
      <c r="G168" s="190"/>
      <c r="H168" s="189"/>
      <c r="I168" s="149"/>
      <c r="J168" s="190"/>
      <c r="K168" s="189"/>
      <c r="L168" s="188"/>
      <c r="M168" s="188"/>
      <c r="N168" s="188"/>
    </row>
    <row r="169">
      <c r="A169" s="188"/>
      <c r="B169" s="188"/>
      <c r="C169" s="189"/>
      <c r="D169" s="189"/>
      <c r="E169" s="189"/>
      <c r="F169" s="149"/>
      <c r="G169" s="190"/>
      <c r="H169" s="189"/>
      <c r="I169" s="149"/>
      <c r="J169" s="190"/>
      <c r="K169" s="189"/>
      <c r="L169" s="188"/>
      <c r="M169" s="188"/>
      <c r="N169" s="188"/>
    </row>
    <row r="170">
      <c r="A170" s="188"/>
      <c r="B170" s="188"/>
      <c r="C170" s="189"/>
      <c r="D170" s="189"/>
      <c r="E170" s="189"/>
      <c r="F170" s="149"/>
      <c r="G170" s="190"/>
      <c r="H170" s="189"/>
      <c r="I170" s="149"/>
      <c r="J170" s="190"/>
      <c r="K170" s="189"/>
      <c r="L170" s="188"/>
      <c r="M170" s="188"/>
      <c r="N170" s="188"/>
    </row>
    <row r="171">
      <c r="A171" s="188"/>
      <c r="B171" s="188"/>
      <c r="C171" s="189"/>
      <c r="D171" s="189"/>
      <c r="E171" s="189"/>
      <c r="F171" s="149"/>
      <c r="G171" s="190"/>
      <c r="H171" s="189"/>
      <c r="I171" s="149"/>
      <c r="J171" s="190"/>
      <c r="K171" s="189"/>
      <c r="L171" s="188"/>
      <c r="M171" s="188"/>
      <c r="N171" s="188"/>
    </row>
    <row r="172">
      <c r="A172" s="188"/>
      <c r="B172" s="188"/>
      <c r="C172" s="189"/>
      <c r="D172" s="189"/>
      <c r="E172" s="189"/>
      <c r="F172" s="149"/>
      <c r="G172" s="190"/>
      <c r="H172" s="189"/>
      <c r="I172" s="149"/>
      <c r="J172" s="190"/>
      <c r="K172" s="189"/>
      <c r="L172" s="188"/>
      <c r="M172" s="188"/>
      <c r="N172" s="188"/>
    </row>
    <row r="173">
      <c r="A173" s="188"/>
      <c r="B173" s="188"/>
      <c r="C173" s="189"/>
      <c r="D173" s="189"/>
      <c r="E173" s="189"/>
      <c r="F173" s="149"/>
      <c r="G173" s="190"/>
      <c r="H173" s="189"/>
      <c r="I173" s="149"/>
      <c r="J173" s="190"/>
      <c r="K173" s="189"/>
      <c r="L173" s="188"/>
      <c r="M173" s="188"/>
      <c r="N173" s="188"/>
    </row>
    <row r="174">
      <c r="A174" s="188"/>
      <c r="B174" s="188"/>
      <c r="C174" s="189"/>
      <c r="D174" s="189"/>
      <c r="E174" s="189"/>
      <c r="F174" s="149"/>
      <c r="G174" s="190"/>
      <c r="H174" s="189"/>
      <c r="I174" s="149"/>
      <c r="J174" s="190"/>
      <c r="K174" s="189"/>
      <c r="L174" s="188"/>
      <c r="M174" s="188"/>
      <c r="N174" s="188"/>
    </row>
    <row r="175">
      <c r="A175" s="188"/>
      <c r="B175" s="188"/>
      <c r="C175" s="189"/>
      <c r="D175" s="189"/>
      <c r="E175" s="189"/>
      <c r="F175" s="149"/>
      <c r="G175" s="190"/>
      <c r="H175" s="189"/>
      <c r="I175" s="149"/>
      <c r="J175" s="190"/>
      <c r="K175" s="189"/>
      <c r="L175" s="188"/>
      <c r="M175" s="188"/>
      <c r="N175" s="188"/>
    </row>
    <row r="176">
      <c r="A176" s="188"/>
      <c r="B176" s="188"/>
      <c r="C176" s="189"/>
      <c r="D176" s="189"/>
      <c r="E176" s="189"/>
      <c r="F176" s="149"/>
      <c r="G176" s="190"/>
      <c r="H176" s="189"/>
      <c r="I176" s="149"/>
      <c r="J176" s="190"/>
      <c r="K176" s="189"/>
      <c r="L176" s="188"/>
      <c r="M176" s="188"/>
      <c r="N176" s="188"/>
    </row>
    <row r="177">
      <c r="A177" s="188"/>
      <c r="B177" s="188"/>
      <c r="C177" s="189"/>
      <c r="D177" s="189"/>
      <c r="E177" s="189"/>
      <c r="F177" s="149"/>
      <c r="G177" s="190"/>
      <c r="H177" s="189"/>
      <c r="I177" s="149"/>
      <c r="J177" s="190"/>
      <c r="K177" s="189"/>
      <c r="L177" s="188"/>
      <c r="M177" s="188"/>
      <c r="N177" s="188"/>
    </row>
    <row r="178">
      <c r="A178" s="188"/>
      <c r="B178" s="188"/>
      <c r="C178" s="189"/>
      <c r="D178" s="189"/>
      <c r="E178" s="189"/>
      <c r="F178" s="149"/>
      <c r="G178" s="190"/>
      <c r="H178" s="189"/>
      <c r="I178" s="149"/>
      <c r="J178" s="190"/>
      <c r="K178" s="189"/>
      <c r="L178" s="188"/>
      <c r="M178" s="188"/>
      <c r="N178" s="188"/>
    </row>
    <row r="179">
      <c r="A179" s="188"/>
      <c r="B179" s="188"/>
      <c r="C179" s="189"/>
      <c r="D179" s="189"/>
      <c r="E179" s="189"/>
      <c r="F179" s="149"/>
      <c r="G179" s="190"/>
      <c r="H179" s="189"/>
      <c r="I179" s="149"/>
      <c r="J179" s="190"/>
      <c r="K179" s="189"/>
      <c r="L179" s="188"/>
      <c r="M179" s="188"/>
      <c r="N179" s="188"/>
    </row>
    <row r="180">
      <c r="A180" s="188"/>
      <c r="B180" s="188"/>
      <c r="C180" s="189"/>
      <c r="D180" s="189"/>
      <c r="E180" s="189"/>
      <c r="F180" s="149"/>
      <c r="G180" s="190"/>
      <c r="H180" s="189"/>
      <c r="I180" s="149"/>
      <c r="J180" s="190"/>
      <c r="K180" s="189"/>
      <c r="L180" s="188"/>
      <c r="M180" s="188"/>
      <c r="N180" s="188"/>
    </row>
    <row r="181">
      <c r="A181" s="188"/>
      <c r="B181" s="188"/>
      <c r="C181" s="189"/>
      <c r="D181" s="189"/>
      <c r="E181" s="189"/>
      <c r="F181" s="149"/>
      <c r="G181" s="190"/>
      <c r="H181" s="189"/>
      <c r="I181" s="149"/>
      <c r="J181" s="190"/>
      <c r="K181" s="189"/>
      <c r="L181" s="188"/>
      <c r="M181" s="188"/>
      <c r="N181" s="188"/>
    </row>
    <row r="182">
      <c r="A182" s="188"/>
      <c r="B182" s="188"/>
      <c r="C182" s="189"/>
      <c r="D182" s="189"/>
      <c r="E182" s="189"/>
      <c r="F182" s="149"/>
      <c r="G182" s="190"/>
      <c r="H182" s="189"/>
      <c r="I182" s="149"/>
      <c r="J182" s="190"/>
      <c r="K182" s="189"/>
      <c r="L182" s="188"/>
      <c r="M182" s="188"/>
      <c r="N182" s="188"/>
    </row>
    <row r="183">
      <c r="A183" s="188"/>
      <c r="B183" s="188"/>
      <c r="C183" s="189"/>
      <c r="D183" s="189"/>
      <c r="E183" s="189"/>
      <c r="F183" s="149"/>
      <c r="G183" s="190"/>
      <c r="H183" s="189"/>
      <c r="I183" s="149"/>
      <c r="J183" s="190"/>
      <c r="K183" s="189"/>
      <c r="L183" s="188"/>
      <c r="M183" s="188"/>
      <c r="N183" s="188"/>
    </row>
    <row r="184">
      <c r="A184" s="188"/>
      <c r="B184" s="188"/>
      <c r="C184" s="189"/>
      <c r="D184" s="189"/>
      <c r="E184" s="189"/>
      <c r="F184" s="149"/>
      <c r="G184" s="190"/>
      <c r="H184" s="189"/>
      <c r="I184" s="149"/>
      <c r="J184" s="190"/>
      <c r="K184" s="189"/>
      <c r="L184" s="188"/>
      <c r="M184" s="188"/>
      <c r="N184" s="188"/>
    </row>
    <row r="185">
      <c r="A185" s="188"/>
      <c r="B185" s="188"/>
      <c r="C185" s="189"/>
      <c r="D185" s="189"/>
      <c r="E185" s="189"/>
      <c r="F185" s="149"/>
      <c r="G185" s="190"/>
      <c r="H185" s="189"/>
      <c r="I185" s="149"/>
      <c r="J185" s="190"/>
      <c r="K185" s="189"/>
      <c r="L185" s="188"/>
      <c r="M185" s="188"/>
      <c r="N185" s="188"/>
    </row>
    <row r="186">
      <c r="A186" s="188"/>
      <c r="B186" s="188"/>
      <c r="C186" s="189"/>
      <c r="D186" s="189"/>
      <c r="E186" s="189"/>
      <c r="F186" s="149"/>
      <c r="G186" s="190"/>
      <c r="H186" s="189"/>
      <c r="I186" s="149"/>
      <c r="J186" s="190"/>
      <c r="K186" s="189"/>
      <c r="L186" s="188"/>
      <c r="M186" s="188"/>
      <c r="N186" s="188"/>
    </row>
    <row r="187">
      <c r="A187" s="188"/>
      <c r="B187" s="188"/>
      <c r="C187" s="189"/>
      <c r="D187" s="189"/>
      <c r="E187" s="189"/>
      <c r="F187" s="149"/>
      <c r="G187" s="190"/>
      <c r="H187" s="189"/>
      <c r="I187" s="149"/>
      <c r="J187" s="190"/>
      <c r="K187" s="189"/>
      <c r="L187" s="188"/>
      <c r="M187" s="188"/>
      <c r="N187" s="188"/>
    </row>
    <row r="188">
      <c r="A188" s="188"/>
      <c r="B188" s="188"/>
      <c r="C188" s="189"/>
      <c r="D188" s="189"/>
      <c r="E188" s="189"/>
      <c r="F188" s="149"/>
      <c r="G188" s="190"/>
      <c r="H188" s="189"/>
      <c r="I188" s="149"/>
      <c r="J188" s="190"/>
      <c r="K188" s="189"/>
      <c r="L188" s="188"/>
      <c r="M188" s="188"/>
      <c r="N188" s="188"/>
    </row>
    <row r="189">
      <c r="A189" s="188"/>
      <c r="B189" s="188"/>
      <c r="C189" s="189"/>
      <c r="D189" s="189"/>
      <c r="E189" s="189"/>
      <c r="F189" s="149"/>
      <c r="G189" s="190"/>
      <c r="H189" s="189"/>
      <c r="I189" s="149"/>
      <c r="J189" s="190"/>
      <c r="K189" s="189"/>
      <c r="L189" s="188"/>
      <c r="M189" s="188"/>
      <c r="N189" s="188"/>
    </row>
    <row r="190">
      <c r="A190" s="188"/>
      <c r="B190" s="188"/>
      <c r="C190" s="189"/>
      <c r="D190" s="189"/>
      <c r="E190" s="189"/>
      <c r="F190" s="149"/>
      <c r="G190" s="190"/>
      <c r="H190" s="189"/>
      <c r="I190" s="149"/>
      <c r="J190" s="190"/>
      <c r="K190" s="189"/>
      <c r="L190" s="188"/>
      <c r="M190" s="188"/>
      <c r="N190" s="188"/>
    </row>
    <row r="191">
      <c r="A191" s="188"/>
      <c r="B191" s="188"/>
      <c r="C191" s="189"/>
      <c r="D191" s="189"/>
      <c r="E191" s="189"/>
      <c r="F191" s="149"/>
      <c r="G191" s="190"/>
      <c r="H191" s="189"/>
      <c r="I191" s="149"/>
      <c r="J191" s="190"/>
      <c r="K191" s="189"/>
      <c r="L191" s="188"/>
      <c r="M191" s="188"/>
      <c r="N191" s="188"/>
    </row>
    <row r="192">
      <c r="A192" s="188"/>
      <c r="B192" s="188"/>
      <c r="C192" s="189"/>
      <c r="D192" s="189"/>
      <c r="E192" s="189"/>
      <c r="F192" s="149"/>
      <c r="G192" s="190"/>
      <c r="H192" s="189"/>
      <c r="I192" s="149"/>
      <c r="J192" s="190"/>
      <c r="K192" s="189"/>
      <c r="L192" s="188"/>
      <c r="M192" s="188"/>
      <c r="N192" s="188"/>
    </row>
    <row r="193">
      <c r="A193" s="188"/>
      <c r="B193" s="188"/>
      <c r="C193" s="189"/>
      <c r="D193" s="189"/>
      <c r="E193" s="189"/>
      <c r="F193" s="149"/>
      <c r="G193" s="190"/>
      <c r="H193" s="189"/>
      <c r="I193" s="149"/>
      <c r="J193" s="190"/>
      <c r="K193" s="189"/>
      <c r="L193" s="188"/>
      <c r="M193" s="188"/>
      <c r="N193" s="188"/>
    </row>
    <row r="194">
      <c r="A194" s="188"/>
      <c r="B194" s="188"/>
      <c r="C194" s="189"/>
      <c r="D194" s="189"/>
      <c r="E194" s="189"/>
      <c r="F194" s="149"/>
      <c r="G194" s="190"/>
      <c r="H194" s="189"/>
      <c r="I194" s="149"/>
      <c r="J194" s="190"/>
      <c r="K194" s="189"/>
      <c r="L194" s="188"/>
      <c r="M194" s="188"/>
      <c r="N194" s="188"/>
    </row>
    <row r="195">
      <c r="A195" s="188"/>
      <c r="B195" s="188"/>
      <c r="C195" s="189"/>
      <c r="D195" s="189"/>
      <c r="E195" s="189"/>
      <c r="F195" s="149"/>
      <c r="G195" s="190"/>
      <c r="H195" s="189"/>
      <c r="I195" s="149"/>
      <c r="J195" s="190"/>
      <c r="K195" s="189"/>
      <c r="L195" s="188"/>
      <c r="M195" s="188"/>
      <c r="N195" s="188"/>
    </row>
    <row r="196">
      <c r="A196" s="188"/>
      <c r="B196" s="188"/>
      <c r="C196" s="189"/>
      <c r="D196" s="189"/>
      <c r="E196" s="189"/>
      <c r="F196" s="149"/>
      <c r="G196" s="190"/>
      <c r="H196" s="189"/>
      <c r="I196" s="149"/>
      <c r="J196" s="190"/>
      <c r="K196" s="189"/>
      <c r="L196" s="188"/>
      <c r="M196" s="188"/>
      <c r="N196" s="188"/>
    </row>
    <row r="197">
      <c r="A197" s="188"/>
      <c r="B197" s="188"/>
      <c r="C197" s="189"/>
      <c r="D197" s="189"/>
      <c r="E197" s="189"/>
      <c r="F197" s="149"/>
      <c r="G197" s="190"/>
      <c r="H197" s="189"/>
      <c r="I197" s="149"/>
      <c r="J197" s="190"/>
      <c r="K197" s="189"/>
      <c r="L197" s="188"/>
      <c r="M197" s="188"/>
      <c r="N197" s="188"/>
    </row>
    <row r="198">
      <c r="A198" s="188"/>
      <c r="B198" s="188"/>
      <c r="C198" s="189"/>
      <c r="D198" s="189"/>
      <c r="E198" s="189"/>
      <c r="F198" s="149"/>
      <c r="G198" s="190"/>
      <c r="H198" s="189"/>
      <c r="I198" s="149"/>
      <c r="J198" s="190"/>
      <c r="K198" s="189"/>
      <c r="L198" s="188"/>
      <c r="M198" s="188"/>
      <c r="N198" s="188"/>
    </row>
    <row r="199">
      <c r="A199" s="188"/>
      <c r="B199" s="188"/>
      <c r="C199" s="189"/>
      <c r="D199" s="189"/>
      <c r="E199" s="189"/>
      <c r="F199" s="149"/>
      <c r="G199" s="190"/>
      <c r="H199" s="189"/>
      <c r="I199" s="149"/>
      <c r="J199" s="190"/>
      <c r="K199" s="189"/>
      <c r="L199" s="188"/>
      <c r="M199" s="188"/>
      <c r="N199" s="188"/>
    </row>
    <row r="200">
      <c r="A200" s="188"/>
      <c r="B200" s="188"/>
      <c r="C200" s="189"/>
      <c r="D200" s="189"/>
      <c r="E200" s="189"/>
      <c r="F200" s="149"/>
      <c r="G200" s="190"/>
      <c r="H200" s="189"/>
      <c r="I200" s="149"/>
      <c r="J200" s="190"/>
      <c r="K200" s="189"/>
      <c r="L200" s="188"/>
      <c r="M200" s="188"/>
      <c r="N200" s="188"/>
    </row>
    <row r="201">
      <c r="A201" s="188"/>
      <c r="B201" s="188"/>
      <c r="C201" s="189"/>
      <c r="D201" s="189"/>
      <c r="E201" s="189"/>
      <c r="F201" s="149"/>
      <c r="G201" s="190"/>
      <c r="H201" s="189"/>
      <c r="I201" s="149"/>
      <c r="J201" s="190"/>
      <c r="K201" s="189"/>
      <c r="L201" s="188"/>
      <c r="M201" s="188"/>
      <c r="N201" s="188"/>
    </row>
    <row r="202">
      <c r="A202" s="188"/>
      <c r="B202" s="188"/>
      <c r="C202" s="189"/>
      <c r="D202" s="189"/>
      <c r="E202" s="189"/>
      <c r="F202" s="149"/>
      <c r="G202" s="190"/>
      <c r="H202" s="189"/>
      <c r="I202" s="149"/>
      <c r="J202" s="190"/>
      <c r="K202" s="189"/>
      <c r="L202" s="188"/>
      <c r="M202" s="188"/>
      <c r="N202" s="188"/>
    </row>
    <row r="203">
      <c r="A203" s="188"/>
      <c r="B203" s="188"/>
      <c r="C203" s="189"/>
      <c r="D203" s="189"/>
      <c r="E203" s="189"/>
      <c r="F203" s="149"/>
      <c r="G203" s="190"/>
      <c r="H203" s="189"/>
      <c r="I203" s="149"/>
      <c r="J203" s="190"/>
      <c r="K203" s="189"/>
      <c r="L203" s="188"/>
      <c r="M203" s="188"/>
      <c r="N203" s="188"/>
    </row>
    <row r="204">
      <c r="A204" s="188"/>
      <c r="B204" s="188"/>
      <c r="C204" s="189"/>
      <c r="D204" s="189"/>
      <c r="E204" s="189"/>
      <c r="F204" s="149"/>
      <c r="G204" s="190"/>
      <c r="H204" s="189"/>
      <c r="I204" s="149"/>
      <c r="J204" s="190"/>
      <c r="K204" s="189"/>
      <c r="L204" s="188"/>
      <c r="M204" s="188"/>
      <c r="N204" s="188"/>
    </row>
    <row r="205">
      <c r="A205" s="188"/>
      <c r="B205" s="188"/>
      <c r="C205" s="189"/>
      <c r="D205" s="189"/>
      <c r="E205" s="189"/>
      <c r="F205" s="149"/>
      <c r="G205" s="190"/>
      <c r="H205" s="189"/>
      <c r="I205" s="149"/>
      <c r="J205" s="190"/>
      <c r="K205" s="189"/>
      <c r="L205" s="188"/>
      <c r="M205" s="188"/>
      <c r="N205" s="188"/>
    </row>
    <row r="206">
      <c r="A206" s="188"/>
      <c r="B206" s="188"/>
      <c r="C206" s="189"/>
      <c r="D206" s="189"/>
      <c r="E206" s="189"/>
      <c r="F206" s="149"/>
      <c r="G206" s="190"/>
      <c r="H206" s="189"/>
      <c r="I206" s="149"/>
      <c r="J206" s="190"/>
      <c r="K206" s="189"/>
      <c r="L206" s="188"/>
      <c r="M206" s="188"/>
      <c r="N206" s="188"/>
    </row>
    <row r="207">
      <c r="A207" s="188"/>
      <c r="B207" s="188"/>
      <c r="C207" s="189"/>
      <c r="D207" s="189"/>
      <c r="E207" s="189"/>
      <c r="F207" s="149"/>
      <c r="G207" s="190"/>
      <c r="H207" s="189"/>
      <c r="I207" s="149"/>
      <c r="J207" s="190"/>
      <c r="K207" s="189"/>
      <c r="L207" s="188"/>
      <c r="M207" s="188"/>
      <c r="N207" s="188"/>
    </row>
    <row r="208">
      <c r="A208" s="188"/>
      <c r="B208" s="188"/>
      <c r="C208" s="189"/>
      <c r="D208" s="189"/>
      <c r="E208" s="189"/>
      <c r="F208" s="149"/>
      <c r="G208" s="190"/>
      <c r="H208" s="189"/>
      <c r="I208" s="149"/>
      <c r="J208" s="190"/>
      <c r="K208" s="189"/>
      <c r="L208" s="188"/>
      <c r="M208" s="188"/>
      <c r="N208" s="188"/>
    </row>
    <row r="209">
      <c r="A209" s="188"/>
      <c r="B209" s="188"/>
      <c r="C209" s="189"/>
      <c r="D209" s="189"/>
      <c r="E209" s="189"/>
      <c r="F209" s="149"/>
      <c r="G209" s="190"/>
      <c r="H209" s="189"/>
      <c r="I209" s="149"/>
      <c r="J209" s="190"/>
      <c r="K209" s="189"/>
      <c r="L209" s="188"/>
      <c r="M209" s="188"/>
      <c r="N209" s="188"/>
    </row>
    <row r="210">
      <c r="A210" s="188"/>
      <c r="B210" s="188"/>
      <c r="C210" s="189"/>
      <c r="D210" s="189"/>
      <c r="E210" s="189"/>
      <c r="F210" s="149"/>
      <c r="G210" s="190"/>
      <c r="H210" s="189"/>
      <c r="I210" s="149"/>
      <c r="J210" s="190"/>
      <c r="K210" s="189"/>
      <c r="L210" s="188"/>
      <c r="M210" s="188"/>
      <c r="N210" s="188"/>
    </row>
    <row r="211">
      <c r="A211" s="188"/>
      <c r="B211" s="188"/>
      <c r="C211" s="189"/>
      <c r="D211" s="189"/>
      <c r="E211" s="189"/>
      <c r="F211" s="149"/>
      <c r="G211" s="190"/>
      <c r="H211" s="189"/>
      <c r="I211" s="149"/>
      <c r="J211" s="190"/>
      <c r="K211" s="189"/>
      <c r="L211" s="188"/>
      <c r="M211" s="188"/>
      <c r="N211" s="188"/>
    </row>
    <row r="212">
      <c r="A212" s="188"/>
      <c r="B212" s="188"/>
      <c r="C212" s="189"/>
      <c r="D212" s="189"/>
      <c r="E212" s="189"/>
      <c r="F212" s="149"/>
      <c r="G212" s="190"/>
      <c r="H212" s="189"/>
      <c r="I212" s="149"/>
      <c r="J212" s="190"/>
      <c r="K212" s="189"/>
      <c r="L212" s="188"/>
      <c r="M212" s="188"/>
      <c r="N212" s="188"/>
    </row>
    <row r="213">
      <c r="A213" s="188"/>
      <c r="B213" s="188"/>
      <c r="C213" s="189"/>
      <c r="D213" s="189"/>
      <c r="E213" s="189"/>
      <c r="F213" s="149"/>
      <c r="G213" s="190"/>
      <c r="H213" s="189"/>
      <c r="I213" s="149"/>
      <c r="J213" s="190"/>
      <c r="K213" s="189"/>
      <c r="L213" s="188"/>
      <c r="M213" s="188"/>
      <c r="N213" s="188"/>
    </row>
    <row r="214">
      <c r="A214" s="188"/>
      <c r="B214" s="188"/>
      <c r="C214" s="189"/>
      <c r="D214" s="189"/>
      <c r="E214" s="189"/>
      <c r="F214" s="149"/>
      <c r="G214" s="190"/>
      <c r="H214" s="189"/>
      <c r="I214" s="149"/>
      <c r="J214" s="190"/>
      <c r="K214" s="189"/>
      <c r="L214" s="188"/>
      <c r="M214" s="188"/>
      <c r="N214" s="188"/>
    </row>
    <row r="215">
      <c r="A215" s="188"/>
      <c r="B215" s="188"/>
      <c r="C215" s="189"/>
      <c r="D215" s="189"/>
      <c r="E215" s="189"/>
      <c r="F215" s="149"/>
      <c r="G215" s="190"/>
      <c r="H215" s="189"/>
      <c r="I215" s="149"/>
      <c r="J215" s="190"/>
      <c r="K215" s="189"/>
      <c r="L215" s="188"/>
      <c r="M215" s="188"/>
      <c r="N215" s="188"/>
    </row>
    <row r="216">
      <c r="A216" s="188"/>
      <c r="B216" s="188"/>
      <c r="C216" s="189"/>
      <c r="D216" s="189"/>
      <c r="E216" s="189"/>
      <c r="F216" s="149"/>
      <c r="G216" s="190"/>
      <c r="H216" s="189"/>
      <c r="I216" s="149"/>
      <c r="J216" s="190"/>
      <c r="K216" s="189"/>
      <c r="L216" s="188"/>
      <c r="M216" s="188"/>
      <c r="N216" s="188"/>
    </row>
    <row r="217">
      <c r="A217" s="188"/>
      <c r="B217" s="188"/>
      <c r="C217" s="189"/>
      <c r="D217" s="189"/>
      <c r="E217" s="189"/>
      <c r="F217" s="149"/>
      <c r="G217" s="190"/>
      <c r="H217" s="189"/>
      <c r="I217" s="149"/>
      <c r="J217" s="190"/>
      <c r="K217" s="189"/>
      <c r="L217" s="188"/>
      <c r="M217" s="188"/>
      <c r="N217" s="188"/>
    </row>
    <row r="218">
      <c r="A218" s="188"/>
      <c r="B218" s="188"/>
      <c r="C218" s="189"/>
      <c r="D218" s="189"/>
      <c r="E218" s="189"/>
      <c r="F218" s="149"/>
      <c r="G218" s="190"/>
      <c r="H218" s="189"/>
      <c r="I218" s="149"/>
      <c r="J218" s="190"/>
      <c r="K218" s="189"/>
      <c r="L218" s="188"/>
      <c r="M218" s="188"/>
      <c r="N218" s="188"/>
    </row>
    <row r="219">
      <c r="A219" s="188"/>
      <c r="B219" s="188"/>
      <c r="C219" s="189"/>
      <c r="D219" s="189"/>
      <c r="E219" s="189"/>
      <c r="F219" s="149"/>
      <c r="G219" s="190"/>
      <c r="H219" s="189"/>
      <c r="I219" s="149"/>
      <c r="J219" s="190"/>
      <c r="K219" s="189"/>
      <c r="L219" s="188"/>
      <c r="M219" s="188"/>
      <c r="N219" s="188"/>
    </row>
    <row r="220">
      <c r="A220" s="188"/>
      <c r="B220" s="188"/>
      <c r="C220" s="189"/>
      <c r="D220" s="189"/>
      <c r="E220" s="189"/>
      <c r="F220" s="149"/>
      <c r="G220" s="190"/>
      <c r="H220" s="189"/>
      <c r="I220" s="149"/>
      <c r="J220" s="190"/>
      <c r="K220" s="189"/>
      <c r="L220" s="188"/>
      <c r="M220" s="188"/>
      <c r="N220" s="188"/>
    </row>
    <row r="221">
      <c r="A221" s="188"/>
      <c r="B221" s="188"/>
      <c r="C221" s="189"/>
      <c r="D221" s="189"/>
      <c r="E221" s="189"/>
      <c r="F221" s="149"/>
      <c r="G221" s="190"/>
      <c r="H221" s="189"/>
      <c r="I221" s="149"/>
      <c r="J221" s="190"/>
      <c r="K221" s="189"/>
      <c r="L221" s="188"/>
      <c r="M221" s="188"/>
      <c r="N221" s="188"/>
    </row>
    <row r="222">
      <c r="A222" s="188"/>
      <c r="B222" s="188"/>
      <c r="C222" s="189"/>
      <c r="D222" s="189"/>
      <c r="E222" s="189"/>
      <c r="F222" s="149"/>
      <c r="G222" s="190"/>
      <c r="H222" s="189"/>
      <c r="I222" s="149"/>
      <c r="J222" s="190"/>
      <c r="K222" s="189"/>
      <c r="L222" s="188"/>
      <c r="M222" s="188"/>
      <c r="N222" s="188"/>
    </row>
    <row r="223">
      <c r="A223" s="188"/>
      <c r="B223" s="188"/>
      <c r="C223" s="189"/>
      <c r="D223" s="189"/>
      <c r="E223" s="189"/>
      <c r="F223" s="149"/>
      <c r="G223" s="190"/>
      <c r="H223" s="189"/>
      <c r="I223" s="149"/>
      <c r="J223" s="190"/>
      <c r="K223" s="189"/>
      <c r="L223" s="188"/>
      <c r="M223" s="188"/>
      <c r="N223" s="188"/>
    </row>
    <row r="224">
      <c r="A224" s="188"/>
      <c r="B224" s="188"/>
      <c r="C224" s="189"/>
      <c r="D224" s="189"/>
      <c r="E224" s="189"/>
      <c r="F224" s="149"/>
      <c r="G224" s="190"/>
      <c r="H224" s="189"/>
      <c r="I224" s="149"/>
      <c r="J224" s="190"/>
      <c r="K224" s="189"/>
      <c r="L224" s="188"/>
      <c r="M224" s="188"/>
      <c r="N224" s="188"/>
    </row>
    <row r="225">
      <c r="A225" s="188"/>
      <c r="B225" s="188"/>
      <c r="C225" s="189"/>
      <c r="D225" s="189"/>
      <c r="E225" s="189"/>
      <c r="F225" s="149"/>
      <c r="G225" s="190"/>
      <c r="H225" s="189"/>
      <c r="I225" s="149"/>
      <c r="J225" s="190"/>
      <c r="K225" s="189"/>
      <c r="L225" s="188"/>
      <c r="M225" s="188"/>
      <c r="N225" s="188"/>
    </row>
    <row r="226">
      <c r="A226" s="188"/>
      <c r="B226" s="188"/>
      <c r="C226" s="189"/>
      <c r="D226" s="189"/>
      <c r="E226" s="189"/>
      <c r="F226" s="149"/>
      <c r="G226" s="190"/>
      <c r="H226" s="189"/>
      <c r="I226" s="149"/>
      <c r="J226" s="190"/>
      <c r="K226" s="189"/>
      <c r="L226" s="188"/>
      <c r="M226" s="188"/>
      <c r="N226" s="188"/>
    </row>
    <row r="227">
      <c r="A227" s="188"/>
      <c r="B227" s="188"/>
      <c r="C227" s="189"/>
      <c r="D227" s="189"/>
      <c r="E227" s="189"/>
      <c r="F227" s="149"/>
      <c r="G227" s="190"/>
      <c r="H227" s="189"/>
      <c r="I227" s="149"/>
      <c r="J227" s="190"/>
      <c r="K227" s="189"/>
      <c r="L227" s="188"/>
      <c r="M227" s="188"/>
      <c r="N227" s="188"/>
    </row>
    <row r="228">
      <c r="A228" s="188"/>
      <c r="B228" s="188"/>
      <c r="C228" s="189"/>
      <c r="D228" s="189"/>
      <c r="E228" s="189"/>
      <c r="F228" s="149"/>
      <c r="G228" s="190"/>
      <c r="H228" s="189"/>
      <c r="I228" s="149"/>
      <c r="J228" s="190"/>
      <c r="K228" s="189"/>
      <c r="L228" s="188"/>
      <c r="M228" s="188"/>
      <c r="N228" s="188"/>
    </row>
    <row r="229">
      <c r="A229" s="188"/>
      <c r="B229" s="188"/>
      <c r="C229" s="189"/>
      <c r="D229" s="189"/>
      <c r="E229" s="189"/>
      <c r="F229" s="149"/>
      <c r="G229" s="190"/>
      <c r="H229" s="189"/>
      <c r="I229" s="149"/>
      <c r="J229" s="190"/>
      <c r="K229" s="189"/>
      <c r="L229" s="188"/>
      <c r="M229" s="188"/>
      <c r="N229" s="188"/>
    </row>
    <row r="230">
      <c r="A230" s="188"/>
      <c r="B230" s="188"/>
      <c r="C230" s="189"/>
      <c r="D230" s="189"/>
      <c r="E230" s="189"/>
      <c r="F230" s="149"/>
      <c r="G230" s="190"/>
      <c r="H230" s="189"/>
      <c r="I230" s="149"/>
      <c r="J230" s="190"/>
      <c r="K230" s="189"/>
      <c r="L230" s="188"/>
      <c r="M230" s="188"/>
      <c r="N230" s="188"/>
    </row>
    <row r="231">
      <c r="A231" s="188"/>
      <c r="B231" s="188"/>
      <c r="C231" s="189"/>
      <c r="D231" s="189"/>
      <c r="E231" s="189"/>
      <c r="F231" s="149"/>
      <c r="G231" s="190"/>
      <c r="H231" s="189"/>
      <c r="I231" s="149"/>
      <c r="J231" s="190"/>
      <c r="K231" s="189"/>
      <c r="L231" s="188"/>
      <c r="M231" s="188"/>
      <c r="N231" s="188"/>
    </row>
    <row r="232">
      <c r="A232" s="188"/>
      <c r="B232" s="188"/>
      <c r="C232" s="189"/>
      <c r="D232" s="189"/>
      <c r="E232" s="189"/>
      <c r="F232" s="149"/>
      <c r="G232" s="190"/>
      <c r="H232" s="189"/>
      <c r="I232" s="149"/>
      <c r="J232" s="190"/>
      <c r="K232" s="189"/>
      <c r="L232" s="188"/>
      <c r="M232" s="188"/>
      <c r="N232" s="188"/>
    </row>
    <row r="233">
      <c r="A233" s="188"/>
      <c r="B233" s="188"/>
      <c r="C233" s="189"/>
      <c r="D233" s="189"/>
      <c r="E233" s="189"/>
      <c r="F233" s="149"/>
      <c r="G233" s="190"/>
      <c r="H233" s="189"/>
      <c r="I233" s="149"/>
      <c r="J233" s="190"/>
      <c r="K233" s="189"/>
      <c r="L233" s="188"/>
      <c r="M233" s="188"/>
      <c r="N233" s="188"/>
    </row>
    <row r="234">
      <c r="A234" s="188"/>
      <c r="B234" s="188"/>
      <c r="C234" s="189"/>
      <c r="D234" s="189"/>
      <c r="E234" s="189"/>
      <c r="F234" s="149"/>
      <c r="G234" s="190"/>
      <c r="H234" s="189"/>
      <c r="I234" s="149"/>
      <c r="J234" s="190"/>
      <c r="K234" s="189"/>
      <c r="L234" s="188"/>
      <c r="M234" s="188"/>
      <c r="N234" s="188"/>
    </row>
    <row r="235">
      <c r="A235" s="188"/>
      <c r="B235" s="188"/>
      <c r="C235" s="189"/>
      <c r="D235" s="189"/>
      <c r="E235" s="189"/>
      <c r="F235" s="149"/>
      <c r="G235" s="190"/>
      <c r="H235" s="189"/>
      <c r="I235" s="149"/>
      <c r="J235" s="190"/>
      <c r="K235" s="189"/>
      <c r="L235" s="188"/>
      <c r="M235" s="188"/>
      <c r="N235" s="188"/>
    </row>
    <row r="236">
      <c r="A236" s="188"/>
      <c r="B236" s="188"/>
      <c r="C236" s="189"/>
      <c r="D236" s="189"/>
      <c r="E236" s="189"/>
      <c r="F236" s="149"/>
      <c r="G236" s="190"/>
      <c r="H236" s="189"/>
      <c r="I236" s="149"/>
      <c r="J236" s="190"/>
      <c r="K236" s="189"/>
      <c r="L236" s="188"/>
      <c r="M236" s="188"/>
      <c r="N236" s="188"/>
    </row>
    <row r="237">
      <c r="A237" s="188"/>
      <c r="B237" s="188"/>
      <c r="C237" s="189"/>
      <c r="D237" s="189"/>
      <c r="E237" s="189"/>
      <c r="F237" s="149"/>
      <c r="G237" s="190"/>
      <c r="H237" s="189"/>
      <c r="I237" s="149"/>
      <c r="J237" s="190"/>
      <c r="K237" s="189"/>
      <c r="L237" s="188"/>
      <c r="M237" s="188"/>
      <c r="N237" s="188"/>
    </row>
    <row r="238">
      <c r="A238" s="188"/>
      <c r="B238" s="188"/>
      <c r="C238" s="189"/>
      <c r="D238" s="189"/>
      <c r="E238" s="189"/>
      <c r="F238" s="149"/>
      <c r="G238" s="190"/>
      <c r="H238" s="189"/>
      <c r="I238" s="149"/>
      <c r="J238" s="190"/>
      <c r="K238" s="189"/>
      <c r="L238" s="188"/>
      <c r="M238" s="188"/>
      <c r="N238" s="188"/>
    </row>
    <row r="239">
      <c r="A239" s="188"/>
      <c r="B239" s="188"/>
      <c r="C239" s="189"/>
      <c r="D239" s="189"/>
      <c r="E239" s="189"/>
      <c r="F239" s="149"/>
      <c r="G239" s="190"/>
      <c r="H239" s="189"/>
      <c r="I239" s="149"/>
      <c r="J239" s="190"/>
      <c r="K239" s="189"/>
      <c r="L239" s="188"/>
      <c r="M239" s="188"/>
      <c r="N239" s="188"/>
    </row>
    <row r="240">
      <c r="A240" s="188"/>
      <c r="B240" s="188"/>
      <c r="C240" s="189"/>
      <c r="D240" s="189"/>
      <c r="E240" s="189"/>
      <c r="F240" s="149"/>
      <c r="G240" s="190"/>
      <c r="H240" s="189"/>
      <c r="I240" s="149"/>
      <c r="J240" s="190"/>
      <c r="K240" s="189"/>
      <c r="L240" s="188"/>
      <c r="M240" s="188"/>
      <c r="N240" s="188"/>
    </row>
    <row r="241">
      <c r="A241" s="188"/>
      <c r="B241" s="188"/>
      <c r="C241" s="189"/>
      <c r="D241" s="189"/>
      <c r="E241" s="189"/>
      <c r="F241" s="149"/>
      <c r="G241" s="190"/>
      <c r="H241" s="189"/>
      <c r="I241" s="149"/>
      <c r="J241" s="190"/>
      <c r="K241" s="189"/>
      <c r="L241" s="188"/>
      <c r="M241" s="188"/>
      <c r="N241" s="188"/>
    </row>
    <row r="242">
      <c r="A242" s="188"/>
      <c r="B242" s="188"/>
      <c r="C242" s="189"/>
      <c r="D242" s="189"/>
      <c r="E242" s="189"/>
      <c r="F242" s="149"/>
      <c r="G242" s="190"/>
      <c r="H242" s="189"/>
      <c r="I242" s="149"/>
      <c r="J242" s="190"/>
      <c r="K242" s="189"/>
      <c r="L242" s="188"/>
      <c r="M242" s="188"/>
      <c r="N242" s="188"/>
    </row>
    <row r="243">
      <c r="A243" s="188"/>
      <c r="B243" s="188"/>
      <c r="C243" s="189"/>
      <c r="D243" s="189"/>
      <c r="E243" s="189"/>
      <c r="F243" s="149"/>
      <c r="G243" s="190"/>
      <c r="H243" s="189"/>
      <c r="I243" s="149"/>
      <c r="J243" s="190"/>
      <c r="K243" s="189"/>
      <c r="L243" s="188"/>
      <c r="M243" s="188"/>
      <c r="N243" s="188"/>
    </row>
    <row r="244">
      <c r="A244" s="188"/>
      <c r="B244" s="188"/>
      <c r="C244" s="189"/>
      <c r="D244" s="189"/>
      <c r="E244" s="189"/>
      <c r="F244" s="149"/>
      <c r="G244" s="190"/>
      <c r="H244" s="189"/>
      <c r="I244" s="149"/>
      <c r="J244" s="190"/>
      <c r="K244" s="189"/>
      <c r="L244" s="188"/>
      <c r="M244" s="188"/>
      <c r="N244" s="188"/>
    </row>
    <row r="245">
      <c r="A245" s="188"/>
      <c r="B245" s="188"/>
      <c r="C245" s="189"/>
      <c r="D245" s="189"/>
      <c r="E245" s="189"/>
      <c r="F245" s="149"/>
      <c r="G245" s="190"/>
      <c r="H245" s="189"/>
      <c r="I245" s="149"/>
      <c r="J245" s="190"/>
      <c r="K245" s="189"/>
      <c r="L245" s="188"/>
      <c r="M245" s="188"/>
      <c r="N245" s="188"/>
    </row>
    <row r="246">
      <c r="A246" s="188"/>
      <c r="B246" s="188"/>
      <c r="C246" s="189"/>
      <c r="D246" s="189"/>
      <c r="E246" s="189"/>
      <c r="F246" s="149"/>
      <c r="G246" s="190"/>
      <c r="H246" s="189"/>
      <c r="I246" s="149"/>
      <c r="J246" s="190"/>
      <c r="K246" s="189"/>
      <c r="L246" s="188"/>
      <c r="M246" s="188"/>
      <c r="N246" s="188"/>
    </row>
    <row r="247">
      <c r="A247" s="188"/>
      <c r="B247" s="188"/>
      <c r="C247" s="189"/>
      <c r="D247" s="189"/>
      <c r="E247" s="189"/>
      <c r="F247" s="149"/>
      <c r="G247" s="190"/>
      <c r="H247" s="189"/>
      <c r="I247" s="149"/>
      <c r="J247" s="190"/>
      <c r="K247" s="189"/>
      <c r="L247" s="188"/>
      <c r="M247" s="188"/>
      <c r="N247" s="188"/>
    </row>
    <row r="248">
      <c r="A248" s="188"/>
      <c r="B248" s="188"/>
      <c r="C248" s="189"/>
      <c r="D248" s="189"/>
      <c r="E248" s="189"/>
      <c r="F248" s="149"/>
      <c r="G248" s="190"/>
      <c r="H248" s="189"/>
      <c r="I248" s="149"/>
      <c r="J248" s="190"/>
      <c r="K248" s="189"/>
      <c r="L248" s="188"/>
      <c r="M248" s="188"/>
      <c r="N248" s="188"/>
    </row>
    <row r="249">
      <c r="A249" s="188"/>
      <c r="B249" s="188"/>
      <c r="C249" s="189"/>
      <c r="D249" s="189"/>
      <c r="E249" s="189"/>
      <c r="F249" s="149"/>
      <c r="G249" s="190"/>
      <c r="H249" s="189"/>
      <c r="I249" s="149"/>
      <c r="J249" s="190"/>
      <c r="K249" s="189"/>
      <c r="L249" s="188"/>
      <c r="M249" s="188"/>
      <c r="N249" s="188"/>
    </row>
    <row r="250">
      <c r="A250" s="188"/>
      <c r="B250" s="188"/>
      <c r="C250" s="189"/>
      <c r="D250" s="189"/>
      <c r="E250" s="189"/>
      <c r="F250" s="149"/>
      <c r="G250" s="190"/>
      <c r="H250" s="189"/>
      <c r="I250" s="149"/>
      <c r="J250" s="190"/>
      <c r="K250" s="189"/>
      <c r="L250" s="188"/>
      <c r="M250" s="188"/>
      <c r="N250" s="188"/>
    </row>
    <row r="251">
      <c r="A251" s="188"/>
      <c r="B251" s="188"/>
      <c r="C251" s="189"/>
      <c r="D251" s="189"/>
      <c r="E251" s="189"/>
      <c r="F251" s="149"/>
      <c r="G251" s="190"/>
      <c r="H251" s="189"/>
      <c r="I251" s="149"/>
      <c r="J251" s="190"/>
      <c r="K251" s="189"/>
      <c r="L251" s="188"/>
      <c r="M251" s="188"/>
      <c r="N251" s="188"/>
    </row>
    <row r="252">
      <c r="A252" s="188"/>
      <c r="B252" s="188"/>
      <c r="C252" s="189"/>
      <c r="D252" s="189"/>
      <c r="E252" s="189"/>
      <c r="F252" s="149"/>
      <c r="G252" s="190"/>
      <c r="H252" s="189"/>
      <c r="I252" s="149"/>
      <c r="J252" s="190"/>
      <c r="K252" s="189"/>
      <c r="L252" s="188"/>
      <c r="M252" s="188"/>
      <c r="N252" s="188"/>
    </row>
    <row r="253">
      <c r="A253" s="188"/>
      <c r="B253" s="188"/>
      <c r="C253" s="189"/>
      <c r="D253" s="189"/>
      <c r="E253" s="189"/>
      <c r="F253" s="149"/>
      <c r="G253" s="190"/>
      <c r="H253" s="189"/>
      <c r="I253" s="149"/>
      <c r="J253" s="190"/>
      <c r="K253" s="189"/>
      <c r="L253" s="188"/>
      <c r="M253" s="188"/>
      <c r="N253" s="188"/>
    </row>
    <row r="254">
      <c r="A254" s="188"/>
      <c r="B254" s="188"/>
      <c r="C254" s="189"/>
      <c r="D254" s="189"/>
      <c r="E254" s="189"/>
      <c r="F254" s="149"/>
      <c r="G254" s="190"/>
      <c r="H254" s="189"/>
      <c r="I254" s="149"/>
      <c r="J254" s="190"/>
      <c r="K254" s="189"/>
      <c r="L254" s="188"/>
      <c r="M254" s="188"/>
      <c r="N254" s="188"/>
    </row>
    <row r="255">
      <c r="A255" s="188"/>
      <c r="B255" s="188"/>
      <c r="C255" s="189"/>
      <c r="D255" s="189"/>
      <c r="E255" s="189"/>
      <c r="F255" s="149"/>
      <c r="G255" s="190"/>
      <c r="H255" s="189"/>
      <c r="I255" s="149"/>
      <c r="J255" s="190"/>
      <c r="K255" s="189"/>
      <c r="L255" s="188"/>
      <c r="M255" s="188"/>
      <c r="N255" s="188"/>
    </row>
    <row r="256">
      <c r="A256" s="188"/>
      <c r="B256" s="188"/>
      <c r="C256" s="189"/>
      <c r="D256" s="189"/>
      <c r="E256" s="189"/>
      <c r="F256" s="149"/>
      <c r="G256" s="190"/>
      <c r="H256" s="189"/>
      <c r="I256" s="149"/>
      <c r="J256" s="190"/>
      <c r="K256" s="189"/>
      <c r="L256" s="188"/>
      <c r="M256" s="188"/>
      <c r="N256" s="188"/>
    </row>
    <row r="257">
      <c r="A257" s="188"/>
      <c r="B257" s="188"/>
      <c r="C257" s="189"/>
      <c r="D257" s="189"/>
      <c r="E257" s="189"/>
      <c r="F257" s="149"/>
      <c r="G257" s="190"/>
      <c r="H257" s="189"/>
      <c r="I257" s="149"/>
      <c r="J257" s="190"/>
      <c r="K257" s="189"/>
      <c r="L257" s="188"/>
      <c r="M257" s="188"/>
      <c r="N257" s="188"/>
    </row>
    <row r="258">
      <c r="A258" s="188"/>
      <c r="B258" s="188"/>
      <c r="C258" s="189"/>
      <c r="D258" s="189"/>
      <c r="E258" s="189"/>
      <c r="F258" s="149"/>
      <c r="G258" s="190"/>
      <c r="H258" s="189"/>
      <c r="I258" s="149"/>
      <c r="J258" s="190"/>
      <c r="K258" s="189"/>
      <c r="L258" s="188"/>
      <c r="M258" s="188"/>
      <c r="N258" s="188"/>
    </row>
    <row r="259">
      <c r="A259" s="188"/>
      <c r="B259" s="188"/>
      <c r="C259" s="189"/>
      <c r="D259" s="189"/>
      <c r="E259" s="189"/>
      <c r="F259" s="149"/>
      <c r="G259" s="190"/>
      <c r="H259" s="189"/>
      <c r="I259" s="149"/>
      <c r="J259" s="190"/>
      <c r="K259" s="189"/>
      <c r="L259" s="188"/>
      <c r="M259" s="188"/>
      <c r="N259" s="188"/>
    </row>
    <row r="260">
      <c r="A260" s="188"/>
      <c r="B260" s="188"/>
      <c r="C260" s="189"/>
      <c r="D260" s="189"/>
      <c r="E260" s="189"/>
      <c r="F260" s="149"/>
      <c r="G260" s="190"/>
      <c r="H260" s="189"/>
      <c r="I260" s="149"/>
      <c r="J260" s="190"/>
      <c r="K260" s="189"/>
      <c r="L260" s="188"/>
      <c r="M260" s="188"/>
      <c r="N260" s="188"/>
    </row>
    <row r="261">
      <c r="A261" s="188"/>
      <c r="B261" s="188"/>
      <c r="C261" s="189"/>
      <c r="D261" s="189"/>
      <c r="E261" s="189"/>
      <c r="F261" s="149"/>
      <c r="G261" s="190"/>
      <c r="H261" s="189"/>
      <c r="I261" s="149"/>
      <c r="J261" s="190"/>
      <c r="K261" s="189"/>
      <c r="L261" s="188"/>
      <c r="M261" s="188"/>
      <c r="N261" s="188"/>
    </row>
    <row r="262">
      <c r="A262" s="188"/>
      <c r="B262" s="188"/>
      <c r="C262" s="189"/>
      <c r="D262" s="189"/>
      <c r="E262" s="189"/>
      <c r="F262" s="149"/>
      <c r="G262" s="190"/>
      <c r="H262" s="189"/>
      <c r="I262" s="149"/>
      <c r="J262" s="190"/>
      <c r="K262" s="189"/>
      <c r="L262" s="188"/>
      <c r="M262" s="188"/>
      <c r="N262" s="188"/>
    </row>
    <row r="263">
      <c r="A263" s="188"/>
      <c r="B263" s="188"/>
      <c r="C263" s="189"/>
      <c r="D263" s="189"/>
      <c r="E263" s="189"/>
      <c r="F263" s="149"/>
      <c r="G263" s="190"/>
      <c r="H263" s="189"/>
      <c r="I263" s="149"/>
      <c r="J263" s="190"/>
      <c r="K263" s="189"/>
      <c r="L263" s="188"/>
      <c r="M263" s="188"/>
      <c r="N263" s="188"/>
    </row>
    <row r="264">
      <c r="A264" s="188"/>
      <c r="B264" s="188"/>
      <c r="C264" s="189"/>
      <c r="D264" s="189"/>
      <c r="E264" s="189"/>
      <c r="F264" s="149"/>
      <c r="G264" s="190"/>
      <c r="H264" s="189"/>
      <c r="I264" s="149"/>
      <c r="J264" s="190"/>
      <c r="K264" s="189"/>
      <c r="L264" s="188"/>
      <c r="M264" s="188"/>
      <c r="N264" s="188"/>
    </row>
    <row r="265">
      <c r="A265" s="188"/>
      <c r="B265" s="188"/>
      <c r="C265" s="189"/>
      <c r="D265" s="189"/>
      <c r="E265" s="189"/>
      <c r="F265" s="149"/>
      <c r="G265" s="190"/>
      <c r="H265" s="189"/>
      <c r="I265" s="149"/>
      <c r="J265" s="190"/>
      <c r="K265" s="189"/>
      <c r="L265" s="188"/>
      <c r="M265" s="188"/>
      <c r="N265" s="188"/>
    </row>
    <row r="266">
      <c r="A266" s="188"/>
      <c r="B266" s="188"/>
      <c r="C266" s="189"/>
      <c r="D266" s="189"/>
      <c r="E266" s="189"/>
      <c r="F266" s="149"/>
      <c r="G266" s="190"/>
      <c r="H266" s="189"/>
      <c r="I266" s="149"/>
      <c r="J266" s="190"/>
      <c r="K266" s="189"/>
      <c r="L266" s="188"/>
      <c r="M266" s="188"/>
      <c r="N266" s="188"/>
    </row>
    <row r="267">
      <c r="A267" s="188"/>
      <c r="B267" s="188"/>
      <c r="C267" s="189"/>
      <c r="D267" s="189"/>
      <c r="E267" s="189"/>
      <c r="F267" s="149"/>
      <c r="G267" s="190"/>
      <c r="H267" s="189"/>
      <c r="I267" s="149"/>
      <c r="J267" s="190"/>
      <c r="K267" s="189"/>
      <c r="L267" s="188"/>
      <c r="M267" s="188"/>
      <c r="N267" s="188"/>
    </row>
    <row r="268">
      <c r="A268" s="188"/>
      <c r="B268" s="188"/>
      <c r="C268" s="189"/>
      <c r="D268" s="189"/>
      <c r="E268" s="189"/>
      <c r="F268" s="149"/>
      <c r="G268" s="190"/>
      <c r="H268" s="189"/>
      <c r="I268" s="149"/>
      <c r="J268" s="190"/>
      <c r="K268" s="189"/>
      <c r="L268" s="188"/>
      <c r="M268" s="188"/>
      <c r="N268" s="188"/>
    </row>
    <row r="269">
      <c r="A269" s="188"/>
      <c r="B269" s="188"/>
      <c r="C269" s="189"/>
      <c r="D269" s="189"/>
      <c r="E269" s="189"/>
      <c r="F269" s="149"/>
      <c r="G269" s="190"/>
      <c r="H269" s="189"/>
      <c r="I269" s="149"/>
      <c r="J269" s="190"/>
      <c r="K269" s="189"/>
      <c r="L269" s="188"/>
      <c r="M269" s="188"/>
      <c r="N269" s="188"/>
    </row>
    <row r="270">
      <c r="A270" s="188"/>
      <c r="B270" s="188"/>
      <c r="C270" s="189"/>
      <c r="D270" s="189"/>
      <c r="E270" s="189"/>
      <c r="F270" s="149"/>
      <c r="G270" s="190"/>
      <c r="H270" s="189"/>
      <c r="I270" s="149"/>
      <c r="J270" s="190"/>
      <c r="K270" s="189"/>
      <c r="L270" s="188"/>
      <c r="M270" s="188"/>
      <c r="N270" s="188"/>
    </row>
    <row r="271">
      <c r="A271" s="188"/>
      <c r="B271" s="188"/>
      <c r="C271" s="189"/>
      <c r="D271" s="189"/>
      <c r="E271" s="189"/>
      <c r="F271" s="149"/>
      <c r="G271" s="190"/>
      <c r="H271" s="189"/>
      <c r="I271" s="149"/>
      <c r="J271" s="190"/>
      <c r="K271" s="189"/>
      <c r="L271" s="188"/>
      <c r="M271" s="188"/>
      <c r="N271" s="188"/>
    </row>
    <row r="272">
      <c r="A272" s="188"/>
      <c r="B272" s="188"/>
      <c r="C272" s="189"/>
      <c r="D272" s="189"/>
      <c r="E272" s="189"/>
      <c r="F272" s="149"/>
      <c r="G272" s="190"/>
      <c r="H272" s="189"/>
      <c r="I272" s="149"/>
      <c r="J272" s="190"/>
      <c r="K272" s="189"/>
      <c r="L272" s="188"/>
      <c r="M272" s="188"/>
      <c r="N272" s="188"/>
    </row>
    <row r="273">
      <c r="A273" s="188"/>
      <c r="B273" s="188"/>
      <c r="C273" s="189"/>
      <c r="D273" s="189"/>
      <c r="E273" s="189"/>
      <c r="F273" s="149"/>
      <c r="G273" s="190"/>
      <c r="H273" s="189"/>
      <c r="I273" s="149"/>
      <c r="J273" s="190"/>
      <c r="K273" s="189"/>
      <c r="L273" s="188"/>
      <c r="M273" s="188"/>
      <c r="N273" s="188"/>
    </row>
    <row r="274">
      <c r="A274" s="188"/>
      <c r="B274" s="188"/>
      <c r="C274" s="189"/>
      <c r="D274" s="189"/>
      <c r="E274" s="189"/>
      <c r="F274" s="149"/>
      <c r="G274" s="190"/>
      <c r="H274" s="189"/>
      <c r="I274" s="149"/>
      <c r="J274" s="190"/>
      <c r="K274" s="189"/>
      <c r="L274" s="188"/>
      <c r="M274" s="188"/>
      <c r="N274" s="188"/>
    </row>
    <row r="275">
      <c r="A275" s="188"/>
      <c r="B275" s="188"/>
      <c r="C275" s="189"/>
      <c r="D275" s="189"/>
      <c r="E275" s="189"/>
      <c r="F275" s="149"/>
      <c r="G275" s="190"/>
      <c r="H275" s="189"/>
      <c r="I275" s="149"/>
      <c r="J275" s="190"/>
      <c r="K275" s="189"/>
      <c r="L275" s="188"/>
      <c r="M275" s="188"/>
      <c r="N275" s="188"/>
    </row>
    <row r="276">
      <c r="A276" s="188"/>
      <c r="B276" s="188"/>
      <c r="C276" s="189"/>
      <c r="D276" s="189"/>
      <c r="E276" s="189"/>
      <c r="F276" s="149"/>
      <c r="G276" s="190"/>
      <c r="H276" s="189"/>
      <c r="I276" s="149"/>
      <c r="J276" s="190"/>
      <c r="K276" s="189"/>
      <c r="L276" s="188"/>
      <c r="M276" s="188"/>
      <c r="N276" s="188"/>
    </row>
    <row r="277">
      <c r="A277" s="188"/>
      <c r="B277" s="188"/>
      <c r="C277" s="189"/>
      <c r="D277" s="189"/>
      <c r="E277" s="189"/>
      <c r="F277" s="149"/>
      <c r="G277" s="190"/>
      <c r="H277" s="189"/>
      <c r="I277" s="149"/>
      <c r="J277" s="190"/>
      <c r="K277" s="189"/>
      <c r="L277" s="188"/>
      <c r="M277" s="188"/>
      <c r="N277" s="188"/>
    </row>
    <row r="278">
      <c r="A278" s="188"/>
      <c r="B278" s="188"/>
      <c r="C278" s="189"/>
      <c r="D278" s="189"/>
      <c r="E278" s="189"/>
      <c r="F278" s="149"/>
      <c r="G278" s="190"/>
      <c r="H278" s="189"/>
      <c r="I278" s="149"/>
      <c r="J278" s="190"/>
      <c r="K278" s="189"/>
      <c r="L278" s="188"/>
      <c r="M278" s="188"/>
      <c r="N278" s="188"/>
    </row>
    <row r="279">
      <c r="A279" s="188"/>
      <c r="B279" s="188"/>
      <c r="C279" s="189"/>
      <c r="D279" s="189"/>
      <c r="E279" s="189"/>
      <c r="F279" s="149"/>
      <c r="G279" s="190"/>
      <c r="H279" s="189"/>
      <c r="I279" s="149"/>
      <c r="J279" s="190"/>
      <c r="K279" s="189"/>
      <c r="L279" s="188"/>
      <c r="M279" s="188"/>
      <c r="N279" s="188"/>
    </row>
    <row r="280">
      <c r="A280" s="188"/>
      <c r="B280" s="188"/>
      <c r="C280" s="189"/>
      <c r="D280" s="189"/>
      <c r="E280" s="189"/>
      <c r="F280" s="149"/>
      <c r="G280" s="190"/>
      <c r="H280" s="189"/>
      <c r="I280" s="149"/>
      <c r="J280" s="190"/>
      <c r="K280" s="189"/>
      <c r="L280" s="188"/>
      <c r="M280" s="188"/>
      <c r="N280" s="188"/>
    </row>
    <row r="281">
      <c r="A281" s="188"/>
      <c r="B281" s="188"/>
      <c r="C281" s="189"/>
      <c r="D281" s="189"/>
      <c r="E281" s="189"/>
      <c r="F281" s="149"/>
      <c r="G281" s="190"/>
      <c r="H281" s="189"/>
      <c r="I281" s="149"/>
      <c r="J281" s="190"/>
      <c r="K281" s="189"/>
      <c r="L281" s="188"/>
      <c r="M281" s="188"/>
      <c r="N281" s="188"/>
    </row>
    <row r="282">
      <c r="A282" s="188"/>
      <c r="B282" s="188"/>
      <c r="C282" s="189"/>
      <c r="D282" s="189"/>
      <c r="E282" s="189"/>
      <c r="F282" s="149"/>
      <c r="G282" s="190"/>
      <c r="H282" s="189"/>
      <c r="I282" s="149"/>
      <c r="J282" s="190"/>
      <c r="K282" s="189"/>
      <c r="L282" s="188"/>
      <c r="M282" s="188"/>
      <c r="N282" s="188"/>
    </row>
    <row r="283">
      <c r="A283" s="188"/>
      <c r="B283" s="188"/>
      <c r="C283" s="189"/>
      <c r="D283" s="189"/>
      <c r="E283" s="189"/>
      <c r="F283" s="149"/>
      <c r="G283" s="190"/>
      <c r="H283" s="189"/>
      <c r="I283" s="149"/>
      <c r="J283" s="190"/>
      <c r="K283" s="189"/>
      <c r="L283" s="188"/>
      <c r="M283" s="188"/>
      <c r="N283" s="188"/>
    </row>
    <row r="284">
      <c r="A284" s="188"/>
      <c r="B284" s="188"/>
      <c r="C284" s="189"/>
      <c r="D284" s="189"/>
      <c r="E284" s="189"/>
      <c r="F284" s="149"/>
      <c r="G284" s="190"/>
      <c r="H284" s="189"/>
      <c r="I284" s="149"/>
      <c r="J284" s="190"/>
      <c r="K284" s="189"/>
      <c r="L284" s="188"/>
      <c r="M284" s="188"/>
      <c r="N284" s="188"/>
    </row>
    <row r="285">
      <c r="A285" s="188"/>
      <c r="B285" s="188"/>
      <c r="C285" s="189"/>
      <c r="D285" s="189"/>
      <c r="E285" s="189"/>
      <c r="F285" s="149"/>
      <c r="G285" s="190"/>
      <c r="H285" s="189"/>
      <c r="I285" s="149"/>
      <c r="J285" s="190"/>
      <c r="K285" s="189"/>
      <c r="L285" s="188"/>
      <c r="M285" s="188"/>
      <c r="N285" s="188"/>
    </row>
    <row r="286">
      <c r="A286" s="188"/>
      <c r="B286" s="188"/>
      <c r="C286" s="189"/>
      <c r="D286" s="189"/>
      <c r="E286" s="189"/>
      <c r="F286" s="149"/>
      <c r="G286" s="190"/>
      <c r="H286" s="189"/>
      <c r="I286" s="149"/>
      <c r="J286" s="190"/>
      <c r="K286" s="189"/>
      <c r="L286" s="188"/>
      <c r="M286" s="188"/>
      <c r="N286" s="188"/>
    </row>
    <row r="287">
      <c r="A287" s="188"/>
      <c r="B287" s="188"/>
      <c r="C287" s="189"/>
      <c r="D287" s="189"/>
      <c r="E287" s="189"/>
      <c r="F287" s="149"/>
      <c r="G287" s="190"/>
      <c r="H287" s="189"/>
      <c r="I287" s="149"/>
      <c r="J287" s="190"/>
      <c r="K287" s="189"/>
      <c r="L287" s="188"/>
      <c r="M287" s="188"/>
      <c r="N287" s="188"/>
    </row>
    <row r="288">
      <c r="A288" s="188"/>
      <c r="B288" s="188"/>
      <c r="C288" s="189"/>
      <c r="D288" s="189"/>
      <c r="E288" s="189"/>
      <c r="F288" s="149"/>
      <c r="G288" s="190"/>
      <c r="H288" s="189"/>
      <c r="I288" s="149"/>
      <c r="J288" s="190"/>
      <c r="K288" s="189"/>
      <c r="L288" s="188"/>
      <c r="M288" s="188"/>
      <c r="N288" s="188"/>
    </row>
    <row r="289">
      <c r="A289" s="188"/>
      <c r="B289" s="188"/>
      <c r="C289" s="189"/>
      <c r="D289" s="189"/>
      <c r="E289" s="189"/>
      <c r="F289" s="149"/>
      <c r="G289" s="190"/>
      <c r="H289" s="189"/>
      <c r="I289" s="149"/>
      <c r="J289" s="190"/>
      <c r="K289" s="189"/>
      <c r="L289" s="188"/>
      <c r="M289" s="188"/>
      <c r="N289" s="188"/>
    </row>
    <row r="290">
      <c r="A290" s="188"/>
      <c r="B290" s="188"/>
      <c r="C290" s="189"/>
      <c r="D290" s="189"/>
      <c r="E290" s="189"/>
      <c r="F290" s="149"/>
      <c r="G290" s="190"/>
      <c r="H290" s="189"/>
      <c r="I290" s="149"/>
      <c r="J290" s="190"/>
      <c r="K290" s="189"/>
      <c r="L290" s="188"/>
      <c r="M290" s="188"/>
      <c r="N290" s="188"/>
    </row>
    <row r="291">
      <c r="A291" s="188"/>
      <c r="B291" s="188"/>
      <c r="C291" s="189"/>
      <c r="D291" s="189"/>
      <c r="E291" s="189"/>
      <c r="F291" s="149"/>
      <c r="G291" s="190"/>
      <c r="H291" s="189"/>
      <c r="I291" s="149"/>
      <c r="J291" s="190"/>
      <c r="K291" s="189"/>
      <c r="L291" s="188"/>
      <c r="M291" s="188"/>
      <c r="N291" s="188"/>
    </row>
    <row r="292">
      <c r="A292" s="188"/>
      <c r="B292" s="188"/>
      <c r="C292" s="189"/>
      <c r="D292" s="189"/>
      <c r="E292" s="189"/>
      <c r="F292" s="149"/>
      <c r="G292" s="190"/>
      <c r="H292" s="189"/>
      <c r="I292" s="149"/>
      <c r="J292" s="190"/>
      <c r="K292" s="189"/>
      <c r="L292" s="188"/>
      <c r="M292" s="188"/>
      <c r="N292" s="188"/>
    </row>
    <row r="293">
      <c r="A293" s="188"/>
      <c r="B293" s="188"/>
      <c r="C293" s="189"/>
      <c r="D293" s="189"/>
      <c r="E293" s="189"/>
      <c r="F293" s="149"/>
      <c r="G293" s="190"/>
      <c r="H293" s="189"/>
      <c r="I293" s="149"/>
      <c r="J293" s="190"/>
      <c r="K293" s="189"/>
      <c r="L293" s="188"/>
      <c r="M293" s="188"/>
      <c r="N293" s="188"/>
    </row>
    <row r="294">
      <c r="A294" s="188"/>
      <c r="B294" s="188"/>
      <c r="C294" s="189"/>
      <c r="D294" s="189"/>
      <c r="E294" s="189"/>
      <c r="F294" s="149"/>
      <c r="G294" s="190"/>
      <c r="H294" s="189"/>
      <c r="I294" s="149"/>
      <c r="J294" s="190"/>
      <c r="K294" s="189"/>
      <c r="L294" s="188"/>
      <c r="M294" s="188"/>
      <c r="N294" s="188"/>
    </row>
    <row r="295">
      <c r="A295" s="188"/>
      <c r="B295" s="188"/>
      <c r="C295" s="189"/>
      <c r="D295" s="189"/>
      <c r="E295" s="189"/>
      <c r="F295" s="149"/>
      <c r="G295" s="190"/>
      <c r="H295" s="189"/>
      <c r="I295" s="149"/>
      <c r="J295" s="190"/>
      <c r="K295" s="189"/>
      <c r="L295" s="188"/>
      <c r="M295" s="188"/>
      <c r="N295" s="188"/>
    </row>
    <row r="296">
      <c r="A296" s="188"/>
      <c r="B296" s="188"/>
      <c r="C296" s="189"/>
      <c r="D296" s="189"/>
      <c r="E296" s="189"/>
      <c r="F296" s="149"/>
      <c r="G296" s="190"/>
      <c r="H296" s="189"/>
      <c r="I296" s="149"/>
      <c r="J296" s="190"/>
      <c r="K296" s="189"/>
      <c r="L296" s="188"/>
      <c r="M296" s="188"/>
      <c r="N296" s="188"/>
    </row>
    <row r="297">
      <c r="A297" s="188"/>
      <c r="B297" s="188"/>
      <c r="C297" s="189"/>
      <c r="D297" s="189"/>
      <c r="E297" s="189"/>
      <c r="F297" s="149"/>
      <c r="G297" s="190"/>
      <c r="H297" s="189"/>
      <c r="I297" s="149"/>
      <c r="J297" s="190"/>
      <c r="K297" s="189"/>
      <c r="L297" s="188"/>
      <c r="M297" s="188"/>
      <c r="N297" s="188"/>
    </row>
    <row r="298">
      <c r="A298" s="188"/>
      <c r="B298" s="188"/>
      <c r="C298" s="189"/>
      <c r="D298" s="189"/>
      <c r="E298" s="189"/>
      <c r="F298" s="149"/>
      <c r="G298" s="190"/>
      <c r="H298" s="189"/>
      <c r="I298" s="149"/>
      <c r="J298" s="190"/>
      <c r="K298" s="189"/>
      <c r="L298" s="188"/>
      <c r="M298" s="188"/>
      <c r="N298" s="188"/>
    </row>
    <row r="299">
      <c r="A299" s="188"/>
      <c r="B299" s="188"/>
      <c r="C299" s="189"/>
      <c r="D299" s="189"/>
      <c r="E299" s="189"/>
      <c r="F299" s="149"/>
      <c r="G299" s="190"/>
      <c r="H299" s="189"/>
      <c r="I299" s="149"/>
      <c r="J299" s="190"/>
      <c r="K299" s="189"/>
      <c r="L299" s="188"/>
      <c r="M299" s="188"/>
      <c r="N299" s="188"/>
    </row>
    <row r="300">
      <c r="A300" s="188"/>
      <c r="B300" s="188"/>
      <c r="C300" s="189"/>
      <c r="D300" s="189"/>
      <c r="E300" s="189"/>
      <c r="F300" s="149"/>
      <c r="G300" s="190"/>
      <c r="H300" s="189"/>
      <c r="I300" s="149"/>
      <c r="J300" s="190"/>
      <c r="K300" s="189"/>
      <c r="L300" s="188"/>
      <c r="M300" s="188"/>
      <c r="N300" s="188"/>
    </row>
    <row r="301">
      <c r="A301" s="188"/>
      <c r="B301" s="188"/>
      <c r="C301" s="189"/>
      <c r="D301" s="189"/>
      <c r="E301" s="189"/>
      <c r="F301" s="149"/>
      <c r="G301" s="190"/>
      <c r="H301" s="189"/>
      <c r="I301" s="149"/>
      <c r="J301" s="190"/>
      <c r="K301" s="189"/>
      <c r="L301" s="188"/>
      <c r="M301" s="188"/>
      <c r="N301" s="188"/>
    </row>
    <row r="302">
      <c r="A302" s="188"/>
      <c r="B302" s="188"/>
      <c r="C302" s="189"/>
      <c r="D302" s="189"/>
      <c r="E302" s="189"/>
      <c r="F302" s="149"/>
      <c r="G302" s="190"/>
      <c r="H302" s="189"/>
      <c r="I302" s="149"/>
      <c r="J302" s="190"/>
      <c r="K302" s="189"/>
      <c r="L302" s="188"/>
      <c r="M302" s="188"/>
      <c r="N302" s="188"/>
    </row>
    <row r="303">
      <c r="A303" s="188"/>
      <c r="B303" s="188"/>
      <c r="C303" s="189"/>
      <c r="D303" s="189"/>
      <c r="E303" s="189"/>
      <c r="F303" s="149"/>
      <c r="G303" s="190"/>
      <c r="H303" s="189"/>
      <c r="I303" s="149"/>
      <c r="J303" s="190"/>
      <c r="K303" s="189"/>
      <c r="L303" s="188"/>
      <c r="M303" s="188"/>
      <c r="N303" s="188"/>
    </row>
    <row r="304">
      <c r="A304" s="188"/>
      <c r="B304" s="188"/>
      <c r="C304" s="189"/>
      <c r="D304" s="189"/>
      <c r="E304" s="189"/>
      <c r="F304" s="149"/>
      <c r="G304" s="190"/>
      <c r="H304" s="189"/>
      <c r="I304" s="149"/>
      <c r="J304" s="190"/>
      <c r="K304" s="189"/>
      <c r="L304" s="188"/>
      <c r="M304" s="188"/>
      <c r="N304" s="188"/>
    </row>
    <row r="305">
      <c r="A305" s="188"/>
      <c r="B305" s="188"/>
      <c r="C305" s="189"/>
      <c r="D305" s="189"/>
      <c r="E305" s="189"/>
      <c r="F305" s="149"/>
      <c r="G305" s="190"/>
      <c r="H305" s="189"/>
      <c r="I305" s="149"/>
      <c r="J305" s="190"/>
      <c r="K305" s="189"/>
      <c r="L305" s="188"/>
      <c r="M305" s="188"/>
      <c r="N305" s="188"/>
    </row>
    <row r="306">
      <c r="A306" s="188"/>
      <c r="B306" s="188"/>
      <c r="C306" s="189"/>
      <c r="D306" s="189"/>
      <c r="E306" s="189"/>
      <c r="F306" s="149"/>
      <c r="G306" s="190"/>
      <c r="H306" s="189"/>
      <c r="I306" s="149"/>
      <c r="J306" s="190"/>
      <c r="K306" s="189"/>
      <c r="L306" s="188"/>
      <c r="M306" s="188"/>
      <c r="N306" s="188"/>
    </row>
    <row r="307">
      <c r="A307" s="188"/>
      <c r="B307" s="188"/>
      <c r="C307" s="189"/>
      <c r="D307" s="189"/>
      <c r="E307" s="189"/>
      <c r="F307" s="149"/>
      <c r="G307" s="190"/>
      <c r="H307" s="189"/>
      <c r="I307" s="149"/>
      <c r="J307" s="190"/>
      <c r="K307" s="189"/>
      <c r="L307" s="188"/>
      <c r="M307" s="188"/>
      <c r="N307" s="188"/>
    </row>
    <row r="308">
      <c r="A308" s="188"/>
      <c r="B308" s="188"/>
      <c r="C308" s="189"/>
      <c r="D308" s="189"/>
      <c r="E308" s="189"/>
      <c r="F308" s="149"/>
      <c r="G308" s="190"/>
      <c r="H308" s="189"/>
      <c r="I308" s="149"/>
      <c r="J308" s="190"/>
      <c r="K308" s="189"/>
      <c r="L308" s="188"/>
      <c r="M308" s="188"/>
      <c r="N308" s="188"/>
    </row>
    <row r="309">
      <c r="A309" s="188"/>
      <c r="B309" s="188"/>
      <c r="C309" s="189"/>
      <c r="D309" s="189"/>
      <c r="E309" s="189"/>
      <c r="F309" s="149"/>
      <c r="G309" s="190"/>
      <c r="H309" s="189"/>
      <c r="I309" s="149"/>
      <c r="J309" s="190"/>
      <c r="K309" s="189"/>
      <c r="L309" s="188"/>
      <c r="M309" s="188"/>
      <c r="N309" s="188"/>
    </row>
    <row r="310">
      <c r="A310" s="188"/>
      <c r="B310" s="188"/>
      <c r="C310" s="189"/>
      <c r="D310" s="189"/>
      <c r="E310" s="189"/>
      <c r="F310" s="149"/>
      <c r="G310" s="190"/>
      <c r="H310" s="189"/>
      <c r="I310" s="149"/>
      <c r="J310" s="190"/>
      <c r="K310" s="189"/>
      <c r="L310" s="188"/>
      <c r="M310" s="188"/>
      <c r="N310" s="188"/>
    </row>
    <row r="311">
      <c r="A311" s="188"/>
      <c r="B311" s="188"/>
      <c r="C311" s="189"/>
      <c r="D311" s="189"/>
      <c r="E311" s="189"/>
      <c r="F311" s="149"/>
      <c r="G311" s="190"/>
      <c r="H311" s="189"/>
      <c r="I311" s="149"/>
      <c r="J311" s="190"/>
      <c r="K311" s="189"/>
      <c r="L311" s="188"/>
      <c r="M311" s="188"/>
      <c r="N311" s="188"/>
    </row>
    <row r="312">
      <c r="A312" s="188"/>
      <c r="B312" s="188"/>
      <c r="C312" s="189"/>
      <c r="D312" s="189"/>
      <c r="E312" s="189"/>
      <c r="F312" s="149"/>
      <c r="G312" s="190"/>
      <c r="H312" s="189"/>
      <c r="I312" s="149"/>
      <c r="J312" s="190"/>
      <c r="K312" s="189"/>
      <c r="L312" s="188"/>
      <c r="M312" s="188"/>
      <c r="N312" s="188"/>
    </row>
    <row r="313">
      <c r="A313" s="188"/>
      <c r="B313" s="188"/>
      <c r="C313" s="189"/>
      <c r="D313" s="189"/>
      <c r="E313" s="189"/>
      <c r="F313" s="149"/>
      <c r="G313" s="190"/>
      <c r="H313" s="189"/>
      <c r="I313" s="149"/>
      <c r="J313" s="190"/>
      <c r="K313" s="189"/>
      <c r="L313" s="188"/>
      <c r="M313" s="188"/>
      <c r="N313" s="188"/>
    </row>
    <row r="314">
      <c r="A314" s="188"/>
      <c r="B314" s="188"/>
      <c r="C314" s="189"/>
      <c r="D314" s="189"/>
      <c r="E314" s="189"/>
      <c r="F314" s="149"/>
      <c r="G314" s="190"/>
      <c r="H314" s="189"/>
      <c r="I314" s="149"/>
      <c r="J314" s="190"/>
      <c r="K314" s="189"/>
      <c r="L314" s="188"/>
      <c r="M314" s="188"/>
      <c r="N314" s="188"/>
    </row>
    <row r="315">
      <c r="A315" s="188"/>
      <c r="B315" s="188"/>
      <c r="C315" s="189"/>
      <c r="D315" s="189"/>
      <c r="E315" s="189"/>
      <c r="F315" s="149"/>
      <c r="G315" s="190"/>
      <c r="H315" s="189"/>
      <c r="I315" s="149"/>
      <c r="J315" s="190"/>
      <c r="K315" s="189"/>
      <c r="L315" s="188"/>
      <c r="M315" s="188"/>
      <c r="N315" s="188"/>
    </row>
    <row r="316">
      <c r="A316" s="188"/>
      <c r="B316" s="188"/>
      <c r="C316" s="189"/>
      <c r="D316" s="189"/>
      <c r="E316" s="189"/>
      <c r="F316" s="149"/>
      <c r="G316" s="190"/>
      <c r="H316" s="189"/>
      <c r="I316" s="149"/>
      <c r="J316" s="190"/>
      <c r="K316" s="189"/>
      <c r="L316" s="188"/>
      <c r="M316" s="188"/>
      <c r="N316" s="188"/>
    </row>
    <row r="317">
      <c r="A317" s="188"/>
      <c r="B317" s="188"/>
      <c r="C317" s="189"/>
      <c r="D317" s="189"/>
      <c r="E317" s="189"/>
      <c r="F317" s="149"/>
      <c r="G317" s="190"/>
      <c r="H317" s="189"/>
      <c r="I317" s="149"/>
      <c r="J317" s="190"/>
      <c r="K317" s="189"/>
      <c r="L317" s="188"/>
      <c r="M317" s="188"/>
      <c r="N317" s="188"/>
    </row>
    <row r="318">
      <c r="A318" s="188"/>
      <c r="B318" s="188"/>
      <c r="C318" s="189"/>
      <c r="D318" s="189"/>
      <c r="E318" s="189"/>
      <c r="F318" s="149"/>
      <c r="G318" s="190"/>
      <c r="H318" s="189"/>
      <c r="I318" s="149"/>
      <c r="J318" s="190"/>
      <c r="K318" s="189"/>
      <c r="L318" s="188"/>
      <c r="M318" s="188"/>
      <c r="N318" s="188"/>
    </row>
    <row r="319">
      <c r="A319" s="188"/>
      <c r="B319" s="188"/>
      <c r="C319" s="189"/>
      <c r="D319" s="189"/>
      <c r="E319" s="189"/>
      <c r="F319" s="149"/>
      <c r="G319" s="190"/>
      <c r="H319" s="189"/>
      <c r="I319" s="149"/>
      <c r="J319" s="190"/>
      <c r="K319" s="189"/>
      <c r="L319" s="188"/>
      <c r="M319" s="188"/>
      <c r="N319" s="188"/>
    </row>
    <row r="320">
      <c r="A320" s="188"/>
      <c r="B320" s="188"/>
      <c r="C320" s="189"/>
      <c r="D320" s="189"/>
      <c r="E320" s="189"/>
      <c r="F320" s="149"/>
      <c r="G320" s="190"/>
      <c r="H320" s="189"/>
      <c r="I320" s="149"/>
      <c r="J320" s="190"/>
      <c r="K320" s="189"/>
      <c r="L320" s="188"/>
      <c r="M320" s="188"/>
      <c r="N320" s="188"/>
    </row>
    <row r="321">
      <c r="A321" s="188"/>
      <c r="B321" s="188"/>
      <c r="C321" s="189"/>
      <c r="D321" s="189"/>
      <c r="E321" s="189"/>
      <c r="F321" s="149"/>
      <c r="G321" s="190"/>
      <c r="H321" s="189"/>
      <c r="I321" s="149"/>
      <c r="J321" s="190"/>
      <c r="K321" s="189"/>
      <c r="L321" s="188"/>
      <c r="M321" s="188"/>
      <c r="N321" s="188"/>
    </row>
    <row r="322">
      <c r="A322" s="188"/>
      <c r="B322" s="188"/>
      <c r="C322" s="189"/>
      <c r="D322" s="189"/>
      <c r="E322" s="189"/>
      <c r="F322" s="149"/>
      <c r="G322" s="190"/>
      <c r="H322" s="189"/>
      <c r="I322" s="149"/>
      <c r="J322" s="190"/>
      <c r="K322" s="189"/>
      <c r="L322" s="188"/>
      <c r="M322" s="188"/>
      <c r="N322" s="188"/>
    </row>
    <row r="323">
      <c r="A323" s="188"/>
      <c r="B323" s="188"/>
      <c r="C323" s="189"/>
      <c r="D323" s="189"/>
      <c r="E323" s="189"/>
      <c r="F323" s="149"/>
      <c r="G323" s="190"/>
      <c r="H323" s="189"/>
      <c r="I323" s="149"/>
      <c r="J323" s="190"/>
      <c r="K323" s="189"/>
      <c r="L323" s="188"/>
      <c r="M323" s="188"/>
      <c r="N323" s="188"/>
    </row>
    <row r="324">
      <c r="A324" s="188"/>
      <c r="B324" s="188"/>
      <c r="C324" s="189"/>
      <c r="D324" s="189"/>
      <c r="E324" s="189"/>
      <c r="F324" s="149"/>
      <c r="G324" s="190"/>
      <c r="H324" s="189"/>
      <c r="I324" s="149"/>
      <c r="J324" s="190"/>
      <c r="K324" s="189"/>
      <c r="L324" s="188"/>
      <c r="M324" s="188"/>
      <c r="N324" s="188"/>
    </row>
    <row r="325">
      <c r="A325" s="188"/>
      <c r="B325" s="188"/>
      <c r="C325" s="189"/>
      <c r="D325" s="189"/>
      <c r="E325" s="189"/>
      <c r="F325" s="149"/>
      <c r="G325" s="190"/>
      <c r="H325" s="189"/>
      <c r="I325" s="149"/>
      <c r="J325" s="190"/>
      <c r="K325" s="189"/>
      <c r="L325" s="188"/>
      <c r="M325" s="188"/>
      <c r="N325" s="188"/>
    </row>
    <row r="326">
      <c r="A326" s="188"/>
      <c r="B326" s="188"/>
      <c r="C326" s="189"/>
      <c r="D326" s="189"/>
      <c r="E326" s="189"/>
      <c r="F326" s="149"/>
      <c r="G326" s="190"/>
      <c r="H326" s="189"/>
      <c r="I326" s="149"/>
      <c r="J326" s="190"/>
      <c r="K326" s="189"/>
      <c r="L326" s="188"/>
      <c r="M326" s="188"/>
      <c r="N326" s="188"/>
    </row>
    <row r="327">
      <c r="A327" s="188"/>
      <c r="B327" s="188"/>
      <c r="C327" s="189"/>
      <c r="D327" s="189"/>
      <c r="E327" s="189"/>
      <c r="F327" s="149"/>
      <c r="G327" s="190"/>
      <c r="H327" s="189"/>
      <c r="I327" s="149"/>
      <c r="J327" s="190"/>
      <c r="K327" s="189"/>
      <c r="L327" s="188"/>
      <c r="M327" s="188"/>
      <c r="N327" s="188"/>
    </row>
    <row r="328">
      <c r="A328" s="188"/>
      <c r="B328" s="188"/>
      <c r="C328" s="189"/>
      <c r="D328" s="189"/>
      <c r="E328" s="189"/>
      <c r="F328" s="149"/>
      <c r="G328" s="190"/>
      <c r="H328" s="189"/>
      <c r="I328" s="149"/>
      <c r="J328" s="190"/>
      <c r="K328" s="189"/>
      <c r="L328" s="188"/>
      <c r="M328" s="188"/>
      <c r="N328" s="188"/>
    </row>
    <row r="329">
      <c r="A329" s="188"/>
      <c r="B329" s="188"/>
      <c r="C329" s="189"/>
      <c r="D329" s="189"/>
      <c r="E329" s="189"/>
      <c r="F329" s="149"/>
      <c r="G329" s="190"/>
      <c r="H329" s="189"/>
      <c r="I329" s="149"/>
      <c r="J329" s="190"/>
      <c r="K329" s="189"/>
      <c r="L329" s="188"/>
      <c r="M329" s="188"/>
      <c r="N329" s="188"/>
    </row>
    <row r="330">
      <c r="A330" s="188"/>
      <c r="B330" s="188"/>
      <c r="C330" s="189"/>
      <c r="D330" s="189"/>
      <c r="E330" s="189"/>
      <c r="F330" s="149"/>
      <c r="G330" s="190"/>
      <c r="H330" s="189"/>
      <c r="I330" s="149"/>
      <c r="J330" s="190"/>
      <c r="K330" s="189"/>
      <c r="L330" s="188"/>
      <c r="M330" s="188"/>
      <c r="N330" s="188"/>
    </row>
    <row r="331">
      <c r="A331" s="188"/>
      <c r="B331" s="188"/>
      <c r="C331" s="189"/>
      <c r="D331" s="189"/>
      <c r="E331" s="189"/>
      <c r="F331" s="149"/>
      <c r="G331" s="190"/>
      <c r="H331" s="189"/>
      <c r="I331" s="149"/>
      <c r="J331" s="190"/>
      <c r="K331" s="189"/>
      <c r="L331" s="188"/>
      <c r="M331" s="188"/>
      <c r="N331" s="188"/>
    </row>
    <row r="332">
      <c r="A332" s="188"/>
      <c r="B332" s="188"/>
      <c r="C332" s="189"/>
      <c r="D332" s="189"/>
      <c r="E332" s="189"/>
      <c r="F332" s="149"/>
      <c r="G332" s="190"/>
      <c r="H332" s="189"/>
      <c r="I332" s="149"/>
      <c r="J332" s="190"/>
      <c r="K332" s="189"/>
      <c r="L332" s="188"/>
      <c r="M332" s="188"/>
      <c r="N332" s="188"/>
    </row>
    <row r="333">
      <c r="A333" s="188"/>
      <c r="B333" s="188"/>
      <c r="C333" s="189"/>
      <c r="D333" s="189"/>
      <c r="E333" s="189"/>
      <c r="F333" s="149"/>
      <c r="G333" s="190"/>
      <c r="H333" s="189"/>
      <c r="I333" s="149"/>
      <c r="J333" s="190"/>
      <c r="K333" s="189"/>
      <c r="L333" s="188"/>
      <c r="M333" s="188"/>
      <c r="N333" s="188"/>
    </row>
    <row r="334">
      <c r="A334" s="188"/>
      <c r="B334" s="188"/>
      <c r="C334" s="189"/>
      <c r="D334" s="189"/>
      <c r="E334" s="189"/>
      <c r="F334" s="149"/>
      <c r="G334" s="190"/>
      <c r="H334" s="189"/>
      <c r="I334" s="149"/>
      <c r="J334" s="190"/>
      <c r="K334" s="189"/>
      <c r="L334" s="188"/>
      <c r="M334" s="188"/>
      <c r="N334" s="188"/>
    </row>
    <row r="335">
      <c r="A335" s="188"/>
      <c r="B335" s="188"/>
      <c r="C335" s="189"/>
      <c r="D335" s="189"/>
      <c r="E335" s="189"/>
      <c r="F335" s="149"/>
      <c r="G335" s="190"/>
      <c r="H335" s="189"/>
      <c r="I335" s="149"/>
      <c r="J335" s="190"/>
      <c r="K335" s="189"/>
      <c r="L335" s="188"/>
      <c r="M335" s="188"/>
      <c r="N335" s="188"/>
    </row>
    <row r="336">
      <c r="A336" s="188"/>
      <c r="B336" s="188"/>
      <c r="C336" s="189"/>
      <c r="D336" s="189"/>
      <c r="E336" s="189"/>
      <c r="F336" s="149"/>
      <c r="G336" s="190"/>
      <c r="H336" s="189"/>
      <c r="I336" s="149"/>
      <c r="J336" s="190"/>
      <c r="K336" s="189"/>
      <c r="L336" s="188"/>
      <c r="M336" s="188"/>
      <c r="N336" s="188"/>
    </row>
    <row r="337">
      <c r="A337" s="188"/>
      <c r="B337" s="188"/>
      <c r="C337" s="189"/>
      <c r="D337" s="189"/>
      <c r="E337" s="189"/>
      <c r="F337" s="149"/>
      <c r="G337" s="190"/>
      <c r="H337" s="189"/>
      <c r="I337" s="149"/>
      <c r="J337" s="190"/>
      <c r="K337" s="189"/>
      <c r="L337" s="188"/>
      <c r="M337" s="188"/>
      <c r="N337" s="188"/>
    </row>
    <row r="338">
      <c r="A338" s="188"/>
      <c r="B338" s="188"/>
      <c r="C338" s="189"/>
      <c r="D338" s="189"/>
      <c r="E338" s="189"/>
      <c r="F338" s="149"/>
      <c r="G338" s="190"/>
      <c r="H338" s="189"/>
      <c r="I338" s="149"/>
      <c r="J338" s="190"/>
      <c r="K338" s="189"/>
      <c r="L338" s="188"/>
      <c r="M338" s="188"/>
      <c r="N338" s="188"/>
    </row>
    <row r="339">
      <c r="A339" s="188"/>
      <c r="B339" s="188"/>
      <c r="C339" s="189"/>
      <c r="D339" s="189"/>
      <c r="E339" s="189"/>
      <c r="F339" s="149"/>
      <c r="G339" s="190"/>
      <c r="H339" s="189"/>
      <c r="I339" s="149"/>
      <c r="J339" s="190"/>
      <c r="K339" s="189"/>
      <c r="L339" s="188"/>
      <c r="M339" s="188"/>
      <c r="N339" s="188"/>
    </row>
    <row r="340">
      <c r="A340" s="188"/>
      <c r="B340" s="188"/>
      <c r="C340" s="189"/>
      <c r="D340" s="189"/>
      <c r="E340" s="189"/>
      <c r="F340" s="149"/>
      <c r="G340" s="190"/>
      <c r="H340" s="189"/>
      <c r="I340" s="149"/>
      <c r="J340" s="190"/>
      <c r="K340" s="189"/>
      <c r="L340" s="188"/>
      <c r="M340" s="188"/>
      <c r="N340" s="188"/>
    </row>
    <row r="341">
      <c r="A341" s="188"/>
      <c r="B341" s="188"/>
      <c r="C341" s="189"/>
      <c r="D341" s="189"/>
      <c r="E341" s="189"/>
      <c r="F341" s="149"/>
      <c r="G341" s="190"/>
      <c r="H341" s="189"/>
      <c r="I341" s="149"/>
      <c r="J341" s="190"/>
      <c r="K341" s="189"/>
      <c r="L341" s="188"/>
      <c r="M341" s="188"/>
      <c r="N341" s="188"/>
    </row>
    <row r="342">
      <c r="A342" s="188"/>
      <c r="B342" s="188"/>
      <c r="C342" s="189"/>
      <c r="D342" s="189"/>
      <c r="E342" s="189"/>
      <c r="F342" s="149"/>
      <c r="G342" s="190"/>
      <c r="H342" s="189"/>
      <c r="I342" s="149"/>
      <c r="J342" s="190"/>
      <c r="K342" s="189"/>
      <c r="L342" s="188"/>
      <c r="M342" s="188"/>
      <c r="N342" s="188"/>
    </row>
    <row r="343">
      <c r="A343" s="188"/>
      <c r="B343" s="188"/>
      <c r="C343" s="189"/>
      <c r="D343" s="189"/>
      <c r="E343" s="189"/>
      <c r="F343" s="149"/>
      <c r="G343" s="190"/>
      <c r="H343" s="189"/>
      <c r="I343" s="149"/>
      <c r="J343" s="190"/>
      <c r="K343" s="189"/>
      <c r="L343" s="188"/>
      <c r="M343" s="188"/>
      <c r="N343" s="188"/>
    </row>
    <row r="344">
      <c r="A344" s="188"/>
      <c r="B344" s="188"/>
      <c r="C344" s="189"/>
      <c r="D344" s="189"/>
      <c r="E344" s="189"/>
      <c r="F344" s="149"/>
      <c r="G344" s="190"/>
      <c r="H344" s="189"/>
      <c r="I344" s="149"/>
      <c r="J344" s="190"/>
      <c r="K344" s="189"/>
      <c r="L344" s="188"/>
      <c r="M344" s="188"/>
      <c r="N344" s="188"/>
    </row>
    <row r="345">
      <c r="A345" s="188"/>
      <c r="B345" s="188"/>
      <c r="C345" s="189"/>
      <c r="D345" s="189"/>
      <c r="E345" s="189"/>
      <c r="F345" s="149"/>
      <c r="G345" s="190"/>
      <c r="H345" s="189"/>
      <c r="I345" s="149"/>
      <c r="J345" s="190"/>
      <c r="K345" s="189"/>
      <c r="L345" s="188"/>
      <c r="M345" s="188"/>
      <c r="N345" s="188"/>
    </row>
    <row r="346">
      <c r="A346" s="188"/>
      <c r="B346" s="188"/>
      <c r="C346" s="189"/>
      <c r="D346" s="189"/>
      <c r="E346" s="189"/>
      <c r="F346" s="149"/>
      <c r="G346" s="190"/>
      <c r="H346" s="189"/>
      <c r="I346" s="149"/>
      <c r="J346" s="190"/>
      <c r="K346" s="189"/>
      <c r="L346" s="188"/>
      <c r="M346" s="188"/>
      <c r="N346" s="188"/>
    </row>
    <row r="347">
      <c r="A347" s="188"/>
      <c r="B347" s="188"/>
      <c r="C347" s="189"/>
      <c r="D347" s="189"/>
      <c r="E347" s="189"/>
      <c r="F347" s="149"/>
      <c r="G347" s="190"/>
      <c r="H347" s="189"/>
      <c r="I347" s="149"/>
      <c r="J347" s="190"/>
      <c r="K347" s="189"/>
      <c r="L347" s="188"/>
      <c r="M347" s="188"/>
      <c r="N347" s="188"/>
    </row>
    <row r="348">
      <c r="A348" s="188"/>
      <c r="B348" s="188"/>
      <c r="C348" s="189"/>
      <c r="D348" s="189"/>
      <c r="E348" s="189"/>
      <c r="F348" s="149"/>
      <c r="G348" s="190"/>
      <c r="H348" s="189"/>
      <c r="I348" s="149"/>
      <c r="J348" s="190"/>
      <c r="K348" s="189"/>
      <c r="L348" s="188"/>
      <c r="M348" s="188"/>
      <c r="N348" s="188"/>
    </row>
    <row r="349">
      <c r="A349" s="188"/>
      <c r="B349" s="188"/>
      <c r="C349" s="189"/>
      <c r="D349" s="189"/>
      <c r="E349" s="189"/>
      <c r="F349" s="149"/>
      <c r="G349" s="190"/>
      <c r="H349" s="189"/>
      <c r="I349" s="149"/>
      <c r="J349" s="190"/>
      <c r="K349" s="189"/>
      <c r="L349" s="188"/>
      <c r="M349" s="188"/>
      <c r="N349" s="188"/>
    </row>
    <row r="350">
      <c r="A350" s="188"/>
      <c r="B350" s="188"/>
      <c r="C350" s="189"/>
      <c r="D350" s="189"/>
      <c r="E350" s="189"/>
      <c r="F350" s="149"/>
      <c r="G350" s="190"/>
      <c r="H350" s="189"/>
      <c r="I350" s="149"/>
      <c r="J350" s="190"/>
      <c r="K350" s="189"/>
      <c r="L350" s="188"/>
      <c r="M350" s="188"/>
      <c r="N350" s="188"/>
    </row>
    <row r="351">
      <c r="A351" s="188"/>
      <c r="B351" s="188"/>
      <c r="C351" s="189"/>
      <c r="D351" s="189"/>
      <c r="E351" s="189"/>
      <c r="F351" s="149"/>
      <c r="G351" s="190"/>
      <c r="H351" s="189"/>
      <c r="I351" s="149"/>
      <c r="J351" s="190"/>
      <c r="K351" s="189"/>
      <c r="L351" s="188"/>
      <c r="M351" s="188"/>
      <c r="N351" s="188"/>
    </row>
    <row r="352">
      <c r="A352" s="188"/>
      <c r="B352" s="188"/>
      <c r="C352" s="189"/>
      <c r="D352" s="189"/>
      <c r="E352" s="189"/>
      <c r="F352" s="149"/>
      <c r="G352" s="190"/>
      <c r="H352" s="189"/>
      <c r="I352" s="149"/>
      <c r="J352" s="190"/>
      <c r="K352" s="189"/>
      <c r="L352" s="188"/>
      <c r="M352" s="188"/>
      <c r="N352" s="188"/>
    </row>
    <row r="353">
      <c r="A353" s="188"/>
      <c r="B353" s="188"/>
      <c r="C353" s="189"/>
      <c r="D353" s="189"/>
      <c r="E353" s="189"/>
      <c r="F353" s="149"/>
      <c r="G353" s="190"/>
      <c r="H353" s="189"/>
      <c r="I353" s="149"/>
      <c r="J353" s="190"/>
      <c r="K353" s="189"/>
      <c r="L353" s="188"/>
      <c r="M353" s="188"/>
      <c r="N353" s="188"/>
    </row>
    <row r="354">
      <c r="A354" s="188"/>
      <c r="B354" s="188"/>
      <c r="C354" s="189"/>
      <c r="D354" s="189"/>
      <c r="E354" s="189"/>
      <c r="F354" s="149"/>
      <c r="G354" s="190"/>
      <c r="H354" s="189"/>
      <c r="I354" s="149"/>
      <c r="J354" s="190"/>
      <c r="K354" s="189"/>
      <c r="L354" s="188"/>
      <c r="M354" s="188"/>
      <c r="N354" s="188"/>
    </row>
    <row r="355">
      <c r="A355" s="188"/>
      <c r="B355" s="188"/>
      <c r="C355" s="189"/>
      <c r="D355" s="189"/>
      <c r="E355" s="189"/>
      <c r="F355" s="149"/>
      <c r="G355" s="190"/>
      <c r="H355" s="189"/>
      <c r="I355" s="149"/>
      <c r="J355" s="190"/>
      <c r="K355" s="189"/>
      <c r="L355" s="188"/>
      <c r="M355" s="188"/>
      <c r="N355" s="188"/>
    </row>
    <row r="356">
      <c r="A356" s="188"/>
      <c r="B356" s="188"/>
      <c r="C356" s="189"/>
      <c r="D356" s="189"/>
      <c r="E356" s="189"/>
      <c r="F356" s="149"/>
      <c r="G356" s="190"/>
      <c r="H356" s="189"/>
      <c r="I356" s="149"/>
      <c r="J356" s="190"/>
      <c r="K356" s="189"/>
      <c r="L356" s="188"/>
      <c r="M356" s="188"/>
      <c r="N356" s="188"/>
    </row>
    <row r="357">
      <c r="A357" s="188"/>
      <c r="B357" s="188"/>
      <c r="C357" s="189"/>
      <c r="D357" s="189"/>
      <c r="E357" s="189"/>
      <c r="F357" s="149"/>
      <c r="G357" s="190"/>
      <c r="H357" s="189"/>
      <c r="I357" s="149"/>
      <c r="J357" s="190"/>
      <c r="K357" s="189"/>
      <c r="L357" s="188"/>
      <c r="M357" s="188"/>
      <c r="N357" s="188"/>
    </row>
    <row r="358">
      <c r="A358" s="188"/>
      <c r="B358" s="188"/>
      <c r="C358" s="189"/>
      <c r="D358" s="189"/>
      <c r="E358" s="189"/>
      <c r="F358" s="149"/>
      <c r="G358" s="190"/>
      <c r="H358" s="189"/>
      <c r="I358" s="149"/>
      <c r="J358" s="190"/>
      <c r="K358" s="189"/>
      <c r="L358" s="188"/>
      <c r="M358" s="188"/>
      <c r="N358" s="188"/>
    </row>
    <row r="359">
      <c r="A359" s="188"/>
      <c r="B359" s="188"/>
      <c r="C359" s="189"/>
      <c r="D359" s="189"/>
      <c r="E359" s="189"/>
      <c r="F359" s="149"/>
      <c r="G359" s="190"/>
      <c r="H359" s="189"/>
      <c r="I359" s="149"/>
      <c r="J359" s="190"/>
      <c r="K359" s="189"/>
      <c r="L359" s="188"/>
      <c r="M359" s="188"/>
      <c r="N359" s="188"/>
    </row>
    <row r="360">
      <c r="A360" s="188"/>
      <c r="B360" s="188"/>
      <c r="C360" s="189"/>
      <c r="D360" s="189"/>
      <c r="E360" s="189"/>
      <c r="F360" s="149"/>
      <c r="G360" s="190"/>
      <c r="H360" s="189"/>
      <c r="I360" s="149"/>
      <c r="J360" s="190"/>
      <c r="K360" s="189"/>
      <c r="L360" s="188"/>
      <c r="M360" s="188"/>
      <c r="N360" s="188"/>
    </row>
    <row r="361">
      <c r="A361" s="188"/>
      <c r="B361" s="188"/>
      <c r="C361" s="189"/>
      <c r="D361" s="189"/>
      <c r="E361" s="189"/>
      <c r="F361" s="149"/>
      <c r="G361" s="190"/>
      <c r="H361" s="189"/>
      <c r="I361" s="149"/>
      <c r="J361" s="190"/>
      <c r="K361" s="189"/>
      <c r="L361" s="188"/>
      <c r="M361" s="188"/>
      <c r="N361" s="188"/>
    </row>
    <row r="362">
      <c r="A362" s="188"/>
      <c r="B362" s="188"/>
      <c r="C362" s="189"/>
      <c r="D362" s="189"/>
      <c r="E362" s="189"/>
      <c r="F362" s="149"/>
      <c r="G362" s="190"/>
      <c r="H362" s="189"/>
      <c r="I362" s="149"/>
      <c r="J362" s="190"/>
      <c r="K362" s="189"/>
      <c r="L362" s="188"/>
      <c r="M362" s="188"/>
      <c r="N362" s="188"/>
    </row>
    <row r="363">
      <c r="A363" s="188"/>
      <c r="B363" s="188"/>
      <c r="C363" s="189"/>
      <c r="D363" s="189"/>
      <c r="E363" s="189"/>
      <c r="F363" s="149"/>
      <c r="G363" s="190"/>
      <c r="H363" s="189"/>
      <c r="I363" s="149"/>
      <c r="J363" s="190"/>
      <c r="K363" s="189"/>
      <c r="L363" s="188"/>
      <c r="M363" s="188"/>
      <c r="N363" s="188"/>
    </row>
    <row r="364">
      <c r="A364" s="188"/>
      <c r="B364" s="188"/>
      <c r="C364" s="189"/>
      <c r="D364" s="189"/>
      <c r="E364" s="189"/>
      <c r="F364" s="149"/>
      <c r="G364" s="190"/>
      <c r="H364" s="189"/>
      <c r="I364" s="149"/>
      <c r="J364" s="190"/>
      <c r="K364" s="189"/>
      <c r="L364" s="188"/>
      <c r="M364" s="188"/>
      <c r="N364" s="188"/>
    </row>
    <row r="365">
      <c r="A365" s="188"/>
      <c r="B365" s="188"/>
      <c r="C365" s="189"/>
      <c r="D365" s="189"/>
      <c r="E365" s="189"/>
      <c r="F365" s="149"/>
      <c r="G365" s="190"/>
      <c r="H365" s="189"/>
      <c r="I365" s="149"/>
      <c r="J365" s="190"/>
      <c r="K365" s="189"/>
      <c r="L365" s="188"/>
      <c r="M365" s="188"/>
      <c r="N365" s="188"/>
    </row>
    <row r="366">
      <c r="A366" s="188"/>
      <c r="B366" s="188"/>
      <c r="C366" s="189"/>
      <c r="D366" s="189"/>
      <c r="E366" s="189"/>
      <c r="F366" s="149"/>
      <c r="G366" s="190"/>
      <c r="H366" s="189"/>
      <c r="I366" s="149"/>
      <c r="J366" s="190"/>
      <c r="K366" s="189"/>
      <c r="L366" s="188"/>
      <c r="M366" s="188"/>
      <c r="N366" s="188"/>
    </row>
    <row r="367">
      <c r="A367" s="188"/>
      <c r="B367" s="188"/>
      <c r="C367" s="189"/>
      <c r="D367" s="189"/>
      <c r="E367" s="189"/>
      <c r="F367" s="149"/>
      <c r="G367" s="190"/>
      <c r="H367" s="189"/>
      <c r="I367" s="149"/>
      <c r="J367" s="190"/>
      <c r="K367" s="189"/>
      <c r="L367" s="188"/>
      <c r="M367" s="188"/>
      <c r="N367" s="188"/>
    </row>
    <row r="368">
      <c r="A368" s="188"/>
      <c r="B368" s="188"/>
      <c r="C368" s="189"/>
      <c r="D368" s="189"/>
      <c r="E368" s="189"/>
      <c r="F368" s="149"/>
      <c r="G368" s="190"/>
      <c r="H368" s="189"/>
      <c r="I368" s="149"/>
      <c r="J368" s="190"/>
      <c r="K368" s="189"/>
      <c r="L368" s="188"/>
      <c r="M368" s="188"/>
      <c r="N368" s="188"/>
    </row>
    <row r="369">
      <c r="A369" s="188"/>
      <c r="B369" s="188"/>
      <c r="C369" s="189"/>
      <c r="D369" s="189"/>
      <c r="E369" s="189"/>
      <c r="F369" s="149"/>
      <c r="G369" s="190"/>
      <c r="H369" s="189"/>
      <c r="I369" s="149"/>
      <c r="J369" s="190"/>
      <c r="K369" s="189"/>
      <c r="L369" s="188"/>
      <c r="M369" s="188"/>
      <c r="N369" s="188"/>
    </row>
    <row r="370">
      <c r="A370" s="188"/>
      <c r="B370" s="188"/>
      <c r="C370" s="189"/>
      <c r="D370" s="189"/>
      <c r="E370" s="189"/>
      <c r="F370" s="149"/>
      <c r="G370" s="190"/>
      <c r="H370" s="189"/>
      <c r="I370" s="149"/>
      <c r="J370" s="190"/>
      <c r="K370" s="189"/>
      <c r="L370" s="188"/>
      <c r="M370" s="188"/>
      <c r="N370" s="188"/>
    </row>
    <row r="371">
      <c r="A371" s="188"/>
      <c r="B371" s="188"/>
      <c r="C371" s="189"/>
      <c r="D371" s="189"/>
      <c r="E371" s="189"/>
      <c r="F371" s="149"/>
      <c r="G371" s="190"/>
      <c r="H371" s="189"/>
      <c r="I371" s="149"/>
      <c r="J371" s="190"/>
      <c r="K371" s="189"/>
      <c r="L371" s="188"/>
      <c r="M371" s="188"/>
      <c r="N371" s="188"/>
    </row>
    <row r="372">
      <c r="A372" s="188"/>
      <c r="B372" s="188"/>
      <c r="C372" s="189"/>
      <c r="D372" s="189"/>
      <c r="E372" s="189"/>
      <c r="F372" s="149"/>
      <c r="G372" s="190"/>
      <c r="H372" s="189"/>
      <c r="I372" s="149"/>
      <c r="J372" s="190"/>
      <c r="K372" s="189"/>
      <c r="L372" s="188"/>
      <c r="M372" s="188"/>
      <c r="N372" s="188"/>
    </row>
    <row r="373">
      <c r="A373" s="188"/>
      <c r="B373" s="188"/>
      <c r="C373" s="189"/>
      <c r="D373" s="189"/>
      <c r="E373" s="189"/>
      <c r="F373" s="149"/>
      <c r="G373" s="190"/>
      <c r="H373" s="189"/>
      <c r="I373" s="149"/>
      <c r="J373" s="190"/>
      <c r="K373" s="189"/>
      <c r="L373" s="188"/>
      <c r="M373" s="188"/>
      <c r="N373" s="188"/>
    </row>
    <row r="374">
      <c r="A374" s="188"/>
      <c r="B374" s="188"/>
      <c r="C374" s="189"/>
      <c r="D374" s="189"/>
      <c r="E374" s="189"/>
      <c r="F374" s="149"/>
      <c r="G374" s="190"/>
      <c r="H374" s="189"/>
      <c r="I374" s="149"/>
      <c r="J374" s="190"/>
      <c r="K374" s="189"/>
      <c r="L374" s="188"/>
      <c r="M374" s="188"/>
      <c r="N374" s="188"/>
    </row>
    <row r="375">
      <c r="A375" s="188"/>
      <c r="B375" s="188"/>
      <c r="C375" s="189"/>
      <c r="D375" s="189"/>
      <c r="E375" s="189"/>
      <c r="F375" s="149"/>
      <c r="G375" s="190"/>
      <c r="H375" s="189"/>
      <c r="I375" s="149"/>
      <c r="J375" s="190"/>
      <c r="K375" s="189"/>
      <c r="L375" s="188"/>
      <c r="M375" s="188"/>
      <c r="N375" s="188"/>
    </row>
    <row r="376">
      <c r="A376" s="188"/>
      <c r="B376" s="188"/>
      <c r="C376" s="189"/>
      <c r="D376" s="189"/>
      <c r="E376" s="189"/>
      <c r="F376" s="149"/>
      <c r="G376" s="190"/>
      <c r="H376" s="189"/>
      <c r="I376" s="149"/>
      <c r="J376" s="190"/>
      <c r="K376" s="189"/>
      <c r="L376" s="188"/>
      <c r="M376" s="188"/>
      <c r="N376" s="188"/>
    </row>
    <row r="377">
      <c r="A377" s="188"/>
      <c r="B377" s="188"/>
      <c r="C377" s="189"/>
      <c r="D377" s="189"/>
      <c r="E377" s="189"/>
      <c r="F377" s="149"/>
      <c r="G377" s="190"/>
      <c r="H377" s="189"/>
      <c r="I377" s="149"/>
      <c r="J377" s="190"/>
      <c r="K377" s="189"/>
      <c r="L377" s="188"/>
      <c r="M377" s="188"/>
      <c r="N377" s="188"/>
    </row>
    <row r="378">
      <c r="A378" s="188"/>
      <c r="B378" s="188"/>
      <c r="C378" s="189"/>
      <c r="D378" s="189"/>
      <c r="E378" s="189"/>
      <c r="F378" s="149"/>
      <c r="G378" s="190"/>
      <c r="H378" s="189"/>
      <c r="I378" s="149"/>
      <c r="J378" s="190"/>
      <c r="K378" s="189"/>
      <c r="L378" s="188"/>
      <c r="M378" s="188"/>
      <c r="N378" s="188"/>
    </row>
    <row r="379">
      <c r="A379" s="188"/>
      <c r="B379" s="188"/>
      <c r="C379" s="189"/>
      <c r="D379" s="189"/>
      <c r="E379" s="189"/>
      <c r="F379" s="149"/>
      <c r="G379" s="190"/>
      <c r="H379" s="189"/>
      <c r="I379" s="149"/>
      <c r="J379" s="190"/>
      <c r="K379" s="189"/>
      <c r="L379" s="188"/>
      <c r="M379" s="188"/>
      <c r="N379" s="188"/>
    </row>
    <row r="380">
      <c r="A380" s="188"/>
      <c r="B380" s="188"/>
      <c r="C380" s="189"/>
      <c r="D380" s="189"/>
      <c r="E380" s="189"/>
      <c r="F380" s="149"/>
      <c r="G380" s="190"/>
      <c r="H380" s="189"/>
      <c r="I380" s="149"/>
      <c r="J380" s="190"/>
      <c r="K380" s="189"/>
      <c r="L380" s="188"/>
      <c r="M380" s="188"/>
      <c r="N380" s="188"/>
    </row>
    <row r="381">
      <c r="A381" s="188"/>
      <c r="B381" s="188"/>
      <c r="C381" s="189"/>
      <c r="D381" s="189"/>
      <c r="E381" s="189"/>
      <c r="F381" s="149"/>
      <c r="G381" s="190"/>
      <c r="H381" s="189"/>
      <c r="I381" s="149"/>
      <c r="J381" s="190"/>
      <c r="K381" s="189"/>
      <c r="L381" s="188"/>
      <c r="M381" s="188"/>
      <c r="N381" s="188"/>
    </row>
    <row r="382">
      <c r="A382" s="188"/>
      <c r="B382" s="188"/>
      <c r="C382" s="189"/>
      <c r="D382" s="189"/>
      <c r="E382" s="189"/>
      <c r="F382" s="149"/>
      <c r="G382" s="190"/>
      <c r="H382" s="189"/>
      <c r="I382" s="149"/>
      <c r="J382" s="190"/>
      <c r="K382" s="189"/>
      <c r="L382" s="188"/>
      <c r="M382" s="188"/>
      <c r="N382" s="188"/>
    </row>
    <row r="383">
      <c r="A383" s="188"/>
      <c r="B383" s="188"/>
      <c r="C383" s="189"/>
      <c r="D383" s="189"/>
      <c r="E383" s="189"/>
      <c r="F383" s="149"/>
      <c r="G383" s="190"/>
      <c r="H383" s="189"/>
      <c r="I383" s="149"/>
      <c r="J383" s="190"/>
      <c r="K383" s="189"/>
      <c r="L383" s="188"/>
      <c r="M383" s="188"/>
      <c r="N383" s="188"/>
    </row>
    <row r="384">
      <c r="A384" s="188"/>
      <c r="B384" s="188"/>
      <c r="C384" s="189"/>
      <c r="D384" s="189"/>
      <c r="E384" s="189"/>
      <c r="F384" s="149"/>
      <c r="G384" s="190"/>
      <c r="H384" s="189"/>
      <c r="I384" s="149"/>
      <c r="J384" s="190"/>
      <c r="K384" s="189"/>
      <c r="L384" s="188"/>
      <c r="M384" s="188"/>
      <c r="N384" s="188"/>
    </row>
    <row r="385">
      <c r="A385" s="188"/>
      <c r="B385" s="188"/>
      <c r="C385" s="189"/>
      <c r="D385" s="189"/>
      <c r="E385" s="189"/>
      <c r="F385" s="149"/>
      <c r="G385" s="190"/>
      <c r="H385" s="189"/>
      <c r="I385" s="149"/>
      <c r="J385" s="190"/>
      <c r="K385" s="189"/>
      <c r="L385" s="188"/>
      <c r="M385" s="188"/>
      <c r="N385" s="188"/>
    </row>
    <row r="386">
      <c r="A386" s="188"/>
      <c r="B386" s="188"/>
      <c r="C386" s="189"/>
      <c r="D386" s="189"/>
      <c r="E386" s="189"/>
      <c r="F386" s="149"/>
      <c r="G386" s="190"/>
      <c r="H386" s="189"/>
      <c r="I386" s="149"/>
      <c r="J386" s="190"/>
      <c r="K386" s="189"/>
      <c r="L386" s="188"/>
      <c r="M386" s="188"/>
      <c r="N386" s="188"/>
    </row>
    <row r="387">
      <c r="A387" s="188"/>
      <c r="B387" s="188"/>
      <c r="C387" s="189"/>
      <c r="D387" s="189"/>
      <c r="E387" s="189"/>
      <c r="F387" s="149"/>
      <c r="G387" s="190"/>
      <c r="H387" s="189"/>
      <c r="I387" s="149"/>
      <c r="J387" s="190"/>
      <c r="K387" s="189"/>
      <c r="L387" s="188"/>
      <c r="M387" s="188"/>
      <c r="N387" s="188"/>
    </row>
    <row r="388">
      <c r="A388" s="188"/>
      <c r="B388" s="188"/>
      <c r="C388" s="189"/>
      <c r="D388" s="189"/>
      <c r="E388" s="189"/>
      <c r="F388" s="149"/>
      <c r="G388" s="190"/>
      <c r="H388" s="189"/>
      <c r="I388" s="149"/>
      <c r="J388" s="190"/>
      <c r="K388" s="189"/>
      <c r="L388" s="188"/>
      <c r="M388" s="188"/>
      <c r="N388" s="188"/>
    </row>
    <row r="389">
      <c r="A389" s="188"/>
      <c r="B389" s="188"/>
      <c r="C389" s="189"/>
      <c r="D389" s="189"/>
      <c r="E389" s="189"/>
      <c r="F389" s="149"/>
      <c r="G389" s="190"/>
      <c r="H389" s="189"/>
      <c r="I389" s="149"/>
      <c r="J389" s="190"/>
      <c r="K389" s="189"/>
      <c r="L389" s="188"/>
      <c r="M389" s="188"/>
      <c r="N389" s="188"/>
    </row>
    <row r="390">
      <c r="A390" s="188"/>
      <c r="B390" s="188"/>
      <c r="C390" s="189"/>
      <c r="D390" s="189"/>
      <c r="E390" s="189"/>
      <c r="F390" s="149"/>
      <c r="G390" s="190"/>
      <c r="H390" s="189"/>
      <c r="I390" s="149"/>
      <c r="J390" s="190"/>
      <c r="K390" s="189"/>
      <c r="L390" s="188"/>
      <c r="M390" s="188"/>
      <c r="N390" s="188"/>
    </row>
    <row r="391">
      <c r="A391" s="188"/>
      <c r="B391" s="188"/>
      <c r="C391" s="189"/>
      <c r="D391" s="189"/>
      <c r="E391" s="189"/>
      <c r="F391" s="149"/>
      <c r="G391" s="190"/>
      <c r="H391" s="189"/>
      <c r="I391" s="149"/>
      <c r="J391" s="190"/>
      <c r="K391" s="189"/>
      <c r="L391" s="188"/>
      <c r="M391" s="188"/>
      <c r="N391" s="188"/>
    </row>
    <row r="392">
      <c r="A392" s="188"/>
      <c r="B392" s="188"/>
      <c r="C392" s="189"/>
      <c r="D392" s="189"/>
      <c r="E392" s="189"/>
      <c r="F392" s="149"/>
      <c r="G392" s="190"/>
      <c r="H392" s="189"/>
      <c r="I392" s="149"/>
      <c r="J392" s="190"/>
      <c r="K392" s="189"/>
      <c r="L392" s="188"/>
      <c r="M392" s="188"/>
      <c r="N392" s="188"/>
    </row>
    <row r="393">
      <c r="A393" s="188"/>
      <c r="B393" s="188"/>
      <c r="C393" s="189"/>
      <c r="D393" s="189"/>
      <c r="E393" s="189"/>
      <c r="F393" s="149"/>
      <c r="G393" s="190"/>
      <c r="H393" s="189"/>
      <c r="I393" s="149"/>
      <c r="J393" s="190"/>
      <c r="K393" s="189"/>
      <c r="L393" s="188"/>
      <c r="M393" s="188"/>
      <c r="N393" s="188"/>
    </row>
    <row r="394">
      <c r="A394" s="188"/>
      <c r="B394" s="188"/>
      <c r="C394" s="189"/>
      <c r="D394" s="189"/>
      <c r="E394" s="189"/>
      <c r="F394" s="149"/>
      <c r="G394" s="190"/>
      <c r="H394" s="189"/>
      <c r="I394" s="149"/>
      <c r="J394" s="190"/>
      <c r="K394" s="189"/>
      <c r="L394" s="188"/>
      <c r="M394" s="188"/>
      <c r="N394" s="188"/>
    </row>
    <row r="395">
      <c r="A395" s="188"/>
      <c r="B395" s="188"/>
      <c r="C395" s="189"/>
      <c r="D395" s="189"/>
      <c r="E395" s="189"/>
      <c r="F395" s="149"/>
      <c r="G395" s="190"/>
      <c r="H395" s="189"/>
      <c r="I395" s="149"/>
      <c r="J395" s="190"/>
      <c r="K395" s="189"/>
      <c r="L395" s="188"/>
      <c r="M395" s="188"/>
      <c r="N395" s="188"/>
    </row>
    <row r="396">
      <c r="A396" s="188"/>
      <c r="B396" s="188"/>
      <c r="C396" s="189"/>
      <c r="D396" s="189"/>
      <c r="E396" s="189"/>
      <c r="F396" s="149"/>
      <c r="G396" s="190"/>
      <c r="H396" s="189"/>
      <c r="I396" s="149"/>
      <c r="J396" s="190"/>
      <c r="K396" s="189"/>
      <c r="L396" s="188"/>
      <c r="M396" s="188"/>
      <c r="N396" s="188"/>
    </row>
    <row r="397">
      <c r="A397" s="188"/>
      <c r="B397" s="188"/>
      <c r="C397" s="189"/>
      <c r="D397" s="189"/>
      <c r="E397" s="189"/>
      <c r="F397" s="149"/>
      <c r="G397" s="190"/>
      <c r="H397" s="189"/>
      <c r="I397" s="149"/>
      <c r="J397" s="190"/>
      <c r="K397" s="189"/>
      <c r="L397" s="188"/>
      <c r="M397" s="188"/>
      <c r="N397" s="188"/>
    </row>
    <row r="398">
      <c r="A398" s="188"/>
      <c r="B398" s="188"/>
      <c r="C398" s="189"/>
      <c r="D398" s="189"/>
      <c r="E398" s="189"/>
      <c r="F398" s="149"/>
      <c r="G398" s="190"/>
      <c r="H398" s="189"/>
      <c r="I398" s="149"/>
      <c r="J398" s="190"/>
      <c r="K398" s="189"/>
      <c r="L398" s="188"/>
      <c r="M398" s="188"/>
      <c r="N398" s="188"/>
    </row>
    <row r="399">
      <c r="A399" s="188"/>
      <c r="B399" s="188"/>
      <c r="C399" s="189"/>
      <c r="D399" s="189"/>
      <c r="E399" s="189"/>
      <c r="F399" s="149"/>
      <c r="G399" s="190"/>
      <c r="H399" s="189"/>
      <c r="I399" s="149"/>
      <c r="J399" s="190"/>
      <c r="K399" s="189"/>
      <c r="L399" s="188"/>
      <c r="M399" s="188"/>
      <c r="N399" s="188"/>
    </row>
    <row r="400">
      <c r="A400" s="188"/>
      <c r="B400" s="188"/>
      <c r="C400" s="189"/>
      <c r="D400" s="189"/>
      <c r="E400" s="189"/>
      <c r="F400" s="149"/>
      <c r="G400" s="190"/>
      <c r="H400" s="189"/>
      <c r="I400" s="149"/>
      <c r="J400" s="190"/>
      <c r="K400" s="189"/>
      <c r="L400" s="188"/>
      <c r="M400" s="188"/>
      <c r="N400" s="188"/>
    </row>
    <row r="401">
      <c r="A401" s="188"/>
      <c r="B401" s="188"/>
      <c r="C401" s="189"/>
      <c r="D401" s="189"/>
      <c r="E401" s="189"/>
      <c r="F401" s="149"/>
      <c r="G401" s="190"/>
      <c r="H401" s="189"/>
      <c r="I401" s="149"/>
      <c r="J401" s="190"/>
      <c r="K401" s="189"/>
      <c r="L401" s="188"/>
      <c r="M401" s="188"/>
      <c r="N401" s="188"/>
    </row>
    <row r="402">
      <c r="A402" s="188"/>
      <c r="B402" s="188"/>
      <c r="C402" s="189"/>
      <c r="D402" s="189"/>
      <c r="E402" s="189"/>
      <c r="F402" s="149"/>
      <c r="G402" s="190"/>
      <c r="H402" s="189"/>
      <c r="I402" s="149"/>
      <c r="J402" s="190"/>
      <c r="K402" s="189"/>
      <c r="L402" s="188"/>
      <c r="M402" s="188"/>
      <c r="N402" s="188"/>
    </row>
    <row r="403">
      <c r="A403" s="188"/>
      <c r="B403" s="188"/>
      <c r="C403" s="189"/>
      <c r="D403" s="189"/>
      <c r="E403" s="189"/>
      <c r="F403" s="149"/>
      <c r="G403" s="190"/>
      <c r="H403" s="189"/>
      <c r="I403" s="149"/>
      <c r="J403" s="190"/>
      <c r="K403" s="189"/>
      <c r="L403" s="188"/>
      <c r="M403" s="188"/>
      <c r="N403" s="188"/>
    </row>
    <row r="404">
      <c r="A404" s="188"/>
      <c r="B404" s="188"/>
      <c r="C404" s="189"/>
      <c r="D404" s="189"/>
      <c r="E404" s="189"/>
      <c r="F404" s="149"/>
      <c r="G404" s="190"/>
      <c r="H404" s="189"/>
      <c r="I404" s="149"/>
      <c r="J404" s="190"/>
      <c r="K404" s="189"/>
      <c r="L404" s="188"/>
      <c r="M404" s="188"/>
      <c r="N404" s="188"/>
    </row>
    <row r="405">
      <c r="A405" s="188"/>
      <c r="B405" s="188"/>
      <c r="C405" s="189"/>
      <c r="D405" s="189"/>
      <c r="E405" s="189"/>
      <c r="F405" s="149"/>
      <c r="G405" s="190"/>
      <c r="H405" s="189"/>
      <c r="I405" s="149"/>
      <c r="J405" s="190"/>
      <c r="K405" s="189"/>
      <c r="L405" s="188"/>
      <c r="M405" s="188"/>
      <c r="N405" s="188"/>
    </row>
    <row r="406">
      <c r="A406" s="188"/>
      <c r="B406" s="188"/>
      <c r="C406" s="189"/>
      <c r="D406" s="189"/>
      <c r="E406" s="189"/>
      <c r="F406" s="149"/>
      <c r="G406" s="190"/>
      <c r="H406" s="189"/>
      <c r="I406" s="149"/>
      <c r="J406" s="190"/>
      <c r="K406" s="189"/>
      <c r="L406" s="188"/>
      <c r="M406" s="188"/>
      <c r="N406" s="188"/>
    </row>
    <row r="407">
      <c r="A407" s="188"/>
      <c r="B407" s="188"/>
      <c r="C407" s="189"/>
      <c r="D407" s="189"/>
      <c r="E407" s="189"/>
      <c r="F407" s="149"/>
      <c r="G407" s="190"/>
      <c r="H407" s="189"/>
      <c r="I407" s="149"/>
      <c r="J407" s="190"/>
      <c r="K407" s="189"/>
      <c r="L407" s="188"/>
      <c r="M407" s="188"/>
      <c r="N407" s="188"/>
    </row>
    <row r="408">
      <c r="A408" s="188"/>
      <c r="B408" s="188"/>
      <c r="C408" s="189"/>
      <c r="D408" s="189"/>
      <c r="E408" s="189"/>
      <c r="F408" s="149"/>
      <c r="G408" s="190"/>
      <c r="H408" s="189"/>
      <c r="I408" s="149"/>
      <c r="J408" s="190"/>
      <c r="K408" s="189"/>
      <c r="L408" s="188"/>
      <c r="M408" s="188"/>
      <c r="N408" s="188"/>
    </row>
    <row r="409">
      <c r="A409" s="188"/>
      <c r="B409" s="188"/>
      <c r="C409" s="189"/>
      <c r="D409" s="189"/>
      <c r="E409" s="189"/>
      <c r="F409" s="149"/>
      <c r="G409" s="190"/>
      <c r="H409" s="189"/>
      <c r="I409" s="149"/>
      <c r="J409" s="190"/>
      <c r="K409" s="189"/>
      <c r="L409" s="188"/>
      <c r="M409" s="188"/>
      <c r="N409" s="188"/>
    </row>
    <row r="410">
      <c r="A410" s="188"/>
      <c r="B410" s="188"/>
      <c r="C410" s="189"/>
      <c r="D410" s="189"/>
      <c r="E410" s="189"/>
      <c r="F410" s="149"/>
      <c r="G410" s="190"/>
      <c r="H410" s="189"/>
      <c r="I410" s="149"/>
      <c r="J410" s="190"/>
      <c r="K410" s="189"/>
      <c r="L410" s="188"/>
      <c r="M410" s="188"/>
      <c r="N410" s="188"/>
    </row>
    <row r="411">
      <c r="A411" s="188"/>
      <c r="B411" s="188"/>
      <c r="C411" s="189"/>
      <c r="D411" s="189"/>
      <c r="E411" s="189"/>
      <c r="F411" s="149"/>
      <c r="G411" s="190"/>
      <c r="H411" s="189"/>
      <c r="I411" s="149"/>
      <c r="J411" s="190"/>
      <c r="K411" s="189"/>
      <c r="L411" s="188"/>
      <c r="M411" s="188"/>
      <c r="N411" s="188"/>
    </row>
    <row r="412">
      <c r="A412" s="188"/>
      <c r="B412" s="188"/>
      <c r="C412" s="189"/>
      <c r="D412" s="189"/>
      <c r="E412" s="189"/>
      <c r="F412" s="149"/>
      <c r="G412" s="190"/>
      <c r="H412" s="189"/>
      <c r="I412" s="149"/>
      <c r="J412" s="190"/>
      <c r="K412" s="189"/>
      <c r="L412" s="188"/>
      <c r="M412" s="188"/>
      <c r="N412" s="188"/>
    </row>
    <row r="413">
      <c r="A413" s="188"/>
      <c r="B413" s="188"/>
      <c r="C413" s="189"/>
      <c r="D413" s="189"/>
      <c r="E413" s="189"/>
      <c r="F413" s="149"/>
      <c r="G413" s="190"/>
      <c r="H413" s="189"/>
      <c r="I413" s="149"/>
      <c r="J413" s="190"/>
      <c r="K413" s="189"/>
      <c r="L413" s="188"/>
      <c r="M413" s="188"/>
      <c r="N413" s="188"/>
    </row>
    <row r="414">
      <c r="A414" s="188"/>
      <c r="B414" s="188"/>
      <c r="C414" s="189"/>
      <c r="D414" s="189"/>
      <c r="E414" s="189"/>
      <c r="F414" s="149"/>
      <c r="G414" s="190"/>
      <c r="H414" s="189"/>
      <c r="I414" s="149"/>
      <c r="J414" s="190"/>
      <c r="K414" s="189"/>
      <c r="L414" s="188"/>
      <c r="M414" s="188"/>
      <c r="N414" s="188"/>
    </row>
    <row r="415">
      <c r="A415" s="188"/>
      <c r="B415" s="188"/>
      <c r="C415" s="189"/>
      <c r="D415" s="189"/>
      <c r="E415" s="189"/>
      <c r="F415" s="149"/>
      <c r="G415" s="190"/>
      <c r="H415" s="189"/>
      <c r="I415" s="149"/>
      <c r="J415" s="190"/>
      <c r="K415" s="189"/>
      <c r="L415" s="188"/>
      <c r="M415" s="188"/>
      <c r="N415" s="188"/>
    </row>
    <row r="416">
      <c r="A416" s="188"/>
      <c r="B416" s="188"/>
      <c r="C416" s="189"/>
      <c r="D416" s="189"/>
      <c r="E416" s="189"/>
      <c r="F416" s="149"/>
      <c r="G416" s="190"/>
      <c r="H416" s="189"/>
      <c r="I416" s="149"/>
      <c r="J416" s="190"/>
      <c r="K416" s="189"/>
      <c r="L416" s="188"/>
      <c r="M416" s="188"/>
      <c r="N416" s="188"/>
    </row>
    <row r="417">
      <c r="A417" s="188"/>
      <c r="B417" s="188"/>
      <c r="C417" s="189"/>
      <c r="D417" s="189"/>
      <c r="E417" s="189"/>
      <c r="F417" s="149"/>
      <c r="G417" s="190"/>
      <c r="H417" s="189"/>
      <c r="I417" s="149"/>
      <c r="J417" s="190"/>
      <c r="K417" s="189"/>
      <c r="L417" s="188"/>
      <c r="M417" s="188"/>
      <c r="N417" s="188"/>
    </row>
    <row r="418">
      <c r="A418" s="188"/>
      <c r="B418" s="188"/>
      <c r="C418" s="189"/>
      <c r="D418" s="189"/>
      <c r="E418" s="189"/>
      <c r="F418" s="149"/>
      <c r="G418" s="190"/>
      <c r="H418" s="189"/>
      <c r="I418" s="149"/>
      <c r="J418" s="190"/>
      <c r="K418" s="189"/>
      <c r="L418" s="188"/>
      <c r="M418" s="188"/>
      <c r="N418" s="188"/>
    </row>
    <row r="419">
      <c r="A419" s="188"/>
      <c r="B419" s="188"/>
      <c r="C419" s="189"/>
      <c r="D419" s="189"/>
      <c r="E419" s="189"/>
      <c r="F419" s="149"/>
      <c r="G419" s="190"/>
      <c r="H419" s="189"/>
      <c r="I419" s="149"/>
      <c r="J419" s="190"/>
      <c r="K419" s="189"/>
      <c r="L419" s="188"/>
      <c r="M419" s="188"/>
      <c r="N419" s="188"/>
    </row>
    <row r="420">
      <c r="A420" s="188"/>
      <c r="B420" s="188"/>
      <c r="C420" s="189"/>
      <c r="D420" s="189"/>
      <c r="E420" s="189"/>
      <c r="F420" s="149"/>
      <c r="G420" s="190"/>
      <c r="H420" s="189"/>
      <c r="I420" s="149"/>
      <c r="J420" s="190"/>
      <c r="K420" s="189"/>
      <c r="L420" s="188"/>
      <c r="M420" s="188"/>
      <c r="N420" s="188"/>
    </row>
    <row r="421">
      <c r="A421" s="188"/>
      <c r="B421" s="188"/>
      <c r="C421" s="189"/>
      <c r="D421" s="189"/>
      <c r="E421" s="189"/>
      <c r="F421" s="149"/>
      <c r="G421" s="190"/>
      <c r="H421" s="189"/>
      <c r="I421" s="149"/>
      <c r="J421" s="190"/>
      <c r="K421" s="189"/>
      <c r="L421" s="188"/>
      <c r="M421" s="188"/>
      <c r="N421" s="188"/>
    </row>
    <row r="422">
      <c r="A422" s="188"/>
      <c r="B422" s="188"/>
      <c r="C422" s="189"/>
      <c r="D422" s="189"/>
      <c r="E422" s="189"/>
      <c r="F422" s="149"/>
      <c r="G422" s="190"/>
      <c r="H422" s="189"/>
      <c r="I422" s="149"/>
      <c r="J422" s="190"/>
      <c r="K422" s="189"/>
      <c r="L422" s="188"/>
      <c r="M422" s="188"/>
      <c r="N422" s="188"/>
    </row>
    <row r="423">
      <c r="A423" s="188"/>
      <c r="B423" s="188"/>
      <c r="C423" s="189"/>
      <c r="D423" s="189"/>
      <c r="E423" s="189"/>
      <c r="F423" s="149"/>
      <c r="G423" s="190"/>
      <c r="H423" s="189"/>
      <c r="I423" s="149"/>
      <c r="J423" s="190"/>
      <c r="K423" s="189"/>
      <c r="L423" s="188"/>
      <c r="M423" s="188"/>
      <c r="N423" s="188"/>
    </row>
    <row r="424">
      <c r="A424" s="188"/>
      <c r="B424" s="188"/>
      <c r="C424" s="189"/>
      <c r="D424" s="189"/>
      <c r="E424" s="189"/>
      <c r="F424" s="149"/>
      <c r="G424" s="190"/>
      <c r="H424" s="189"/>
      <c r="I424" s="149"/>
      <c r="J424" s="190"/>
      <c r="K424" s="189"/>
      <c r="L424" s="188"/>
      <c r="M424" s="188"/>
      <c r="N424" s="188"/>
    </row>
    <row r="425">
      <c r="A425" s="188"/>
      <c r="B425" s="188"/>
      <c r="C425" s="189"/>
      <c r="D425" s="189"/>
      <c r="E425" s="189"/>
      <c r="F425" s="149"/>
      <c r="G425" s="190"/>
      <c r="H425" s="189"/>
      <c r="I425" s="149"/>
      <c r="J425" s="190"/>
      <c r="K425" s="189"/>
      <c r="L425" s="188"/>
      <c r="M425" s="188"/>
      <c r="N425" s="188"/>
    </row>
    <row r="426">
      <c r="A426" s="188"/>
      <c r="B426" s="188"/>
      <c r="C426" s="189"/>
      <c r="D426" s="189"/>
      <c r="E426" s="189"/>
      <c r="F426" s="149"/>
      <c r="G426" s="190"/>
      <c r="H426" s="189"/>
      <c r="I426" s="149"/>
      <c r="J426" s="190"/>
      <c r="K426" s="189"/>
      <c r="L426" s="188"/>
      <c r="M426" s="188"/>
      <c r="N426" s="188"/>
    </row>
    <row r="427">
      <c r="A427" s="188"/>
      <c r="B427" s="188"/>
      <c r="C427" s="189"/>
      <c r="D427" s="189"/>
      <c r="E427" s="189"/>
      <c r="F427" s="149"/>
      <c r="G427" s="190"/>
      <c r="H427" s="189"/>
      <c r="I427" s="149"/>
      <c r="J427" s="190"/>
      <c r="K427" s="189"/>
      <c r="L427" s="188"/>
      <c r="M427" s="188"/>
      <c r="N427" s="188"/>
    </row>
    <row r="428">
      <c r="A428" s="188"/>
      <c r="B428" s="188"/>
      <c r="C428" s="189"/>
      <c r="D428" s="189"/>
      <c r="E428" s="189"/>
      <c r="F428" s="149"/>
      <c r="G428" s="190"/>
      <c r="H428" s="189"/>
      <c r="I428" s="149"/>
      <c r="J428" s="190"/>
      <c r="K428" s="189"/>
      <c r="L428" s="188"/>
      <c r="M428" s="188"/>
      <c r="N428" s="188"/>
    </row>
    <row r="429">
      <c r="A429" s="188"/>
      <c r="B429" s="188"/>
      <c r="C429" s="189"/>
      <c r="D429" s="189"/>
      <c r="E429" s="189"/>
      <c r="F429" s="149"/>
      <c r="G429" s="190"/>
      <c r="H429" s="189"/>
      <c r="I429" s="149"/>
      <c r="J429" s="190"/>
      <c r="K429" s="189"/>
      <c r="L429" s="188"/>
      <c r="M429" s="188"/>
      <c r="N429" s="188"/>
    </row>
    <row r="430">
      <c r="A430" s="188"/>
      <c r="B430" s="188"/>
      <c r="C430" s="189"/>
      <c r="D430" s="189"/>
      <c r="E430" s="189"/>
      <c r="F430" s="149"/>
      <c r="G430" s="190"/>
      <c r="H430" s="189"/>
      <c r="I430" s="149"/>
      <c r="J430" s="190"/>
      <c r="K430" s="189"/>
      <c r="L430" s="188"/>
      <c r="M430" s="188"/>
      <c r="N430" s="188"/>
    </row>
    <row r="431">
      <c r="A431" s="188"/>
      <c r="B431" s="188"/>
      <c r="C431" s="189"/>
      <c r="D431" s="189"/>
      <c r="E431" s="189"/>
      <c r="F431" s="149"/>
      <c r="G431" s="190"/>
      <c r="H431" s="189"/>
      <c r="I431" s="149"/>
      <c r="J431" s="190"/>
      <c r="K431" s="189"/>
      <c r="L431" s="188"/>
      <c r="M431" s="188"/>
      <c r="N431" s="188"/>
    </row>
    <row r="432">
      <c r="A432" s="188"/>
      <c r="B432" s="188"/>
      <c r="C432" s="189"/>
      <c r="D432" s="189"/>
      <c r="E432" s="189"/>
      <c r="F432" s="149"/>
      <c r="G432" s="190"/>
      <c r="H432" s="189"/>
      <c r="I432" s="149"/>
      <c r="J432" s="190"/>
      <c r="K432" s="189"/>
      <c r="L432" s="188"/>
      <c r="M432" s="188"/>
      <c r="N432" s="188"/>
    </row>
    <row r="433">
      <c r="A433" s="188"/>
      <c r="B433" s="188"/>
      <c r="C433" s="189"/>
      <c r="D433" s="189"/>
      <c r="E433" s="189"/>
      <c r="F433" s="149"/>
      <c r="G433" s="190"/>
      <c r="H433" s="189"/>
      <c r="I433" s="149"/>
      <c r="J433" s="190"/>
      <c r="K433" s="189"/>
      <c r="L433" s="188"/>
      <c r="M433" s="188"/>
      <c r="N433" s="188"/>
    </row>
    <row r="434">
      <c r="A434" s="188"/>
      <c r="B434" s="188"/>
      <c r="C434" s="189"/>
      <c r="D434" s="189"/>
      <c r="E434" s="189"/>
      <c r="F434" s="149"/>
      <c r="G434" s="190"/>
      <c r="H434" s="189"/>
      <c r="I434" s="149"/>
      <c r="J434" s="190"/>
      <c r="K434" s="189"/>
      <c r="L434" s="188"/>
      <c r="M434" s="188"/>
      <c r="N434" s="188"/>
    </row>
    <row r="435">
      <c r="A435" s="188"/>
      <c r="B435" s="188"/>
      <c r="C435" s="189"/>
      <c r="D435" s="189"/>
      <c r="E435" s="189"/>
      <c r="F435" s="149"/>
      <c r="G435" s="190"/>
      <c r="H435" s="189"/>
      <c r="I435" s="149"/>
      <c r="J435" s="190"/>
      <c r="K435" s="189"/>
      <c r="L435" s="188"/>
      <c r="M435" s="188"/>
      <c r="N435" s="188"/>
    </row>
    <row r="436">
      <c r="A436" s="188"/>
      <c r="B436" s="188"/>
      <c r="C436" s="189"/>
      <c r="D436" s="189"/>
      <c r="E436" s="189"/>
      <c r="F436" s="149"/>
      <c r="G436" s="190"/>
      <c r="H436" s="189"/>
      <c r="I436" s="149"/>
      <c r="J436" s="190"/>
      <c r="K436" s="189"/>
      <c r="L436" s="188"/>
      <c r="M436" s="188"/>
      <c r="N436" s="188"/>
    </row>
    <row r="437">
      <c r="A437" s="188"/>
      <c r="B437" s="188"/>
      <c r="C437" s="189"/>
      <c r="D437" s="189"/>
      <c r="E437" s="189"/>
      <c r="F437" s="149"/>
      <c r="G437" s="190"/>
      <c r="H437" s="189"/>
      <c r="I437" s="149"/>
      <c r="J437" s="190"/>
      <c r="K437" s="189"/>
      <c r="L437" s="188"/>
      <c r="M437" s="188"/>
      <c r="N437" s="188"/>
    </row>
    <row r="438">
      <c r="A438" s="188"/>
      <c r="B438" s="188"/>
      <c r="C438" s="189"/>
      <c r="D438" s="189"/>
      <c r="E438" s="189"/>
      <c r="F438" s="149"/>
      <c r="G438" s="190"/>
      <c r="H438" s="189"/>
      <c r="I438" s="149"/>
      <c r="J438" s="190"/>
      <c r="K438" s="189"/>
      <c r="L438" s="188"/>
      <c r="M438" s="188"/>
      <c r="N438" s="188"/>
    </row>
    <row r="439">
      <c r="A439" s="188"/>
      <c r="B439" s="188"/>
      <c r="C439" s="189"/>
      <c r="D439" s="189"/>
      <c r="E439" s="189"/>
      <c r="F439" s="149"/>
      <c r="G439" s="190"/>
      <c r="H439" s="189"/>
      <c r="I439" s="149"/>
      <c r="J439" s="190"/>
      <c r="K439" s="189"/>
      <c r="L439" s="188"/>
      <c r="M439" s="188"/>
      <c r="N439" s="188"/>
    </row>
    <row r="440">
      <c r="A440" s="188"/>
      <c r="B440" s="188"/>
      <c r="C440" s="189"/>
      <c r="D440" s="189"/>
      <c r="E440" s="189"/>
      <c r="F440" s="149"/>
      <c r="G440" s="190"/>
      <c r="H440" s="189"/>
      <c r="I440" s="149"/>
      <c r="J440" s="190"/>
      <c r="K440" s="189"/>
      <c r="L440" s="188"/>
      <c r="M440" s="188"/>
      <c r="N440" s="188"/>
    </row>
    <row r="441">
      <c r="A441" s="188"/>
      <c r="B441" s="188"/>
      <c r="C441" s="189"/>
      <c r="D441" s="189"/>
      <c r="E441" s="189"/>
      <c r="F441" s="149"/>
      <c r="G441" s="190"/>
      <c r="H441" s="189"/>
      <c r="I441" s="149"/>
      <c r="J441" s="190"/>
      <c r="K441" s="189"/>
      <c r="L441" s="188"/>
      <c r="M441" s="188"/>
      <c r="N441" s="188"/>
    </row>
    <row r="442">
      <c r="A442" s="188"/>
      <c r="B442" s="188"/>
      <c r="C442" s="189"/>
      <c r="D442" s="189"/>
      <c r="E442" s="189"/>
      <c r="F442" s="149"/>
      <c r="G442" s="190"/>
      <c r="H442" s="189"/>
      <c r="I442" s="149"/>
      <c r="J442" s="190"/>
      <c r="K442" s="189"/>
      <c r="L442" s="188"/>
      <c r="M442" s="188"/>
      <c r="N442" s="188"/>
    </row>
    <row r="443">
      <c r="A443" s="188"/>
      <c r="B443" s="188"/>
      <c r="C443" s="189"/>
      <c r="D443" s="189"/>
      <c r="E443" s="189"/>
      <c r="F443" s="149"/>
      <c r="G443" s="190"/>
      <c r="H443" s="189"/>
      <c r="I443" s="149"/>
      <c r="J443" s="190"/>
      <c r="K443" s="189"/>
      <c r="L443" s="188"/>
      <c r="M443" s="188"/>
      <c r="N443" s="188"/>
    </row>
    <row r="444">
      <c r="A444" s="188"/>
      <c r="B444" s="188"/>
      <c r="C444" s="189"/>
      <c r="D444" s="189"/>
      <c r="E444" s="189"/>
      <c r="F444" s="149"/>
      <c r="G444" s="190"/>
      <c r="H444" s="189"/>
      <c r="I444" s="149"/>
      <c r="J444" s="190"/>
      <c r="K444" s="189"/>
      <c r="L444" s="188"/>
      <c r="M444" s="188"/>
      <c r="N444" s="188"/>
    </row>
    <row r="445">
      <c r="A445" s="188"/>
      <c r="B445" s="188"/>
      <c r="C445" s="189"/>
      <c r="D445" s="189"/>
      <c r="E445" s="189"/>
      <c r="F445" s="149"/>
      <c r="G445" s="190"/>
      <c r="H445" s="189"/>
      <c r="I445" s="149"/>
      <c r="J445" s="190"/>
      <c r="K445" s="189"/>
      <c r="L445" s="188"/>
      <c r="M445" s="188"/>
      <c r="N445" s="188"/>
    </row>
    <row r="446">
      <c r="A446" s="188"/>
      <c r="B446" s="188"/>
      <c r="C446" s="189"/>
      <c r="D446" s="189"/>
      <c r="E446" s="189"/>
      <c r="F446" s="149"/>
      <c r="G446" s="190"/>
      <c r="H446" s="189"/>
      <c r="I446" s="149"/>
      <c r="J446" s="190"/>
      <c r="K446" s="189"/>
      <c r="L446" s="188"/>
      <c r="M446" s="188"/>
      <c r="N446" s="188"/>
    </row>
    <row r="447">
      <c r="A447" s="188"/>
      <c r="B447" s="188"/>
      <c r="C447" s="189"/>
      <c r="D447" s="189"/>
      <c r="E447" s="189"/>
      <c r="F447" s="149"/>
      <c r="G447" s="190"/>
      <c r="H447" s="189"/>
      <c r="I447" s="149"/>
      <c r="J447" s="190"/>
      <c r="K447" s="189"/>
      <c r="L447" s="188"/>
      <c r="M447" s="188"/>
      <c r="N447" s="188"/>
    </row>
    <row r="448">
      <c r="A448" s="188"/>
      <c r="B448" s="188"/>
      <c r="C448" s="189"/>
      <c r="D448" s="189"/>
      <c r="E448" s="189"/>
      <c r="F448" s="149"/>
      <c r="G448" s="190"/>
      <c r="H448" s="189"/>
      <c r="I448" s="149"/>
      <c r="J448" s="190"/>
      <c r="K448" s="189"/>
      <c r="L448" s="188"/>
      <c r="M448" s="188"/>
      <c r="N448" s="188"/>
    </row>
    <row r="449">
      <c r="A449" s="188"/>
      <c r="B449" s="188"/>
      <c r="C449" s="189"/>
      <c r="D449" s="189"/>
      <c r="E449" s="189"/>
      <c r="F449" s="149"/>
      <c r="G449" s="190"/>
      <c r="H449" s="189"/>
      <c r="I449" s="149"/>
      <c r="J449" s="190"/>
      <c r="K449" s="189"/>
      <c r="L449" s="188"/>
      <c r="M449" s="188"/>
      <c r="N449" s="188"/>
    </row>
    <row r="450">
      <c r="A450" s="188"/>
      <c r="B450" s="188"/>
      <c r="C450" s="189"/>
      <c r="D450" s="189"/>
      <c r="E450" s="189"/>
      <c r="F450" s="149"/>
      <c r="G450" s="190"/>
      <c r="H450" s="189"/>
      <c r="I450" s="149"/>
      <c r="J450" s="190"/>
      <c r="K450" s="189"/>
      <c r="L450" s="188"/>
      <c r="M450" s="188"/>
      <c r="N450" s="188"/>
    </row>
    <row r="451">
      <c r="A451" s="188"/>
      <c r="B451" s="188"/>
      <c r="C451" s="189"/>
      <c r="D451" s="189"/>
      <c r="E451" s="189"/>
      <c r="F451" s="149"/>
      <c r="G451" s="190"/>
      <c r="H451" s="189"/>
      <c r="I451" s="149"/>
      <c r="J451" s="190"/>
      <c r="K451" s="189"/>
      <c r="L451" s="188"/>
      <c r="M451" s="188"/>
      <c r="N451" s="188"/>
    </row>
    <row r="452">
      <c r="A452" s="188"/>
      <c r="B452" s="188"/>
      <c r="C452" s="189"/>
      <c r="D452" s="189"/>
      <c r="E452" s="189"/>
      <c r="F452" s="149"/>
      <c r="G452" s="190"/>
      <c r="H452" s="189"/>
      <c r="I452" s="149"/>
      <c r="J452" s="190"/>
      <c r="K452" s="189"/>
      <c r="L452" s="188"/>
      <c r="M452" s="188"/>
      <c r="N452" s="188"/>
    </row>
    <row r="453">
      <c r="A453" s="188"/>
      <c r="B453" s="188"/>
      <c r="C453" s="189"/>
      <c r="D453" s="189"/>
      <c r="E453" s="189"/>
      <c r="F453" s="149"/>
      <c r="G453" s="190"/>
      <c r="H453" s="189"/>
      <c r="I453" s="149"/>
      <c r="J453" s="190"/>
      <c r="K453" s="189"/>
      <c r="L453" s="188"/>
      <c r="M453" s="188"/>
      <c r="N453" s="188"/>
    </row>
    <row r="454">
      <c r="A454" s="188"/>
      <c r="B454" s="188"/>
      <c r="C454" s="189"/>
      <c r="D454" s="189"/>
      <c r="E454" s="189"/>
      <c r="F454" s="149"/>
      <c r="G454" s="190"/>
      <c r="H454" s="189"/>
      <c r="I454" s="149"/>
      <c r="J454" s="190"/>
      <c r="K454" s="189"/>
      <c r="L454" s="188"/>
      <c r="M454" s="188"/>
      <c r="N454" s="188"/>
    </row>
    <row r="455">
      <c r="A455" s="188"/>
      <c r="B455" s="188"/>
      <c r="C455" s="189"/>
      <c r="D455" s="189"/>
      <c r="E455" s="189"/>
      <c r="F455" s="149"/>
      <c r="G455" s="190"/>
      <c r="H455" s="189"/>
      <c r="I455" s="149"/>
      <c r="J455" s="190"/>
      <c r="K455" s="189"/>
      <c r="L455" s="188"/>
      <c r="M455" s="188"/>
      <c r="N455" s="188"/>
    </row>
    <row r="456">
      <c r="A456" s="188"/>
      <c r="B456" s="188"/>
      <c r="C456" s="189"/>
      <c r="D456" s="189"/>
      <c r="E456" s="189"/>
      <c r="F456" s="149"/>
      <c r="G456" s="190"/>
      <c r="H456" s="189"/>
      <c r="I456" s="149"/>
      <c r="J456" s="190"/>
      <c r="K456" s="189"/>
      <c r="L456" s="188"/>
      <c r="M456" s="188"/>
      <c r="N456" s="188"/>
    </row>
    <row r="457">
      <c r="A457" s="188"/>
      <c r="B457" s="188"/>
      <c r="C457" s="189"/>
      <c r="D457" s="189"/>
      <c r="E457" s="189"/>
      <c r="F457" s="149"/>
      <c r="G457" s="190"/>
      <c r="H457" s="189"/>
      <c r="I457" s="149"/>
      <c r="J457" s="190"/>
      <c r="K457" s="189"/>
      <c r="L457" s="188"/>
      <c r="M457" s="188"/>
      <c r="N457" s="188"/>
    </row>
    <row r="458">
      <c r="A458" s="188"/>
      <c r="B458" s="188"/>
      <c r="C458" s="189"/>
      <c r="D458" s="189"/>
      <c r="E458" s="189"/>
      <c r="F458" s="149"/>
      <c r="G458" s="190"/>
      <c r="H458" s="189"/>
      <c r="I458" s="149"/>
      <c r="J458" s="190"/>
      <c r="K458" s="189"/>
      <c r="L458" s="188"/>
      <c r="M458" s="188"/>
      <c r="N458" s="188"/>
    </row>
    <row r="459">
      <c r="A459" s="188"/>
      <c r="B459" s="188"/>
      <c r="C459" s="189"/>
      <c r="D459" s="189"/>
      <c r="E459" s="189"/>
      <c r="F459" s="149"/>
      <c r="G459" s="190"/>
      <c r="H459" s="189"/>
      <c r="I459" s="149"/>
      <c r="J459" s="190"/>
      <c r="K459" s="189"/>
      <c r="L459" s="188"/>
      <c r="M459" s="188"/>
      <c r="N459" s="188"/>
    </row>
    <row r="460">
      <c r="A460" s="188"/>
      <c r="B460" s="188"/>
      <c r="C460" s="189"/>
      <c r="D460" s="189"/>
      <c r="E460" s="189"/>
      <c r="F460" s="149"/>
      <c r="G460" s="190"/>
      <c r="H460" s="189"/>
      <c r="I460" s="149"/>
      <c r="J460" s="190"/>
      <c r="K460" s="189"/>
      <c r="L460" s="188"/>
      <c r="M460" s="188"/>
      <c r="N460" s="188"/>
    </row>
    <row r="461">
      <c r="A461" s="188"/>
      <c r="B461" s="188"/>
      <c r="C461" s="189"/>
      <c r="D461" s="189"/>
      <c r="E461" s="189"/>
      <c r="F461" s="149"/>
      <c r="G461" s="190"/>
      <c r="H461" s="189"/>
      <c r="I461" s="149"/>
      <c r="J461" s="190"/>
      <c r="K461" s="189"/>
      <c r="L461" s="188"/>
      <c r="M461" s="188"/>
      <c r="N461" s="188"/>
    </row>
    <row r="462">
      <c r="A462" s="188"/>
      <c r="B462" s="188"/>
      <c r="C462" s="189"/>
      <c r="D462" s="189"/>
      <c r="E462" s="189"/>
      <c r="F462" s="149"/>
      <c r="G462" s="190"/>
      <c r="H462" s="189"/>
      <c r="I462" s="149"/>
      <c r="J462" s="190"/>
      <c r="K462" s="189"/>
      <c r="L462" s="188"/>
      <c r="M462" s="188"/>
      <c r="N462" s="188"/>
    </row>
    <row r="463">
      <c r="A463" s="188"/>
      <c r="B463" s="188"/>
      <c r="C463" s="189"/>
      <c r="D463" s="189"/>
      <c r="E463" s="189"/>
      <c r="F463" s="149"/>
      <c r="G463" s="190"/>
      <c r="H463" s="189"/>
      <c r="I463" s="149"/>
      <c r="J463" s="190"/>
      <c r="K463" s="189"/>
      <c r="L463" s="188"/>
      <c r="M463" s="188"/>
      <c r="N463" s="188"/>
    </row>
    <row r="464">
      <c r="A464" s="188"/>
      <c r="B464" s="188"/>
      <c r="C464" s="189"/>
      <c r="D464" s="189"/>
      <c r="E464" s="189"/>
      <c r="F464" s="149"/>
      <c r="G464" s="190"/>
      <c r="H464" s="189"/>
      <c r="I464" s="149"/>
      <c r="J464" s="190"/>
      <c r="K464" s="189"/>
      <c r="L464" s="188"/>
      <c r="M464" s="188"/>
      <c r="N464" s="188"/>
    </row>
    <row r="465">
      <c r="A465" s="188"/>
      <c r="B465" s="188"/>
      <c r="C465" s="189"/>
      <c r="D465" s="189"/>
      <c r="E465" s="189"/>
      <c r="F465" s="149"/>
      <c r="G465" s="190"/>
      <c r="H465" s="189"/>
      <c r="I465" s="149"/>
      <c r="J465" s="190"/>
      <c r="K465" s="189"/>
      <c r="L465" s="188"/>
      <c r="M465" s="188"/>
      <c r="N465" s="188"/>
    </row>
    <row r="466">
      <c r="A466" s="188"/>
      <c r="B466" s="188"/>
      <c r="C466" s="189"/>
      <c r="D466" s="189"/>
      <c r="E466" s="189"/>
      <c r="F466" s="149"/>
      <c r="G466" s="190"/>
      <c r="H466" s="189"/>
      <c r="I466" s="149"/>
      <c r="J466" s="190"/>
      <c r="K466" s="189"/>
      <c r="L466" s="188"/>
      <c r="M466" s="188"/>
      <c r="N466" s="188"/>
    </row>
    <row r="467">
      <c r="A467" s="188"/>
      <c r="B467" s="188"/>
      <c r="C467" s="189"/>
      <c r="D467" s="189"/>
      <c r="E467" s="189"/>
      <c r="F467" s="149"/>
      <c r="G467" s="190"/>
      <c r="H467" s="189"/>
      <c r="I467" s="149"/>
      <c r="J467" s="190"/>
      <c r="K467" s="189"/>
      <c r="L467" s="188"/>
      <c r="M467" s="188"/>
      <c r="N467" s="188"/>
    </row>
    <row r="468">
      <c r="A468" s="188"/>
      <c r="B468" s="188"/>
      <c r="C468" s="189"/>
      <c r="D468" s="189"/>
      <c r="E468" s="189"/>
      <c r="F468" s="149"/>
      <c r="G468" s="190"/>
      <c r="H468" s="189"/>
      <c r="I468" s="149"/>
      <c r="J468" s="190"/>
      <c r="K468" s="189"/>
      <c r="L468" s="188"/>
      <c r="M468" s="188"/>
      <c r="N468" s="188"/>
    </row>
    <row r="469">
      <c r="A469" s="188"/>
      <c r="B469" s="188"/>
      <c r="C469" s="189"/>
      <c r="D469" s="189"/>
      <c r="E469" s="189"/>
      <c r="F469" s="149"/>
      <c r="G469" s="190"/>
      <c r="H469" s="189"/>
      <c r="I469" s="149"/>
      <c r="J469" s="190"/>
      <c r="K469" s="189"/>
      <c r="L469" s="188"/>
      <c r="M469" s="188"/>
      <c r="N469" s="188"/>
    </row>
    <row r="470">
      <c r="A470" s="188"/>
      <c r="B470" s="188"/>
      <c r="C470" s="189"/>
      <c r="D470" s="189"/>
      <c r="E470" s="189"/>
      <c r="F470" s="149"/>
      <c r="G470" s="190"/>
      <c r="H470" s="189"/>
      <c r="I470" s="149"/>
      <c r="J470" s="190"/>
      <c r="K470" s="189"/>
      <c r="L470" s="188"/>
      <c r="M470" s="188"/>
      <c r="N470" s="188"/>
    </row>
    <row r="471">
      <c r="A471" s="188"/>
      <c r="B471" s="188"/>
      <c r="C471" s="189"/>
      <c r="D471" s="189"/>
      <c r="E471" s="189"/>
      <c r="F471" s="149"/>
      <c r="G471" s="190"/>
      <c r="H471" s="189"/>
      <c r="I471" s="149"/>
      <c r="J471" s="190"/>
      <c r="K471" s="189"/>
      <c r="L471" s="188"/>
      <c r="M471" s="188"/>
      <c r="N471" s="188"/>
    </row>
    <row r="472">
      <c r="A472" s="188"/>
      <c r="B472" s="188"/>
      <c r="C472" s="189"/>
      <c r="D472" s="189"/>
      <c r="E472" s="189"/>
      <c r="F472" s="149"/>
      <c r="G472" s="190"/>
      <c r="H472" s="189"/>
      <c r="I472" s="149"/>
      <c r="J472" s="190"/>
      <c r="K472" s="189"/>
      <c r="L472" s="188"/>
      <c r="M472" s="188"/>
      <c r="N472" s="188"/>
    </row>
    <row r="473">
      <c r="A473" s="188"/>
      <c r="B473" s="188"/>
      <c r="C473" s="189"/>
      <c r="D473" s="189"/>
      <c r="E473" s="189"/>
      <c r="F473" s="149"/>
      <c r="G473" s="190"/>
      <c r="H473" s="189"/>
      <c r="I473" s="149"/>
      <c r="J473" s="190"/>
      <c r="K473" s="189"/>
      <c r="L473" s="188"/>
      <c r="M473" s="188"/>
      <c r="N473" s="188"/>
    </row>
    <row r="474">
      <c r="A474" s="188"/>
      <c r="B474" s="188"/>
      <c r="C474" s="189"/>
      <c r="D474" s="189"/>
      <c r="E474" s="189"/>
      <c r="F474" s="149"/>
      <c r="G474" s="190"/>
      <c r="H474" s="189"/>
      <c r="I474" s="149"/>
      <c r="J474" s="190"/>
      <c r="K474" s="189"/>
      <c r="L474" s="188"/>
      <c r="M474" s="188"/>
      <c r="N474" s="188"/>
    </row>
    <row r="475">
      <c r="A475" s="188"/>
      <c r="B475" s="188"/>
      <c r="C475" s="189"/>
      <c r="D475" s="189"/>
      <c r="E475" s="189"/>
      <c r="F475" s="149"/>
      <c r="G475" s="190"/>
      <c r="H475" s="189"/>
      <c r="I475" s="149"/>
      <c r="J475" s="190"/>
      <c r="K475" s="189"/>
      <c r="L475" s="188"/>
      <c r="M475" s="188"/>
      <c r="N475" s="188"/>
    </row>
    <row r="476">
      <c r="A476" s="188"/>
      <c r="B476" s="188"/>
      <c r="C476" s="189"/>
      <c r="D476" s="189"/>
      <c r="E476" s="189"/>
      <c r="F476" s="149"/>
      <c r="G476" s="190"/>
      <c r="H476" s="189"/>
      <c r="I476" s="149"/>
      <c r="J476" s="190"/>
      <c r="K476" s="189"/>
      <c r="L476" s="188"/>
      <c r="M476" s="188"/>
      <c r="N476" s="188"/>
    </row>
    <row r="477">
      <c r="A477" s="188"/>
      <c r="B477" s="188"/>
      <c r="C477" s="189"/>
      <c r="D477" s="189"/>
      <c r="E477" s="189"/>
      <c r="F477" s="149"/>
      <c r="G477" s="190"/>
      <c r="H477" s="189"/>
      <c r="I477" s="149"/>
      <c r="J477" s="190"/>
      <c r="K477" s="189"/>
      <c r="L477" s="188"/>
      <c r="M477" s="188"/>
      <c r="N477" s="188"/>
    </row>
    <row r="478">
      <c r="A478" s="188"/>
      <c r="B478" s="188"/>
      <c r="C478" s="189"/>
      <c r="D478" s="189"/>
      <c r="E478" s="189"/>
      <c r="F478" s="149"/>
      <c r="G478" s="190"/>
      <c r="H478" s="189"/>
      <c r="I478" s="149"/>
      <c r="J478" s="190"/>
      <c r="K478" s="189"/>
      <c r="L478" s="188"/>
      <c r="M478" s="188"/>
      <c r="N478" s="188"/>
    </row>
    <row r="479">
      <c r="A479" s="188"/>
      <c r="B479" s="188"/>
      <c r="C479" s="189"/>
      <c r="D479" s="189"/>
      <c r="E479" s="189"/>
      <c r="F479" s="149"/>
      <c r="G479" s="190"/>
      <c r="H479" s="189"/>
      <c r="I479" s="149"/>
      <c r="J479" s="190"/>
      <c r="K479" s="189"/>
      <c r="L479" s="188"/>
      <c r="M479" s="188"/>
      <c r="N479" s="188"/>
    </row>
    <row r="480">
      <c r="A480" s="188"/>
      <c r="B480" s="188"/>
      <c r="C480" s="189"/>
      <c r="D480" s="189"/>
      <c r="E480" s="189"/>
      <c r="F480" s="149"/>
      <c r="G480" s="190"/>
      <c r="H480" s="189"/>
      <c r="I480" s="149"/>
      <c r="J480" s="190"/>
      <c r="K480" s="189"/>
      <c r="L480" s="188"/>
      <c r="M480" s="188"/>
      <c r="N480" s="188"/>
    </row>
    <row r="481">
      <c r="A481" s="188"/>
      <c r="B481" s="188"/>
      <c r="C481" s="189"/>
      <c r="D481" s="189"/>
      <c r="E481" s="189"/>
      <c r="F481" s="149"/>
      <c r="G481" s="190"/>
      <c r="H481" s="189"/>
      <c r="I481" s="149"/>
      <c r="J481" s="190"/>
      <c r="K481" s="189"/>
      <c r="L481" s="188"/>
      <c r="M481" s="188"/>
      <c r="N481" s="188"/>
    </row>
    <row r="482">
      <c r="A482" s="188"/>
      <c r="B482" s="188"/>
      <c r="C482" s="189"/>
      <c r="D482" s="189"/>
      <c r="E482" s="189"/>
      <c r="F482" s="149"/>
      <c r="G482" s="190"/>
      <c r="H482" s="189"/>
      <c r="I482" s="149"/>
      <c r="J482" s="190"/>
      <c r="K482" s="189"/>
      <c r="L482" s="188"/>
      <c r="M482" s="188"/>
      <c r="N482" s="188"/>
    </row>
    <row r="483">
      <c r="A483" s="188"/>
      <c r="B483" s="188"/>
      <c r="C483" s="189"/>
      <c r="D483" s="189"/>
      <c r="E483" s="189"/>
      <c r="F483" s="149"/>
      <c r="G483" s="190"/>
      <c r="H483" s="189"/>
      <c r="I483" s="149"/>
      <c r="J483" s="190"/>
      <c r="K483" s="189"/>
      <c r="L483" s="188"/>
      <c r="M483" s="188"/>
      <c r="N483" s="188"/>
    </row>
    <row r="484">
      <c r="A484" s="188"/>
      <c r="B484" s="188"/>
      <c r="C484" s="189"/>
      <c r="D484" s="189"/>
      <c r="E484" s="189"/>
      <c r="F484" s="149"/>
      <c r="G484" s="190"/>
      <c r="H484" s="189"/>
      <c r="I484" s="149"/>
      <c r="J484" s="190"/>
      <c r="K484" s="189"/>
      <c r="L484" s="188"/>
      <c r="M484" s="188"/>
      <c r="N484" s="188"/>
    </row>
    <row r="485">
      <c r="A485" s="188"/>
      <c r="B485" s="188"/>
      <c r="C485" s="189"/>
      <c r="D485" s="189"/>
      <c r="E485" s="189"/>
      <c r="F485" s="149"/>
      <c r="G485" s="190"/>
      <c r="H485" s="189"/>
      <c r="I485" s="149"/>
      <c r="J485" s="190"/>
      <c r="K485" s="189"/>
      <c r="L485" s="188"/>
      <c r="M485" s="188"/>
      <c r="N485" s="188"/>
    </row>
    <row r="486">
      <c r="A486" s="188"/>
      <c r="B486" s="188"/>
      <c r="C486" s="189"/>
      <c r="D486" s="189"/>
      <c r="E486" s="189"/>
      <c r="F486" s="149"/>
      <c r="G486" s="190"/>
      <c r="H486" s="189"/>
      <c r="I486" s="149"/>
      <c r="J486" s="190"/>
      <c r="K486" s="189"/>
      <c r="L486" s="188"/>
      <c r="M486" s="188"/>
      <c r="N486" s="188"/>
    </row>
    <row r="487">
      <c r="A487" s="188"/>
      <c r="B487" s="188"/>
      <c r="C487" s="189"/>
      <c r="D487" s="189"/>
      <c r="E487" s="189"/>
      <c r="F487" s="149"/>
      <c r="G487" s="190"/>
      <c r="H487" s="189"/>
      <c r="I487" s="149"/>
      <c r="J487" s="190"/>
      <c r="K487" s="189"/>
      <c r="L487" s="188"/>
      <c r="M487" s="188"/>
      <c r="N487" s="188"/>
    </row>
    <row r="488">
      <c r="A488" s="188"/>
      <c r="B488" s="188"/>
      <c r="C488" s="189"/>
      <c r="D488" s="189"/>
      <c r="E488" s="189"/>
      <c r="F488" s="149"/>
      <c r="G488" s="190"/>
      <c r="H488" s="189"/>
      <c r="I488" s="149"/>
      <c r="J488" s="190"/>
      <c r="K488" s="189"/>
      <c r="L488" s="188"/>
      <c r="M488" s="188"/>
      <c r="N488" s="188"/>
    </row>
    <row r="489">
      <c r="A489" s="188"/>
      <c r="B489" s="188"/>
      <c r="C489" s="189"/>
      <c r="D489" s="189"/>
      <c r="E489" s="189"/>
      <c r="F489" s="149"/>
      <c r="G489" s="190"/>
      <c r="H489" s="189"/>
      <c r="I489" s="149"/>
      <c r="J489" s="190"/>
      <c r="K489" s="189"/>
      <c r="L489" s="188"/>
      <c r="M489" s="188"/>
      <c r="N489" s="188"/>
    </row>
    <row r="490">
      <c r="A490" s="188"/>
      <c r="B490" s="188"/>
      <c r="C490" s="189"/>
      <c r="D490" s="189"/>
      <c r="E490" s="189"/>
      <c r="F490" s="149"/>
      <c r="G490" s="190"/>
      <c r="H490" s="189"/>
      <c r="I490" s="149"/>
      <c r="J490" s="190"/>
      <c r="K490" s="189"/>
      <c r="L490" s="188"/>
      <c r="M490" s="188"/>
      <c r="N490" s="188"/>
    </row>
    <row r="491">
      <c r="A491" s="188"/>
      <c r="B491" s="188"/>
      <c r="C491" s="189"/>
      <c r="D491" s="189"/>
      <c r="E491" s="189"/>
      <c r="F491" s="149"/>
      <c r="G491" s="190"/>
      <c r="H491" s="189"/>
      <c r="I491" s="149"/>
      <c r="J491" s="190"/>
      <c r="K491" s="189"/>
      <c r="L491" s="188"/>
      <c r="M491" s="188"/>
      <c r="N491" s="188"/>
    </row>
    <row r="492">
      <c r="A492" s="188"/>
      <c r="B492" s="188"/>
      <c r="C492" s="189"/>
      <c r="D492" s="189"/>
      <c r="E492" s="189"/>
      <c r="F492" s="149"/>
      <c r="G492" s="190"/>
      <c r="H492" s="189"/>
      <c r="I492" s="149"/>
      <c r="J492" s="190"/>
      <c r="K492" s="189"/>
      <c r="L492" s="188"/>
      <c r="M492" s="188"/>
      <c r="N492" s="188"/>
    </row>
    <row r="493">
      <c r="A493" s="188"/>
      <c r="B493" s="188"/>
      <c r="C493" s="189"/>
      <c r="D493" s="189"/>
      <c r="E493" s="189"/>
      <c r="F493" s="149"/>
      <c r="G493" s="190"/>
      <c r="H493" s="189"/>
      <c r="I493" s="149"/>
      <c r="J493" s="190"/>
      <c r="K493" s="189"/>
      <c r="L493" s="188"/>
      <c r="M493" s="188"/>
      <c r="N493" s="188"/>
    </row>
    <row r="494">
      <c r="A494" s="188"/>
      <c r="B494" s="188"/>
      <c r="C494" s="189"/>
      <c r="D494" s="189"/>
      <c r="E494" s="189"/>
      <c r="F494" s="149"/>
      <c r="G494" s="190"/>
      <c r="H494" s="189"/>
      <c r="I494" s="149"/>
      <c r="J494" s="190"/>
      <c r="K494" s="189"/>
      <c r="L494" s="188"/>
      <c r="M494" s="188"/>
      <c r="N494" s="188"/>
    </row>
    <row r="495">
      <c r="A495" s="188"/>
      <c r="B495" s="188"/>
      <c r="C495" s="189"/>
      <c r="D495" s="189"/>
      <c r="E495" s="189"/>
      <c r="F495" s="149"/>
      <c r="G495" s="190"/>
      <c r="H495" s="189"/>
      <c r="I495" s="149"/>
      <c r="J495" s="190"/>
      <c r="K495" s="189"/>
      <c r="L495" s="188"/>
      <c r="M495" s="188"/>
      <c r="N495" s="188"/>
    </row>
    <row r="496">
      <c r="A496" s="188"/>
      <c r="B496" s="188"/>
      <c r="C496" s="189"/>
      <c r="D496" s="189"/>
      <c r="E496" s="189"/>
      <c r="F496" s="149"/>
      <c r="G496" s="190"/>
      <c r="H496" s="189"/>
      <c r="I496" s="149"/>
      <c r="J496" s="190"/>
      <c r="K496" s="189"/>
      <c r="L496" s="188"/>
      <c r="M496" s="188"/>
      <c r="N496" s="188"/>
    </row>
    <row r="497">
      <c r="A497" s="188"/>
      <c r="B497" s="188"/>
      <c r="C497" s="189"/>
      <c r="D497" s="189"/>
      <c r="E497" s="189"/>
      <c r="F497" s="149"/>
      <c r="G497" s="190"/>
      <c r="H497" s="189"/>
      <c r="I497" s="149"/>
      <c r="J497" s="190"/>
      <c r="K497" s="189"/>
      <c r="L497" s="188"/>
      <c r="M497" s="188"/>
      <c r="N497" s="188"/>
    </row>
    <row r="498">
      <c r="A498" s="188"/>
      <c r="B498" s="188"/>
      <c r="C498" s="189"/>
      <c r="D498" s="189"/>
      <c r="E498" s="189"/>
      <c r="F498" s="149"/>
      <c r="G498" s="190"/>
      <c r="H498" s="189"/>
      <c r="I498" s="149"/>
      <c r="J498" s="190"/>
      <c r="K498" s="189"/>
      <c r="L498" s="188"/>
      <c r="M498" s="188"/>
      <c r="N498" s="188"/>
    </row>
    <row r="499">
      <c r="A499" s="188"/>
      <c r="B499" s="188"/>
      <c r="C499" s="189"/>
      <c r="D499" s="189"/>
      <c r="E499" s="189"/>
      <c r="F499" s="149"/>
      <c r="G499" s="190"/>
      <c r="H499" s="189"/>
      <c r="I499" s="149"/>
      <c r="J499" s="190"/>
      <c r="K499" s="189"/>
      <c r="L499" s="188"/>
      <c r="M499" s="188"/>
      <c r="N499" s="188"/>
    </row>
    <row r="500">
      <c r="A500" s="188"/>
      <c r="B500" s="188"/>
      <c r="C500" s="189"/>
      <c r="D500" s="189"/>
      <c r="E500" s="189"/>
      <c r="F500" s="149"/>
      <c r="G500" s="190"/>
      <c r="H500" s="189"/>
      <c r="I500" s="149"/>
      <c r="J500" s="190"/>
      <c r="K500" s="189"/>
      <c r="L500" s="188"/>
      <c r="M500" s="188"/>
      <c r="N500" s="188"/>
    </row>
    <row r="501">
      <c r="A501" s="188"/>
      <c r="B501" s="188"/>
      <c r="C501" s="189"/>
      <c r="D501" s="189"/>
      <c r="E501" s="189"/>
      <c r="F501" s="149"/>
      <c r="G501" s="190"/>
      <c r="H501" s="189"/>
      <c r="I501" s="149"/>
      <c r="J501" s="190"/>
      <c r="K501" s="189"/>
      <c r="L501" s="188"/>
      <c r="M501" s="188"/>
      <c r="N501" s="188"/>
    </row>
    <row r="502">
      <c r="A502" s="188"/>
      <c r="B502" s="188"/>
      <c r="C502" s="189"/>
      <c r="D502" s="189"/>
      <c r="E502" s="189"/>
      <c r="F502" s="149"/>
      <c r="G502" s="190"/>
      <c r="H502" s="189"/>
      <c r="I502" s="149"/>
      <c r="J502" s="190"/>
      <c r="K502" s="189"/>
      <c r="L502" s="188"/>
      <c r="M502" s="188"/>
      <c r="N502" s="188"/>
    </row>
    <row r="503">
      <c r="A503" s="188"/>
      <c r="B503" s="188"/>
      <c r="C503" s="189"/>
      <c r="D503" s="189"/>
      <c r="E503" s="189"/>
      <c r="F503" s="149"/>
      <c r="G503" s="190"/>
      <c r="H503" s="189"/>
      <c r="I503" s="149"/>
      <c r="J503" s="190"/>
      <c r="K503" s="189"/>
      <c r="L503" s="188"/>
      <c r="M503" s="188"/>
      <c r="N503" s="188"/>
    </row>
    <row r="504">
      <c r="A504" s="188"/>
      <c r="B504" s="188"/>
      <c r="C504" s="189"/>
      <c r="D504" s="189"/>
      <c r="E504" s="189"/>
      <c r="F504" s="149"/>
      <c r="G504" s="190"/>
      <c r="H504" s="189"/>
      <c r="I504" s="149"/>
      <c r="J504" s="190"/>
      <c r="K504" s="189"/>
      <c r="L504" s="188"/>
      <c r="M504" s="188"/>
      <c r="N504" s="188"/>
    </row>
    <row r="505">
      <c r="A505" s="188"/>
      <c r="B505" s="188"/>
      <c r="C505" s="189"/>
      <c r="D505" s="189"/>
      <c r="E505" s="189"/>
      <c r="F505" s="149"/>
      <c r="G505" s="190"/>
      <c r="H505" s="189"/>
      <c r="I505" s="149"/>
      <c r="J505" s="190"/>
      <c r="K505" s="189"/>
      <c r="L505" s="188"/>
      <c r="M505" s="188"/>
      <c r="N505" s="188"/>
    </row>
    <row r="506">
      <c r="A506" s="188"/>
      <c r="B506" s="188"/>
      <c r="C506" s="189"/>
      <c r="D506" s="189"/>
      <c r="E506" s="189"/>
      <c r="F506" s="149"/>
      <c r="G506" s="190"/>
      <c r="H506" s="189"/>
      <c r="I506" s="149"/>
      <c r="J506" s="190"/>
      <c r="K506" s="189"/>
      <c r="L506" s="188"/>
      <c r="M506" s="188"/>
      <c r="N506" s="188"/>
    </row>
    <row r="507">
      <c r="A507" s="188"/>
      <c r="B507" s="188"/>
      <c r="C507" s="189"/>
      <c r="D507" s="189"/>
      <c r="E507" s="189"/>
      <c r="F507" s="149"/>
      <c r="G507" s="190"/>
      <c r="H507" s="189"/>
      <c r="I507" s="149"/>
      <c r="J507" s="190"/>
      <c r="K507" s="189"/>
      <c r="L507" s="188"/>
      <c r="M507" s="188"/>
      <c r="N507" s="188"/>
    </row>
    <row r="508">
      <c r="A508" s="188"/>
      <c r="B508" s="188"/>
      <c r="C508" s="189"/>
      <c r="D508" s="189"/>
      <c r="E508" s="189"/>
      <c r="F508" s="149"/>
      <c r="G508" s="190"/>
      <c r="H508" s="189"/>
      <c r="I508" s="149"/>
      <c r="J508" s="190"/>
      <c r="K508" s="189"/>
      <c r="L508" s="188"/>
      <c r="M508" s="188"/>
      <c r="N508" s="188"/>
    </row>
    <row r="509">
      <c r="A509" s="188"/>
      <c r="B509" s="188"/>
      <c r="C509" s="189"/>
      <c r="D509" s="189"/>
      <c r="E509" s="189"/>
      <c r="F509" s="149"/>
      <c r="G509" s="190"/>
      <c r="H509" s="189"/>
      <c r="I509" s="149"/>
      <c r="J509" s="190"/>
      <c r="K509" s="189"/>
      <c r="L509" s="188"/>
      <c r="M509" s="188"/>
      <c r="N509" s="188"/>
    </row>
    <row r="510">
      <c r="A510" s="188"/>
      <c r="B510" s="188"/>
      <c r="C510" s="189"/>
      <c r="D510" s="189"/>
      <c r="E510" s="189"/>
      <c r="F510" s="149"/>
      <c r="G510" s="190"/>
      <c r="H510" s="189"/>
      <c r="I510" s="149"/>
      <c r="J510" s="190"/>
      <c r="K510" s="189"/>
      <c r="L510" s="188"/>
      <c r="M510" s="188"/>
      <c r="N510" s="188"/>
    </row>
    <row r="511">
      <c r="A511" s="188"/>
      <c r="B511" s="188"/>
      <c r="C511" s="189"/>
      <c r="D511" s="189"/>
      <c r="E511" s="189"/>
      <c r="F511" s="149"/>
      <c r="G511" s="190"/>
      <c r="H511" s="189"/>
      <c r="I511" s="149"/>
      <c r="J511" s="190"/>
      <c r="K511" s="189"/>
      <c r="L511" s="188"/>
      <c r="M511" s="188"/>
      <c r="N511" s="188"/>
    </row>
    <row r="512">
      <c r="A512" s="188"/>
      <c r="B512" s="188"/>
      <c r="C512" s="189"/>
      <c r="D512" s="189"/>
      <c r="E512" s="189"/>
      <c r="F512" s="149"/>
      <c r="G512" s="190"/>
      <c r="H512" s="189"/>
      <c r="I512" s="149"/>
      <c r="J512" s="190"/>
      <c r="K512" s="189"/>
      <c r="L512" s="188"/>
      <c r="M512" s="188"/>
      <c r="N512" s="188"/>
    </row>
    <row r="513">
      <c r="A513" s="188"/>
      <c r="B513" s="188"/>
      <c r="C513" s="189"/>
      <c r="D513" s="189"/>
      <c r="E513" s="189"/>
      <c r="F513" s="149"/>
      <c r="G513" s="190"/>
      <c r="H513" s="189"/>
      <c r="I513" s="149"/>
      <c r="J513" s="190"/>
      <c r="K513" s="189"/>
      <c r="L513" s="188"/>
      <c r="M513" s="188"/>
      <c r="N513" s="188"/>
    </row>
    <row r="514">
      <c r="A514" s="188"/>
      <c r="B514" s="188"/>
      <c r="C514" s="189"/>
      <c r="D514" s="189"/>
      <c r="E514" s="189"/>
      <c r="F514" s="149"/>
      <c r="G514" s="190"/>
      <c r="H514" s="189"/>
      <c r="I514" s="149"/>
      <c r="J514" s="190"/>
      <c r="K514" s="189"/>
      <c r="L514" s="188"/>
      <c r="M514" s="188"/>
      <c r="N514" s="188"/>
    </row>
    <row r="515">
      <c r="A515" s="188"/>
      <c r="B515" s="188"/>
      <c r="C515" s="189"/>
      <c r="D515" s="189"/>
      <c r="E515" s="189"/>
      <c r="F515" s="149"/>
      <c r="G515" s="190"/>
      <c r="H515" s="189"/>
      <c r="I515" s="149"/>
      <c r="J515" s="190"/>
      <c r="K515" s="189"/>
      <c r="L515" s="188"/>
      <c r="M515" s="188"/>
      <c r="N515" s="188"/>
    </row>
    <row r="516">
      <c r="A516" s="188"/>
      <c r="B516" s="188"/>
      <c r="C516" s="189"/>
      <c r="D516" s="189"/>
      <c r="E516" s="189"/>
      <c r="F516" s="149"/>
      <c r="G516" s="190"/>
      <c r="H516" s="189"/>
      <c r="I516" s="149"/>
      <c r="J516" s="190"/>
      <c r="K516" s="189"/>
      <c r="L516" s="188"/>
      <c r="M516" s="188"/>
      <c r="N516" s="188"/>
    </row>
    <row r="517">
      <c r="A517" s="188"/>
      <c r="B517" s="188"/>
      <c r="C517" s="189"/>
      <c r="D517" s="189"/>
      <c r="E517" s="189"/>
      <c r="F517" s="149"/>
      <c r="G517" s="190"/>
      <c r="H517" s="189"/>
      <c r="I517" s="149"/>
      <c r="J517" s="190"/>
      <c r="K517" s="189"/>
      <c r="L517" s="188"/>
      <c r="M517" s="188"/>
      <c r="N517" s="188"/>
    </row>
    <row r="518">
      <c r="A518" s="188"/>
      <c r="B518" s="188"/>
      <c r="C518" s="189"/>
      <c r="D518" s="189"/>
      <c r="E518" s="189"/>
      <c r="F518" s="149"/>
      <c r="G518" s="190"/>
      <c r="H518" s="189"/>
      <c r="I518" s="149"/>
      <c r="J518" s="190"/>
      <c r="K518" s="189"/>
      <c r="L518" s="188"/>
      <c r="M518" s="188"/>
      <c r="N518" s="188"/>
    </row>
    <row r="519">
      <c r="A519" s="188"/>
      <c r="B519" s="188"/>
      <c r="C519" s="189"/>
      <c r="D519" s="189"/>
      <c r="E519" s="189"/>
      <c r="F519" s="149"/>
      <c r="G519" s="190"/>
      <c r="H519" s="189"/>
      <c r="I519" s="149"/>
      <c r="J519" s="190"/>
      <c r="K519" s="189"/>
      <c r="L519" s="188"/>
      <c r="M519" s="188"/>
      <c r="N519" s="188"/>
    </row>
    <row r="520">
      <c r="A520" s="188"/>
      <c r="B520" s="188"/>
      <c r="C520" s="189"/>
      <c r="D520" s="189"/>
      <c r="E520" s="189"/>
      <c r="F520" s="149"/>
      <c r="G520" s="190"/>
      <c r="H520" s="189"/>
      <c r="I520" s="149"/>
      <c r="J520" s="190"/>
      <c r="K520" s="189"/>
      <c r="L520" s="188"/>
      <c r="M520" s="188"/>
      <c r="N520" s="188"/>
    </row>
    <row r="521">
      <c r="A521" s="188"/>
      <c r="B521" s="188"/>
      <c r="C521" s="189"/>
      <c r="D521" s="189"/>
      <c r="E521" s="189"/>
      <c r="F521" s="149"/>
      <c r="G521" s="190"/>
      <c r="H521" s="189"/>
      <c r="I521" s="149"/>
      <c r="J521" s="190"/>
      <c r="K521" s="189"/>
      <c r="L521" s="188"/>
      <c r="M521" s="188"/>
      <c r="N521" s="188"/>
    </row>
    <row r="522">
      <c r="A522" s="188"/>
      <c r="B522" s="188"/>
      <c r="C522" s="189"/>
      <c r="D522" s="189"/>
      <c r="E522" s="189"/>
      <c r="F522" s="149"/>
      <c r="G522" s="190"/>
      <c r="H522" s="189"/>
      <c r="I522" s="149"/>
      <c r="J522" s="190"/>
      <c r="K522" s="189"/>
      <c r="L522" s="188"/>
      <c r="M522" s="188"/>
      <c r="N522" s="188"/>
    </row>
    <row r="523">
      <c r="A523" s="188"/>
      <c r="B523" s="188"/>
      <c r="C523" s="189"/>
      <c r="D523" s="189"/>
      <c r="E523" s="189"/>
      <c r="F523" s="149"/>
      <c r="G523" s="190"/>
      <c r="H523" s="189"/>
      <c r="I523" s="149"/>
      <c r="J523" s="190"/>
      <c r="K523" s="189"/>
      <c r="L523" s="188"/>
      <c r="M523" s="188"/>
      <c r="N523" s="188"/>
    </row>
    <row r="524">
      <c r="A524" s="188"/>
      <c r="B524" s="188"/>
      <c r="C524" s="189"/>
      <c r="D524" s="189"/>
      <c r="E524" s="189"/>
      <c r="F524" s="149"/>
      <c r="G524" s="190"/>
      <c r="H524" s="189"/>
      <c r="I524" s="149"/>
      <c r="J524" s="190"/>
      <c r="K524" s="189"/>
      <c r="L524" s="188"/>
      <c r="M524" s="188"/>
      <c r="N524" s="188"/>
    </row>
    <row r="525">
      <c r="A525" s="188"/>
      <c r="B525" s="188"/>
      <c r="C525" s="189"/>
      <c r="D525" s="189"/>
      <c r="E525" s="189"/>
      <c r="F525" s="149"/>
      <c r="G525" s="190"/>
      <c r="H525" s="189"/>
      <c r="I525" s="149"/>
      <c r="J525" s="190"/>
      <c r="K525" s="189"/>
      <c r="L525" s="188"/>
      <c r="M525" s="188"/>
      <c r="N525" s="188"/>
    </row>
    <row r="526">
      <c r="A526" s="188"/>
      <c r="B526" s="188"/>
      <c r="C526" s="189"/>
      <c r="D526" s="189"/>
      <c r="E526" s="189"/>
      <c r="F526" s="149"/>
      <c r="G526" s="190"/>
      <c r="H526" s="189"/>
      <c r="I526" s="149"/>
      <c r="J526" s="190"/>
      <c r="K526" s="189"/>
      <c r="L526" s="188"/>
      <c r="M526" s="188"/>
      <c r="N526" s="188"/>
    </row>
    <row r="527">
      <c r="A527" s="188"/>
      <c r="B527" s="188"/>
      <c r="C527" s="189"/>
      <c r="D527" s="189"/>
      <c r="E527" s="189"/>
      <c r="F527" s="149"/>
      <c r="G527" s="190"/>
      <c r="H527" s="189"/>
      <c r="I527" s="149"/>
      <c r="J527" s="190"/>
      <c r="K527" s="189"/>
      <c r="L527" s="188"/>
      <c r="M527" s="188"/>
      <c r="N527" s="188"/>
    </row>
    <row r="528">
      <c r="A528" s="188"/>
      <c r="B528" s="188"/>
      <c r="C528" s="189"/>
      <c r="D528" s="189"/>
      <c r="E528" s="189"/>
      <c r="F528" s="149"/>
      <c r="G528" s="190"/>
      <c r="H528" s="189"/>
      <c r="I528" s="149"/>
      <c r="J528" s="190"/>
      <c r="K528" s="189"/>
      <c r="L528" s="188"/>
      <c r="M528" s="188"/>
      <c r="N528" s="188"/>
    </row>
    <row r="529">
      <c r="A529" s="188"/>
      <c r="B529" s="188"/>
      <c r="C529" s="189"/>
      <c r="D529" s="189"/>
      <c r="E529" s="189"/>
      <c r="F529" s="149"/>
      <c r="G529" s="190"/>
      <c r="H529" s="189"/>
      <c r="I529" s="149"/>
      <c r="J529" s="190"/>
      <c r="K529" s="189"/>
      <c r="L529" s="188"/>
      <c r="M529" s="188"/>
      <c r="N529" s="188"/>
    </row>
    <row r="530">
      <c r="A530" s="188"/>
      <c r="B530" s="188"/>
      <c r="C530" s="189"/>
      <c r="D530" s="189"/>
      <c r="E530" s="189"/>
      <c r="F530" s="149"/>
      <c r="G530" s="190"/>
      <c r="H530" s="189"/>
      <c r="I530" s="149"/>
      <c r="J530" s="190"/>
      <c r="K530" s="189"/>
      <c r="L530" s="188"/>
      <c r="M530" s="188"/>
      <c r="N530" s="188"/>
    </row>
    <row r="531">
      <c r="A531" s="188"/>
      <c r="B531" s="188"/>
      <c r="C531" s="189"/>
      <c r="D531" s="189"/>
      <c r="E531" s="189"/>
      <c r="F531" s="149"/>
      <c r="G531" s="190"/>
      <c r="H531" s="189"/>
      <c r="I531" s="149"/>
      <c r="J531" s="190"/>
      <c r="K531" s="189"/>
      <c r="L531" s="188"/>
      <c r="M531" s="188"/>
      <c r="N531" s="188"/>
    </row>
    <row r="532">
      <c r="A532" s="188"/>
      <c r="B532" s="188"/>
      <c r="C532" s="189"/>
      <c r="D532" s="189"/>
      <c r="E532" s="189"/>
      <c r="F532" s="149"/>
      <c r="G532" s="190"/>
      <c r="H532" s="189"/>
      <c r="I532" s="149"/>
      <c r="J532" s="190"/>
      <c r="K532" s="189"/>
      <c r="L532" s="188"/>
      <c r="M532" s="188"/>
      <c r="N532" s="188"/>
    </row>
    <row r="533">
      <c r="A533" s="188"/>
      <c r="B533" s="188"/>
      <c r="C533" s="189"/>
      <c r="D533" s="189"/>
      <c r="E533" s="189"/>
      <c r="F533" s="149"/>
      <c r="G533" s="190"/>
      <c r="H533" s="189"/>
      <c r="I533" s="149"/>
      <c r="J533" s="190"/>
      <c r="K533" s="189"/>
      <c r="L533" s="188"/>
      <c r="M533" s="188"/>
      <c r="N533" s="188"/>
    </row>
    <row r="534">
      <c r="A534" s="188"/>
      <c r="B534" s="188"/>
      <c r="C534" s="189"/>
      <c r="D534" s="189"/>
      <c r="E534" s="189"/>
      <c r="F534" s="149"/>
      <c r="G534" s="190"/>
      <c r="H534" s="189"/>
      <c r="I534" s="149"/>
      <c r="J534" s="190"/>
      <c r="K534" s="189"/>
      <c r="L534" s="188"/>
      <c r="M534" s="188"/>
      <c r="N534" s="188"/>
    </row>
    <row r="535">
      <c r="A535" s="188"/>
      <c r="B535" s="188"/>
      <c r="C535" s="189"/>
      <c r="D535" s="189"/>
      <c r="E535" s="189"/>
      <c r="F535" s="149"/>
      <c r="G535" s="190"/>
      <c r="H535" s="189"/>
      <c r="I535" s="149"/>
      <c r="J535" s="190"/>
      <c r="K535" s="189"/>
      <c r="L535" s="188"/>
      <c r="M535" s="188"/>
      <c r="N535" s="188"/>
    </row>
    <row r="536">
      <c r="A536" s="188"/>
      <c r="B536" s="188"/>
      <c r="C536" s="189"/>
      <c r="D536" s="189"/>
      <c r="E536" s="189"/>
      <c r="F536" s="149"/>
      <c r="G536" s="190"/>
      <c r="H536" s="189"/>
      <c r="I536" s="149"/>
      <c r="J536" s="190"/>
      <c r="K536" s="189"/>
      <c r="L536" s="188"/>
      <c r="M536" s="188"/>
      <c r="N536" s="188"/>
    </row>
    <row r="537">
      <c r="A537" s="188"/>
      <c r="B537" s="188"/>
      <c r="C537" s="189"/>
      <c r="D537" s="189"/>
      <c r="E537" s="189"/>
      <c r="F537" s="149"/>
      <c r="G537" s="190"/>
      <c r="H537" s="189"/>
      <c r="I537" s="149"/>
      <c r="J537" s="190"/>
      <c r="K537" s="189"/>
      <c r="L537" s="188"/>
      <c r="M537" s="188"/>
      <c r="N537" s="188"/>
    </row>
    <row r="538">
      <c r="A538" s="188"/>
      <c r="B538" s="188"/>
      <c r="C538" s="189"/>
      <c r="D538" s="189"/>
      <c r="E538" s="189"/>
      <c r="F538" s="149"/>
      <c r="G538" s="190"/>
      <c r="H538" s="189"/>
      <c r="I538" s="149"/>
      <c r="J538" s="190"/>
      <c r="K538" s="189"/>
      <c r="L538" s="188"/>
      <c r="M538" s="188"/>
      <c r="N538" s="188"/>
    </row>
    <row r="539">
      <c r="A539" s="188"/>
      <c r="B539" s="188"/>
      <c r="C539" s="189"/>
      <c r="D539" s="189"/>
      <c r="E539" s="189"/>
      <c r="F539" s="149"/>
      <c r="G539" s="190"/>
      <c r="H539" s="189"/>
      <c r="I539" s="149"/>
      <c r="J539" s="190"/>
      <c r="K539" s="189"/>
      <c r="L539" s="188"/>
      <c r="M539" s="188"/>
      <c r="N539" s="188"/>
    </row>
    <row r="540">
      <c r="A540" s="188"/>
      <c r="B540" s="188"/>
      <c r="C540" s="189"/>
      <c r="D540" s="189"/>
      <c r="E540" s="189"/>
      <c r="F540" s="149"/>
      <c r="G540" s="190"/>
      <c r="H540" s="189"/>
      <c r="I540" s="149"/>
      <c r="J540" s="190"/>
      <c r="K540" s="189"/>
      <c r="L540" s="188"/>
      <c r="M540" s="188"/>
      <c r="N540" s="188"/>
    </row>
    <row r="541">
      <c r="A541" s="188"/>
      <c r="B541" s="188"/>
      <c r="C541" s="189"/>
      <c r="D541" s="189"/>
      <c r="E541" s="189"/>
      <c r="F541" s="149"/>
      <c r="G541" s="190"/>
      <c r="H541" s="189"/>
      <c r="I541" s="149"/>
      <c r="J541" s="190"/>
      <c r="K541" s="189"/>
      <c r="L541" s="188"/>
      <c r="M541" s="188"/>
      <c r="N541" s="188"/>
    </row>
    <row r="542">
      <c r="A542" s="188"/>
      <c r="B542" s="188"/>
      <c r="C542" s="189"/>
      <c r="D542" s="189"/>
      <c r="E542" s="189"/>
      <c r="F542" s="149"/>
      <c r="G542" s="190"/>
      <c r="H542" s="189"/>
      <c r="I542" s="149"/>
      <c r="J542" s="190"/>
      <c r="K542" s="189"/>
      <c r="L542" s="188"/>
      <c r="M542" s="188"/>
      <c r="N542" s="188"/>
    </row>
    <row r="543">
      <c r="A543" s="188"/>
      <c r="B543" s="188"/>
      <c r="C543" s="189"/>
      <c r="D543" s="189"/>
      <c r="E543" s="189"/>
      <c r="F543" s="149"/>
      <c r="G543" s="190"/>
      <c r="H543" s="189"/>
      <c r="I543" s="149"/>
      <c r="J543" s="190"/>
      <c r="K543" s="189"/>
      <c r="L543" s="188"/>
      <c r="M543" s="188"/>
      <c r="N543" s="188"/>
    </row>
    <row r="544">
      <c r="A544" s="188"/>
      <c r="B544" s="188"/>
      <c r="C544" s="189"/>
      <c r="D544" s="189"/>
      <c r="E544" s="189"/>
      <c r="F544" s="149"/>
      <c r="G544" s="190"/>
      <c r="H544" s="189"/>
      <c r="I544" s="149"/>
      <c r="J544" s="190"/>
      <c r="K544" s="189"/>
      <c r="L544" s="188"/>
      <c r="M544" s="188"/>
      <c r="N544" s="188"/>
    </row>
    <row r="545">
      <c r="A545" s="188"/>
      <c r="B545" s="188"/>
      <c r="C545" s="189"/>
      <c r="D545" s="189"/>
      <c r="E545" s="189"/>
      <c r="F545" s="149"/>
      <c r="G545" s="190"/>
      <c r="H545" s="189"/>
      <c r="I545" s="149"/>
      <c r="J545" s="190"/>
      <c r="K545" s="189"/>
      <c r="L545" s="188"/>
      <c r="M545" s="188"/>
      <c r="N545" s="188"/>
    </row>
    <row r="546">
      <c r="A546" s="188"/>
      <c r="B546" s="188"/>
      <c r="C546" s="189"/>
      <c r="D546" s="189"/>
      <c r="E546" s="189"/>
      <c r="F546" s="149"/>
      <c r="G546" s="190"/>
      <c r="H546" s="189"/>
      <c r="I546" s="149"/>
      <c r="J546" s="190"/>
      <c r="K546" s="189"/>
      <c r="L546" s="188"/>
      <c r="M546" s="188"/>
      <c r="N546" s="188"/>
    </row>
    <row r="547">
      <c r="A547" s="188"/>
      <c r="B547" s="188"/>
      <c r="C547" s="189"/>
      <c r="D547" s="189"/>
      <c r="E547" s="189"/>
      <c r="F547" s="149"/>
      <c r="G547" s="190"/>
      <c r="H547" s="189"/>
      <c r="I547" s="149"/>
      <c r="J547" s="190"/>
      <c r="K547" s="189"/>
      <c r="L547" s="188"/>
      <c r="M547" s="188"/>
      <c r="N547" s="188"/>
    </row>
    <row r="548">
      <c r="A548" s="188"/>
      <c r="B548" s="188"/>
      <c r="C548" s="189"/>
      <c r="D548" s="189"/>
      <c r="E548" s="189"/>
      <c r="F548" s="149"/>
      <c r="G548" s="190"/>
      <c r="H548" s="189"/>
      <c r="I548" s="149"/>
      <c r="J548" s="190"/>
      <c r="K548" s="189"/>
      <c r="L548" s="188"/>
      <c r="M548" s="188"/>
      <c r="N548" s="188"/>
    </row>
    <row r="549">
      <c r="A549" s="188"/>
      <c r="B549" s="188"/>
      <c r="C549" s="189"/>
      <c r="D549" s="189"/>
      <c r="E549" s="189"/>
      <c r="F549" s="149"/>
      <c r="G549" s="190"/>
      <c r="H549" s="189"/>
      <c r="I549" s="149"/>
      <c r="J549" s="190"/>
      <c r="K549" s="189"/>
      <c r="L549" s="188"/>
      <c r="M549" s="188"/>
      <c r="N549" s="188"/>
    </row>
    <row r="550">
      <c r="A550" s="188"/>
      <c r="B550" s="188"/>
      <c r="C550" s="189"/>
      <c r="D550" s="189"/>
      <c r="E550" s="189"/>
      <c r="F550" s="149"/>
      <c r="G550" s="190"/>
      <c r="H550" s="189"/>
      <c r="I550" s="149"/>
      <c r="J550" s="190"/>
      <c r="K550" s="189"/>
      <c r="L550" s="188"/>
      <c r="M550" s="188"/>
      <c r="N550" s="188"/>
    </row>
    <row r="551">
      <c r="A551" s="188"/>
      <c r="B551" s="188"/>
      <c r="C551" s="189"/>
      <c r="D551" s="189"/>
      <c r="E551" s="189"/>
      <c r="F551" s="149"/>
      <c r="G551" s="190"/>
      <c r="H551" s="189"/>
      <c r="I551" s="149"/>
      <c r="J551" s="190"/>
      <c r="K551" s="189"/>
      <c r="L551" s="188"/>
      <c r="M551" s="188"/>
      <c r="N551" s="188"/>
    </row>
    <row r="552">
      <c r="A552" s="188"/>
      <c r="B552" s="188"/>
      <c r="C552" s="189"/>
      <c r="D552" s="189"/>
      <c r="E552" s="189"/>
      <c r="F552" s="149"/>
      <c r="G552" s="190"/>
      <c r="H552" s="189"/>
      <c r="I552" s="149"/>
      <c r="J552" s="190"/>
      <c r="K552" s="189"/>
      <c r="L552" s="188"/>
      <c r="M552" s="188"/>
      <c r="N552" s="188"/>
    </row>
    <row r="553">
      <c r="A553" s="188"/>
      <c r="B553" s="188"/>
      <c r="C553" s="189"/>
      <c r="D553" s="189"/>
      <c r="E553" s="189"/>
      <c r="F553" s="149"/>
      <c r="G553" s="190"/>
      <c r="H553" s="189"/>
      <c r="I553" s="149"/>
      <c r="J553" s="190"/>
      <c r="K553" s="189"/>
      <c r="L553" s="188"/>
      <c r="M553" s="188"/>
      <c r="N553" s="188"/>
    </row>
    <row r="554">
      <c r="A554" s="188"/>
      <c r="B554" s="188"/>
      <c r="C554" s="189"/>
      <c r="D554" s="189"/>
      <c r="E554" s="189"/>
      <c r="F554" s="149"/>
      <c r="G554" s="190"/>
      <c r="H554" s="189"/>
      <c r="I554" s="149"/>
      <c r="J554" s="190"/>
      <c r="K554" s="189"/>
      <c r="L554" s="188"/>
      <c r="M554" s="188"/>
      <c r="N554" s="188"/>
    </row>
    <row r="555">
      <c r="A555" s="188"/>
      <c r="B555" s="188"/>
      <c r="C555" s="189"/>
      <c r="D555" s="189"/>
      <c r="E555" s="189"/>
      <c r="F555" s="149"/>
      <c r="G555" s="190"/>
      <c r="H555" s="189"/>
      <c r="I555" s="149"/>
      <c r="J555" s="190"/>
      <c r="K555" s="189"/>
      <c r="L555" s="188"/>
      <c r="M555" s="188"/>
      <c r="N555" s="188"/>
    </row>
    <row r="556">
      <c r="A556" s="188"/>
      <c r="B556" s="188"/>
      <c r="C556" s="189"/>
      <c r="D556" s="189"/>
      <c r="E556" s="189"/>
      <c r="F556" s="149"/>
      <c r="G556" s="190"/>
      <c r="H556" s="189"/>
      <c r="I556" s="149"/>
      <c r="J556" s="190"/>
      <c r="K556" s="189"/>
      <c r="L556" s="188"/>
      <c r="M556" s="188"/>
      <c r="N556" s="188"/>
    </row>
    <row r="557">
      <c r="A557" s="188"/>
      <c r="B557" s="188"/>
      <c r="C557" s="189"/>
      <c r="D557" s="189"/>
      <c r="E557" s="189"/>
      <c r="F557" s="149"/>
      <c r="G557" s="190"/>
      <c r="H557" s="189"/>
      <c r="I557" s="149"/>
      <c r="J557" s="190"/>
      <c r="K557" s="189"/>
      <c r="L557" s="188"/>
      <c r="M557" s="188"/>
      <c r="N557" s="188"/>
    </row>
    <row r="558">
      <c r="A558" s="188"/>
      <c r="B558" s="188"/>
      <c r="C558" s="189"/>
      <c r="D558" s="189"/>
      <c r="E558" s="189"/>
      <c r="F558" s="149"/>
      <c r="G558" s="190"/>
      <c r="H558" s="189"/>
      <c r="I558" s="149"/>
      <c r="J558" s="190"/>
      <c r="K558" s="189"/>
      <c r="L558" s="188"/>
      <c r="M558" s="188"/>
      <c r="N558" s="188"/>
    </row>
    <row r="559">
      <c r="A559" s="188"/>
      <c r="B559" s="188"/>
      <c r="C559" s="189"/>
      <c r="D559" s="189"/>
      <c r="E559" s="189"/>
      <c r="F559" s="149"/>
      <c r="G559" s="190"/>
      <c r="H559" s="189"/>
      <c r="I559" s="149"/>
      <c r="J559" s="190"/>
      <c r="K559" s="189"/>
      <c r="L559" s="188"/>
      <c r="M559" s="188"/>
      <c r="N559" s="188"/>
    </row>
    <row r="560">
      <c r="A560" s="188"/>
      <c r="B560" s="188"/>
      <c r="C560" s="189"/>
      <c r="D560" s="189"/>
      <c r="E560" s="189"/>
      <c r="F560" s="149"/>
      <c r="G560" s="190"/>
      <c r="H560" s="189"/>
      <c r="I560" s="149"/>
      <c r="J560" s="190"/>
      <c r="K560" s="189"/>
      <c r="L560" s="188"/>
      <c r="M560" s="188"/>
      <c r="N560" s="188"/>
    </row>
    <row r="561">
      <c r="A561" s="188"/>
      <c r="B561" s="188"/>
      <c r="C561" s="189"/>
      <c r="D561" s="189"/>
      <c r="E561" s="189"/>
      <c r="F561" s="149"/>
      <c r="G561" s="190"/>
      <c r="H561" s="189"/>
      <c r="I561" s="149"/>
      <c r="J561" s="190"/>
      <c r="K561" s="189"/>
      <c r="L561" s="188"/>
      <c r="M561" s="188"/>
      <c r="N561" s="188"/>
    </row>
    <row r="562">
      <c r="A562" s="188"/>
      <c r="B562" s="188"/>
      <c r="C562" s="189"/>
      <c r="D562" s="189"/>
      <c r="E562" s="189"/>
      <c r="F562" s="149"/>
      <c r="G562" s="190"/>
      <c r="H562" s="189"/>
      <c r="I562" s="149"/>
      <c r="J562" s="190"/>
      <c r="K562" s="189"/>
      <c r="L562" s="188"/>
      <c r="M562" s="188"/>
      <c r="N562" s="188"/>
    </row>
    <row r="563">
      <c r="A563" s="188"/>
      <c r="B563" s="188"/>
      <c r="C563" s="189"/>
      <c r="D563" s="189"/>
      <c r="E563" s="189"/>
      <c r="F563" s="149"/>
      <c r="G563" s="190"/>
      <c r="H563" s="189"/>
      <c r="I563" s="149"/>
      <c r="J563" s="190"/>
      <c r="K563" s="189"/>
      <c r="L563" s="188"/>
      <c r="M563" s="188"/>
      <c r="N563" s="188"/>
    </row>
    <row r="564">
      <c r="A564" s="188"/>
      <c r="B564" s="188"/>
      <c r="C564" s="189"/>
      <c r="D564" s="189"/>
      <c r="E564" s="189"/>
      <c r="F564" s="149"/>
      <c r="G564" s="190"/>
      <c r="H564" s="189"/>
      <c r="I564" s="149"/>
      <c r="J564" s="190"/>
      <c r="K564" s="189"/>
      <c r="L564" s="188"/>
      <c r="M564" s="188"/>
      <c r="N564" s="188"/>
    </row>
    <row r="565">
      <c r="A565" s="188"/>
      <c r="B565" s="188"/>
      <c r="C565" s="189"/>
      <c r="D565" s="189"/>
      <c r="E565" s="189"/>
      <c r="F565" s="149"/>
      <c r="G565" s="190"/>
      <c r="H565" s="189"/>
      <c r="I565" s="149"/>
      <c r="J565" s="190"/>
      <c r="K565" s="189"/>
      <c r="L565" s="188"/>
      <c r="M565" s="188"/>
      <c r="N565" s="188"/>
    </row>
    <row r="566">
      <c r="A566" s="188"/>
      <c r="B566" s="188"/>
      <c r="C566" s="189"/>
      <c r="D566" s="189"/>
      <c r="E566" s="189"/>
      <c r="F566" s="149"/>
      <c r="G566" s="190"/>
      <c r="H566" s="189"/>
      <c r="I566" s="149"/>
      <c r="J566" s="190"/>
      <c r="K566" s="189"/>
      <c r="L566" s="188"/>
      <c r="M566" s="188"/>
      <c r="N566" s="188"/>
    </row>
    <row r="567">
      <c r="A567" s="188"/>
      <c r="B567" s="188"/>
      <c r="C567" s="189"/>
      <c r="D567" s="189"/>
      <c r="E567" s="189"/>
      <c r="F567" s="149"/>
      <c r="G567" s="190"/>
      <c r="H567" s="189"/>
      <c r="I567" s="149"/>
      <c r="J567" s="190"/>
      <c r="K567" s="189"/>
      <c r="L567" s="188"/>
      <c r="M567" s="188"/>
      <c r="N567" s="188"/>
    </row>
    <row r="568">
      <c r="A568" s="188"/>
      <c r="B568" s="188"/>
      <c r="C568" s="189"/>
      <c r="D568" s="189"/>
      <c r="E568" s="189"/>
      <c r="F568" s="149"/>
      <c r="G568" s="190"/>
      <c r="H568" s="189"/>
      <c r="I568" s="149"/>
      <c r="J568" s="190"/>
      <c r="K568" s="189"/>
      <c r="L568" s="188"/>
      <c r="M568" s="188"/>
      <c r="N568" s="188"/>
    </row>
    <row r="569">
      <c r="A569" s="188"/>
      <c r="B569" s="188"/>
      <c r="C569" s="189"/>
      <c r="D569" s="189"/>
      <c r="E569" s="189"/>
      <c r="F569" s="149"/>
      <c r="G569" s="190"/>
      <c r="H569" s="189"/>
      <c r="I569" s="149"/>
      <c r="J569" s="190"/>
      <c r="K569" s="189"/>
      <c r="L569" s="188"/>
      <c r="M569" s="188"/>
      <c r="N569" s="188"/>
    </row>
    <row r="570">
      <c r="A570" s="188"/>
      <c r="B570" s="188"/>
      <c r="C570" s="189"/>
      <c r="D570" s="189"/>
      <c r="E570" s="189"/>
      <c r="F570" s="149"/>
      <c r="G570" s="190"/>
      <c r="H570" s="189"/>
      <c r="I570" s="149"/>
      <c r="J570" s="190"/>
      <c r="K570" s="189"/>
      <c r="L570" s="188"/>
      <c r="M570" s="188"/>
      <c r="N570" s="188"/>
    </row>
    <row r="571">
      <c r="A571" s="188"/>
      <c r="B571" s="188"/>
      <c r="C571" s="189"/>
      <c r="D571" s="189"/>
      <c r="E571" s="189"/>
      <c r="F571" s="149"/>
      <c r="G571" s="190"/>
      <c r="H571" s="189"/>
      <c r="I571" s="149"/>
      <c r="J571" s="190"/>
      <c r="K571" s="189"/>
      <c r="L571" s="188"/>
      <c r="M571" s="188"/>
      <c r="N571" s="188"/>
    </row>
    <row r="572">
      <c r="A572" s="188"/>
      <c r="B572" s="188"/>
      <c r="C572" s="189"/>
      <c r="D572" s="189"/>
      <c r="E572" s="189"/>
      <c r="F572" s="149"/>
      <c r="G572" s="190"/>
      <c r="H572" s="189"/>
      <c r="I572" s="149"/>
      <c r="J572" s="190"/>
      <c r="K572" s="189"/>
      <c r="L572" s="188"/>
      <c r="M572" s="188"/>
      <c r="N572" s="188"/>
    </row>
    <row r="573">
      <c r="A573" s="188"/>
      <c r="B573" s="188"/>
      <c r="C573" s="189"/>
      <c r="D573" s="189"/>
      <c r="E573" s="189"/>
      <c r="F573" s="149"/>
      <c r="G573" s="190"/>
      <c r="H573" s="189"/>
      <c r="I573" s="149"/>
      <c r="J573" s="190"/>
      <c r="K573" s="189"/>
      <c r="L573" s="188"/>
      <c r="M573" s="188"/>
      <c r="N573" s="188"/>
    </row>
    <row r="574">
      <c r="A574" s="188"/>
      <c r="B574" s="188"/>
      <c r="C574" s="189"/>
      <c r="D574" s="189"/>
      <c r="E574" s="189"/>
      <c r="F574" s="149"/>
      <c r="G574" s="190"/>
      <c r="H574" s="189"/>
      <c r="I574" s="149"/>
      <c r="J574" s="190"/>
      <c r="K574" s="189"/>
      <c r="L574" s="188"/>
      <c r="M574" s="188"/>
      <c r="N574" s="188"/>
    </row>
    <row r="575">
      <c r="A575" s="188"/>
      <c r="B575" s="188"/>
      <c r="C575" s="189"/>
      <c r="D575" s="189"/>
      <c r="E575" s="189"/>
      <c r="F575" s="149"/>
      <c r="G575" s="190"/>
      <c r="H575" s="189"/>
      <c r="I575" s="149"/>
      <c r="J575" s="190"/>
      <c r="K575" s="189"/>
      <c r="L575" s="188"/>
      <c r="M575" s="188"/>
      <c r="N575" s="188"/>
    </row>
    <row r="576">
      <c r="A576" s="188"/>
      <c r="B576" s="188"/>
      <c r="C576" s="189"/>
      <c r="D576" s="189"/>
      <c r="E576" s="189"/>
      <c r="F576" s="149"/>
      <c r="G576" s="190"/>
      <c r="H576" s="189"/>
      <c r="I576" s="149"/>
      <c r="J576" s="190"/>
      <c r="K576" s="189"/>
      <c r="L576" s="188"/>
      <c r="M576" s="188"/>
      <c r="N576" s="188"/>
    </row>
    <row r="577">
      <c r="A577" s="188"/>
      <c r="B577" s="188"/>
      <c r="C577" s="189"/>
      <c r="D577" s="189"/>
      <c r="E577" s="189"/>
      <c r="F577" s="149"/>
      <c r="G577" s="190"/>
      <c r="H577" s="189"/>
      <c r="I577" s="149"/>
      <c r="J577" s="190"/>
      <c r="K577" s="189"/>
      <c r="L577" s="188"/>
      <c r="M577" s="188"/>
      <c r="N577" s="188"/>
    </row>
    <row r="578">
      <c r="A578" s="188"/>
      <c r="B578" s="188"/>
      <c r="C578" s="189"/>
      <c r="D578" s="189"/>
      <c r="E578" s="189"/>
      <c r="F578" s="149"/>
      <c r="G578" s="190"/>
      <c r="H578" s="189"/>
      <c r="I578" s="149"/>
      <c r="J578" s="190"/>
      <c r="K578" s="189"/>
      <c r="L578" s="188"/>
      <c r="M578" s="188"/>
      <c r="N578" s="188"/>
    </row>
    <row r="579">
      <c r="A579" s="188"/>
      <c r="B579" s="188"/>
      <c r="C579" s="189"/>
      <c r="D579" s="189"/>
      <c r="E579" s="189"/>
      <c r="F579" s="149"/>
      <c r="G579" s="190"/>
      <c r="H579" s="189"/>
      <c r="I579" s="149"/>
      <c r="J579" s="190"/>
      <c r="K579" s="189"/>
      <c r="L579" s="188"/>
      <c r="M579" s="188"/>
      <c r="N579" s="188"/>
    </row>
    <row r="580">
      <c r="A580" s="188"/>
      <c r="B580" s="188"/>
      <c r="C580" s="189"/>
      <c r="D580" s="189"/>
      <c r="E580" s="189"/>
      <c r="F580" s="149"/>
      <c r="G580" s="190"/>
      <c r="H580" s="189"/>
      <c r="I580" s="149"/>
      <c r="J580" s="190"/>
      <c r="K580" s="189"/>
      <c r="L580" s="188"/>
      <c r="M580" s="188"/>
      <c r="N580" s="188"/>
    </row>
    <row r="581">
      <c r="A581" s="188"/>
      <c r="B581" s="188"/>
      <c r="C581" s="189"/>
      <c r="D581" s="189"/>
      <c r="E581" s="189"/>
      <c r="F581" s="149"/>
      <c r="G581" s="190"/>
      <c r="H581" s="189"/>
      <c r="I581" s="149"/>
      <c r="J581" s="190"/>
      <c r="K581" s="189"/>
      <c r="L581" s="188"/>
      <c r="M581" s="188"/>
      <c r="N581" s="188"/>
    </row>
    <row r="582">
      <c r="A582" s="188"/>
      <c r="B582" s="188"/>
      <c r="C582" s="189"/>
      <c r="D582" s="189"/>
      <c r="E582" s="189"/>
      <c r="F582" s="149"/>
      <c r="G582" s="190"/>
      <c r="H582" s="189"/>
      <c r="I582" s="149"/>
      <c r="J582" s="190"/>
      <c r="K582" s="189"/>
      <c r="L582" s="188"/>
      <c r="M582" s="188"/>
      <c r="N582" s="188"/>
    </row>
    <row r="583">
      <c r="A583" s="188"/>
      <c r="B583" s="188"/>
      <c r="C583" s="189"/>
      <c r="D583" s="189"/>
      <c r="E583" s="189"/>
      <c r="F583" s="149"/>
      <c r="G583" s="190"/>
      <c r="H583" s="189"/>
      <c r="I583" s="149"/>
      <c r="J583" s="190"/>
      <c r="K583" s="189"/>
      <c r="L583" s="188"/>
      <c r="M583" s="188"/>
      <c r="N583" s="188"/>
    </row>
    <row r="584">
      <c r="A584" s="188"/>
      <c r="B584" s="188"/>
      <c r="C584" s="189"/>
      <c r="D584" s="189"/>
      <c r="E584" s="189"/>
      <c r="F584" s="149"/>
      <c r="G584" s="190"/>
      <c r="H584" s="189"/>
      <c r="I584" s="149"/>
      <c r="J584" s="190"/>
      <c r="K584" s="189"/>
      <c r="L584" s="188"/>
      <c r="M584" s="188"/>
      <c r="N584" s="188"/>
    </row>
    <row r="585">
      <c r="A585" s="188"/>
      <c r="B585" s="188"/>
      <c r="C585" s="189"/>
      <c r="D585" s="189"/>
      <c r="E585" s="189"/>
      <c r="F585" s="149"/>
      <c r="G585" s="190"/>
      <c r="H585" s="189"/>
      <c r="I585" s="149"/>
      <c r="J585" s="190"/>
      <c r="K585" s="189"/>
      <c r="L585" s="188"/>
      <c r="M585" s="188"/>
      <c r="N585" s="188"/>
    </row>
    <row r="586">
      <c r="A586" s="188"/>
      <c r="B586" s="188"/>
      <c r="C586" s="189"/>
      <c r="D586" s="189"/>
      <c r="E586" s="189"/>
      <c r="F586" s="149"/>
      <c r="G586" s="190"/>
      <c r="H586" s="189"/>
      <c r="I586" s="149"/>
      <c r="J586" s="190"/>
      <c r="K586" s="189"/>
      <c r="L586" s="188"/>
      <c r="M586" s="188"/>
      <c r="N586" s="188"/>
    </row>
    <row r="587">
      <c r="A587" s="188"/>
      <c r="B587" s="188"/>
      <c r="C587" s="189"/>
      <c r="D587" s="189"/>
      <c r="E587" s="189"/>
      <c r="F587" s="149"/>
      <c r="G587" s="190"/>
      <c r="H587" s="189"/>
      <c r="I587" s="149"/>
      <c r="J587" s="190"/>
      <c r="K587" s="189"/>
      <c r="L587" s="188"/>
      <c r="M587" s="188"/>
      <c r="N587" s="188"/>
    </row>
    <row r="588">
      <c r="A588" s="188"/>
      <c r="B588" s="188"/>
      <c r="C588" s="189"/>
      <c r="D588" s="189"/>
      <c r="E588" s="189"/>
      <c r="F588" s="149"/>
      <c r="G588" s="190"/>
      <c r="H588" s="189"/>
      <c r="I588" s="149"/>
      <c r="J588" s="190"/>
      <c r="K588" s="189"/>
      <c r="L588" s="188"/>
      <c r="M588" s="188"/>
      <c r="N588" s="188"/>
    </row>
    <row r="589">
      <c r="A589" s="188"/>
      <c r="B589" s="188"/>
      <c r="C589" s="189"/>
      <c r="D589" s="189"/>
      <c r="E589" s="189"/>
      <c r="F589" s="149"/>
      <c r="G589" s="190"/>
      <c r="H589" s="189"/>
      <c r="I589" s="149"/>
      <c r="J589" s="190"/>
      <c r="K589" s="189"/>
      <c r="L589" s="188"/>
      <c r="M589" s="188"/>
      <c r="N589" s="188"/>
    </row>
    <row r="590">
      <c r="A590" s="188"/>
      <c r="B590" s="188"/>
      <c r="C590" s="189"/>
      <c r="D590" s="189"/>
      <c r="E590" s="189"/>
      <c r="F590" s="149"/>
      <c r="G590" s="190"/>
      <c r="H590" s="189"/>
      <c r="I590" s="149"/>
      <c r="J590" s="190"/>
      <c r="K590" s="189"/>
      <c r="L590" s="188"/>
      <c r="M590" s="188"/>
      <c r="N590" s="188"/>
    </row>
    <row r="591">
      <c r="A591" s="188"/>
      <c r="B591" s="188"/>
      <c r="C591" s="189"/>
      <c r="D591" s="189"/>
      <c r="E591" s="189"/>
      <c r="F591" s="149"/>
      <c r="G591" s="190"/>
      <c r="H591" s="189"/>
      <c r="I591" s="149"/>
      <c r="J591" s="190"/>
      <c r="K591" s="189"/>
      <c r="L591" s="188"/>
      <c r="M591" s="188"/>
      <c r="N591" s="188"/>
    </row>
    <row r="592">
      <c r="A592" s="188"/>
      <c r="B592" s="188"/>
      <c r="C592" s="189"/>
      <c r="D592" s="189"/>
      <c r="E592" s="189"/>
      <c r="F592" s="149"/>
      <c r="G592" s="190"/>
      <c r="H592" s="189"/>
      <c r="I592" s="149"/>
      <c r="J592" s="190"/>
      <c r="K592" s="189"/>
      <c r="L592" s="188"/>
      <c r="M592" s="188"/>
      <c r="N592" s="188"/>
    </row>
    <row r="593">
      <c r="A593" s="188"/>
      <c r="B593" s="188"/>
      <c r="C593" s="189"/>
      <c r="D593" s="189"/>
      <c r="E593" s="189"/>
      <c r="F593" s="149"/>
      <c r="G593" s="190"/>
      <c r="H593" s="189"/>
      <c r="I593" s="149"/>
      <c r="J593" s="190"/>
      <c r="K593" s="189"/>
      <c r="L593" s="188"/>
      <c r="M593" s="188"/>
      <c r="N593" s="188"/>
    </row>
    <row r="594">
      <c r="A594" s="188"/>
      <c r="B594" s="188"/>
      <c r="C594" s="189"/>
      <c r="D594" s="189"/>
      <c r="E594" s="189"/>
      <c r="F594" s="149"/>
      <c r="G594" s="190"/>
      <c r="H594" s="189"/>
      <c r="I594" s="149"/>
      <c r="J594" s="190"/>
      <c r="K594" s="189"/>
      <c r="L594" s="188"/>
      <c r="M594" s="188"/>
      <c r="N594" s="188"/>
    </row>
    <row r="595">
      <c r="A595" s="188"/>
      <c r="B595" s="188"/>
      <c r="C595" s="189"/>
      <c r="D595" s="189"/>
      <c r="E595" s="189"/>
      <c r="F595" s="149"/>
      <c r="G595" s="190"/>
      <c r="H595" s="189"/>
      <c r="I595" s="149"/>
      <c r="J595" s="190"/>
      <c r="K595" s="189"/>
      <c r="L595" s="188"/>
      <c r="M595" s="188"/>
      <c r="N595" s="188"/>
    </row>
    <row r="596">
      <c r="A596" s="188"/>
      <c r="B596" s="188"/>
      <c r="C596" s="189"/>
      <c r="D596" s="189"/>
      <c r="E596" s="189"/>
      <c r="F596" s="149"/>
      <c r="G596" s="190"/>
      <c r="H596" s="189"/>
      <c r="I596" s="149"/>
      <c r="J596" s="190"/>
      <c r="K596" s="189"/>
      <c r="L596" s="188"/>
      <c r="M596" s="188"/>
      <c r="N596" s="188"/>
    </row>
    <row r="597">
      <c r="A597" s="188"/>
      <c r="B597" s="188"/>
      <c r="C597" s="189"/>
      <c r="D597" s="189"/>
      <c r="E597" s="189"/>
      <c r="F597" s="149"/>
      <c r="G597" s="190"/>
      <c r="H597" s="189"/>
      <c r="I597" s="149"/>
      <c r="J597" s="190"/>
      <c r="K597" s="189"/>
      <c r="L597" s="188"/>
      <c r="M597" s="188"/>
      <c r="N597" s="188"/>
    </row>
    <row r="598">
      <c r="A598" s="188"/>
      <c r="B598" s="188"/>
      <c r="C598" s="189"/>
      <c r="D598" s="189"/>
      <c r="E598" s="189"/>
      <c r="F598" s="149"/>
      <c r="G598" s="190"/>
      <c r="H598" s="189"/>
      <c r="I598" s="149"/>
      <c r="J598" s="190"/>
      <c r="K598" s="189"/>
      <c r="L598" s="188"/>
      <c r="M598" s="188"/>
      <c r="N598" s="188"/>
    </row>
    <row r="599">
      <c r="A599" s="188"/>
      <c r="B599" s="188"/>
      <c r="C599" s="189"/>
      <c r="D599" s="189"/>
      <c r="E599" s="189"/>
      <c r="F599" s="149"/>
      <c r="G599" s="190"/>
      <c r="H599" s="189"/>
      <c r="I599" s="149"/>
      <c r="J599" s="190"/>
      <c r="K599" s="189"/>
      <c r="L599" s="188"/>
      <c r="M599" s="188"/>
      <c r="N599" s="188"/>
    </row>
    <row r="600">
      <c r="A600" s="188"/>
      <c r="B600" s="188"/>
      <c r="C600" s="189"/>
      <c r="D600" s="189"/>
      <c r="E600" s="189"/>
      <c r="F600" s="149"/>
      <c r="G600" s="190"/>
      <c r="H600" s="189"/>
      <c r="I600" s="149"/>
      <c r="J600" s="190"/>
      <c r="K600" s="189"/>
      <c r="L600" s="188"/>
      <c r="M600" s="188"/>
      <c r="N600" s="188"/>
    </row>
    <row r="601">
      <c r="A601" s="188"/>
      <c r="B601" s="188"/>
      <c r="C601" s="189"/>
      <c r="D601" s="189"/>
      <c r="E601" s="189"/>
      <c r="F601" s="149"/>
      <c r="G601" s="190"/>
      <c r="H601" s="189"/>
      <c r="I601" s="149"/>
      <c r="J601" s="190"/>
      <c r="K601" s="189"/>
      <c r="L601" s="188"/>
      <c r="M601" s="188"/>
      <c r="N601" s="188"/>
    </row>
    <row r="602">
      <c r="A602" s="188"/>
      <c r="B602" s="188"/>
      <c r="C602" s="189"/>
      <c r="D602" s="189"/>
      <c r="E602" s="189"/>
      <c r="F602" s="149"/>
      <c r="G602" s="190"/>
      <c r="H602" s="189"/>
      <c r="I602" s="149"/>
      <c r="J602" s="190"/>
      <c r="K602" s="189"/>
      <c r="L602" s="188"/>
      <c r="M602" s="188"/>
      <c r="N602" s="188"/>
    </row>
    <row r="603">
      <c r="A603" s="188"/>
      <c r="B603" s="188"/>
      <c r="C603" s="189"/>
      <c r="D603" s="189"/>
      <c r="E603" s="189"/>
      <c r="F603" s="149"/>
      <c r="G603" s="190"/>
      <c r="H603" s="189"/>
      <c r="I603" s="149"/>
      <c r="J603" s="190"/>
      <c r="K603" s="189"/>
      <c r="L603" s="188"/>
      <c r="M603" s="188"/>
      <c r="N603" s="188"/>
    </row>
    <row r="604">
      <c r="A604" s="188"/>
      <c r="B604" s="188"/>
      <c r="C604" s="189"/>
      <c r="D604" s="189"/>
      <c r="E604" s="189"/>
      <c r="F604" s="149"/>
      <c r="G604" s="190"/>
      <c r="H604" s="189"/>
      <c r="I604" s="149"/>
      <c r="J604" s="190"/>
      <c r="K604" s="189"/>
      <c r="L604" s="188"/>
      <c r="M604" s="188"/>
      <c r="N604" s="188"/>
    </row>
    <row r="605">
      <c r="A605" s="188"/>
      <c r="B605" s="188"/>
      <c r="C605" s="189"/>
      <c r="D605" s="189"/>
      <c r="E605" s="189"/>
      <c r="F605" s="149"/>
      <c r="G605" s="190"/>
      <c r="H605" s="189"/>
      <c r="I605" s="149"/>
      <c r="J605" s="190"/>
      <c r="K605" s="189"/>
      <c r="L605" s="188"/>
      <c r="M605" s="188"/>
      <c r="N605" s="188"/>
    </row>
    <row r="606">
      <c r="A606" s="188"/>
      <c r="B606" s="188"/>
      <c r="C606" s="189"/>
      <c r="D606" s="189"/>
      <c r="E606" s="189"/>
      <c r="F606" s="149"/>
      <c r="G606" s="190"/>
      <c r="H606" s="189"/>
      <c r="I606" s="149"/>
      <c r="J606" s="190"/>
      <c r="K606" s="189"/>
      <c r="L606" s="188"/>
      <c r="M606" s="188"/>
      <c r="N606" s="188"/>
    </row>
    <row r="607">
      <c r="A607" s="188"/>
      <c r="B607" s="188"/>
      <c r="C607" s="189"/>
      <c r="D607" s="189"/>
      <c r="E607" s="189"/>
      <c r="F607" s="149"/>
      <c r="G607" s="190"/>
      <c r="H607" s="189"/>
      <c r="I607" s="149"/>
      <c r="J607" s="190"/>
      <c r="K607" s="189"/>
      <c r="L607" s="188"/>
      <c r="M607" s="188"/>
      <c r="N607" s="188"/>
    </row>
    <row r="608">
      <c r="A608" s="188"/>
      <c r="B608" s="188"/>
      <c r="C608" s="189"/>
      <c r="D608" s="189"/>
      <c r="E608" s="189"/>
      <c r="F608" s="149"/>
      <c r="G608" s="190"/>
      <c r="H608" s="189"/>
      <c r="I608" s="149"/>
      <c r="J608" s="190"/>
      <c r="K608" s="189"/>
      <c r="L608" s="188"/>
      <c r="M608" s="188"/>
      <c r="N608" s="188"/>
    </row>
    <row r="609">
      <c r="A609" s="188"/>
      <c r="B609" s="188"/>
      <c r="C609" s="189"/>
      <c r="D609" s="189"/>
      <c r="E609" s="189"/>
      <c r="F609" s="149"/>
      <c r="G609" s="190"/>
      <c r="H609" s="189"/>
      <c r="I609" s="149"/>
      <c r="J609" s="190"/>
      <c r="K609" s="189"/>
      <c r="L609" s="188"/>
      <c r="M609" s="188"/>
      <c r="N609" s="188"/>
    </row>
    <row r="610">
      <c r="A610" s="188"/>
      <c r="B610" s="188"/>
      <c r="C610" s="189"/>
      <c r="D610" s="189"/>
      <c r="E610" s="189"/>
      <c r="F610" s="149"/>
      <c r="G610" s="190"/>
      <c r="H610" s="189"/>
      <c r="I610" s="149"/>
      <c r="J610" s="190"/>
      <c r="K610" s="189"/>
      <c r="L610" s="188"/>
      <c r="M610" s="188"/>
      <c r="N610" s="188"/>
    </row>
    <row r="611">
      <c r="A611" s="188"/>
      <c r="B611" s="188"/>
      <c r="C611" s="189"/>
      <c r="D611" s="189"/>
      <c r="E611" s="189"/>
      <c r="F611" s="149"/>
      <c r="G611" s="190"/>
      <c r="H611" s="189"/>
      <c r="I611" s="149"/>
      <c r="J611" s="190"/>
      <c r="K611" s="189"/>
      <c r="L611" s="188"/>
      <c r="M611" s="188"/>
      <c r="N611" s="188"/>
    </row>
    <row r="612">
      <c r="A612" s="188"/>
      <c r="B612" s="188"/>
      <c r="C612" s="189"/>
      <c r="D612" s="189"/>
      <c r="E612" s="189"/>
      <c r="F612" s="149"/>
      <c r="G612" s="190"/>
      <c r="H612" s="189"/>
      <c r="I612" s="149"/>
      <c r="J612" s="190"/>
      <c r="K612" s="189"/>
      <c r="L612" s="188"/>
      <c r="M612" s="188"/>
      <c r="N612" s="188"/>
    </row>
    <row r="613">
      <c r="A613" s="188"/>
      <c r="B613" s="188"/>
      <c r="C613" s="189"/>
      <c r="D613" s="189"/>
      <c r="E613" s="189"/>
      <c r="F613" s="149"/>
      <c r="G613" s="190"/>
      <c r="H613" s="189"/>
      <c r="I613" s="149"/>
      <c r="J613" s="190"/>
      <c r="K613" s="189"/>
      <c r="L613" s="188"/>
      <c r="M613" s="188"/>
      <c r="N613" s="188"/>
    </row>
    <row r="614">
      <c r="A614" s="188"/>
      <c r="B614" s="188"/>
      <c r="C614" s="189"/>
      <c r="D614" s="189"/>
      <c r="E614" s="189"/>
      <c r="F614" s="149"/>
      <c r="G614" s="190"/>
      <c r="H614" s="189"/>
      <c r="I614" s="149"/>
      <c r="J614" s="190"/>
      <c r="K614" s="189"/>
      <c r="L614" s="188"/>
      <c r="M614" s="188"/>
      <c r="N614" s="188"/>
    </row>
    <row r="615">
      <c r="A615" s="188"/>
      <c r="B615" s="188"/>
      <c r="C615" s="189"/>
      <c r="D615" s="189"/>
      <c r="E615" s="189"/>
      <c r="F615" s="149"/>
      <c r="G615" s="190"/>
      <c r="H615" s="189"/>
      <c r="I615" s="149"/>
      <c r="J615" s="190"/>
      <c r="K615" s="189"/>
      <c r="L615" s="188"/>
      <c r="M615" s="188"/>
      <c r="N615" s="188"/>
    </row>
    <row r="616">
      <c r="A616" s="188"/>
      <c r="B616" s="188"/>
      <c r="C616" s="189"/>
      <c r="D616" s="189"/>
      <c r="E616" s="189"/>
      <c r="F616" s="149"/>
      <c r="G616" s="190"/>
      <c r="H616" s="189"/>
      <c r="I616" s="149"/>
      <c r="J616" s="190"/>
      <c r="K616" s="189"/>
      <c r="L616" s="188"/>
      <c r="M616" s="188"/>
      <c r="N616" s="188"/>
    </row>
    <row r="617">
      <c r="A617" s="188"/>
      <c r="B617" s="188"/>
      <c r="C617" s="189"/>
      <c r="D617" s="189"/>
      <c r="E617" s="189"/>
      <c r="F617" s="149"/>
      <c r="G617" s="190"/>
      <c r="H617" s="189"/>
      <c r="I617" s="149"/>
      <c r="J617" s="190"/>
      <c r="K617" s="189"/>
      <c r="L617" s="188"/>
      <c r="M617" s="188"/>
      <c r="N617" s="188"/>
    </row>
    <row r="618">
      <c r="A618" s="188"/>
      <c r="B618" s="188"/>
      <c r="C618" s="189"/>
      <c r="D618" s="189"/>
      <c r="E618" s="189"/>
      <c r="F618" s="149"/>
      <c r="G618" s="190"/>
      <c r="H618" s="189"/>
      <c r="I618" s="149"/>
      <c r="J618" s="190"/>
      <c r="K618" s="189"/>
      <c r="L618" s="188"/>
      <c r="M618" s="188"/>
      <c r="N618" s="188"/>
    </row>
    <row r="619">
      <c r="A619" s="188"/>
      <c r="B619" s="188"/>
      <c r="C619" s="189"/>
      <c r="D619" s="189"/>
      <c r="E619" s="189"/>
      <c r="F619" s="149"/>
      <c r="G619" s="190"/>
      <c r="H619" s="189"/>
      <c r="I619" s="149"/>
      <c r="J619" s="190"/>
      <c r="K619" s="189"/>
      <c r="L619" s="188"/>
      <c r="M619" s="188"/>
      <c r="N619" s="188"/>
    </row>
    <row r="620">
      <c r="A620" s="188"/>
      <c r="B620" s="188"/>
      <c r="C620" s="189"/>
      <c r="D620" s="189"/>
      <c r="E620" s="189"/>
      <c r="F620" s="149"/>
      <c r="G620" s="190"/>
      <c r="H620" s="189"/>
      <c r="I620" s="149"/>
      <c r="J620" s="190"/>
      <c r="K620" s="189"/>
      <c r="L620" s="188"/>
      <c r="M620" s="188"/>
      <c r="N620" s="188"/>
    </row>
    <row r="621">
      <c r="A621" s="188"/>
      <c r="B621" s="188"/>
      <c r="C621" s="189"/>
      <c r="D621" s="189"/>
      <c r="E621" s="189"/>
      <c r="F621" s="149"/>
      <c r="G621" s="190"/>
      <c r="H621" s="189"/>
      <c r="I621" s="149"/>
      <c r="J621" s="190"/>
      <c r="K621" s="189"/>
      <c r="L621" s="188"/>
      <c r="M621" s="188"/>
      <c r="N621" s="188"/>
    </row>
    <row r="622">
      <c r="A622" s="188"/>
      <c r="B622" s="188"/>
      <c r="C622" s="189"/>
      <c r="D622" s="189"/>
      <c r="E622" s="189"/>
      <c r="F622" s="149"/>
      <c r="G622" s="190"/>
      <c r="H622" s="189"/>
      <c r="I622" s="149"/>
      <c r="J622" s="190"/>
      <c r="K622" s="189"/>
      <c r="L622" s="188"/>
      <c r="M622" s="188"/>
      <c r="N622" s="188"/>
    </row>
    <row r="623">
      <c r="A623" s="188"/>
      <c r="B623" s="188"/>
      <c r="C623" s="189"/>
      <c r="D623" s="189"/>
      <c r="E623" s="189"/>
      <c r="F623" s="149"/>
      <c r="G623" s="190"/>
      <c r="H623" s="189"/>
      <c r="I623" s="149"/>
      <c r="J623" s="190"/>
      <c r="K623" s="189"/>
      <c r="L623" s="188"/>
      <c r="M623" s="188"/>
      <c r="N623" s="188"/>
    </row>
    <row r="624">
      <c r="A624" s="188"/>
      <c r="B624" s="188"/>
      <c r="C624" s="189"/>
      <c r="D624" s="189"/>
      <c r="E624" s="189"/>
      <c r="F624" s="149"/>
      <c r="G624" s="190"/>
      <c r="H624" s="189"/>
      <c r="I624" s="149"/>
      <c r="J624" s="190"/>
      <c r="K624" s="189"/>
      <c r="L624" s="188"/>
      <c r="M624" s="188"/>
      <c r="N624" s="188"/>
    </row>
    <row r="625">
      <c r="A625" s="188"/>
      <c r="B625" s="188"/>
      <c r="C625" s="189"/>
      <c r="D625" s="189"/>
      <c r="E625" s="189"/>
      <c r="F625" s="149"/>
      <c r="G625" s="190"/>
      <c r="H625" s="189"/>
      <c r="I625" s="149"/>
      <c r="J625" s="190"/>
      <c r="K625" s="189"/>
      <c r="L625" s="188"/>
      <c r="M625" s="188"/>
      <c r="N625" s="188"/>
    </row>
    <row r="626">
      <c r="A626" s="188"/>
      <c r="B626" s="188"/>
      <c r="C626" s="189"/>
      <c r="D626" s="189"/>
      <c r="E626" s="189"/>
      <c r="F626" s="149"/>
      <c r="G626" s="190"/>
      <c r="H626" s="189"/>
      <c r="I626" s="149"/>
      <c r="J626" s="190"/>
      <c r="K626" s="189"/>
      <c r="L626" s="188"/>
      <c r="M626" s="188"/>
      <c r="N626" s="188"/>
    </row>
    <row r="627">
      <c r="A627" s="188"/>
      <c r="B627" s="188"/>
      <c r="C627" s="189"/>
      <c r="D627" s="189"/>
      <c r="E627" s="189"/>
      <c r="F627" s="149"/>
      <c r="G627" s="190"/>
      <c r="H627" s="189"/>
      <c r="I627" s="149"/>
      <c r="J627" s="190"/>
      <c r="K627" s="189"/>
      <c r="L627" s="188"/>
      <c r="M627" s="188"/>
      <c r="N627" s="188"/>
    </row>
    <row r="628">
      <c r="A628" s="188"/>
      <c r="B628" s="188"/>
      <c r="C628" s="189"/>
      <c r="D628" s="189"/>
      <c r="E628" s="189"/>
      <c r="F628" s="149"/>
      <c r="G628" s="190"/>
      <c r="H628" s="189"/>
      <c r="I628" s="149"/>
      <c r="J628" s="190"/>
      <c r="K628" s="189"/>
      <c r="L628" s="188"/>
      <c r="M628" s="188"/>
      <c r="N628" s="188"/>
    </row>
    <row r="629">
      <c r="A629" s="188"/>
      <c r="B629" s="188"/>
      <c r="C629" s="189"/>
      <c r="D629" s="189"/>
      <c r="E629" s="189"/>
      <c r="F629" s="149"/>
      <c r="G629" s="190"/>
      <c r="H629" s="189"/>
      <c r="I629" s="149"/>
      <c r="J629" s="190"/>
      <c r="K629" s="189"/>
      <c r="L629" s="188"/>
      <c r="M629" s="188"/>
      <c r="N629" s="188"/>
    </row>
    <row r="630">
      <c r="A630" s="188"/>
      <c r="B630" s="188"/>
      <c r="C630" s="189"/>
      <c r="D630" s="189"/>
      <c r="E630" s="189"/>
      <c r="F630" s="149"/>
      <c r="G630" s="190"/>
      <c r="H630" s="189"/>
      <c r="I630" s="149"/>
      <c r="J630" s="190"/>
      <c r="K630" s="189"/>
      <c r="L630" s="188"/>
      <c r="M630" s="188"/>
      <c r="N630" s="188"/>
    </row>
    <row r="631">
      <c r="A631" s="188"/>
      <c r="B631" s="188"/>
      <c r="C631" s="189"/>
      <c r="D631" s="189"/>
      <c r="E631" s="189"/>
      <c r="F631" s="149"/>
      <c r="G631" s="190"/>
      <c r="H631" s="189"/>
      <c r="I631" s="149"/>
      <c r="J631" s="190"/>
      <c r="K631" s="189"/>
      <c r="L631" s="188"/>
      <c r="M631" s="188"/>
      <c r="N631" s="188"/>
    </row>
    <row r="632">
      <c r="A632" s="188"/>
      <c r="B632" s="188"/>
      <c r="C632" s="189"/>
      <c r="D632" s="189"/>
      <c r="E632" s="189"/>
      <c r="F632" s="149"/>
      <c r="G632" s="190"/>
      <c r="H632" s="189"/>
      <c r="I632" s="149"/>
      <c r="J632" s="190"/>
      <c r="K632" s="189"/>
      <c r="L632" s="188"/>
      <c r="M632" s="188"/>
      <c r="N632" s="188"/>
    </row>
    <row r="633">
      <c r="A633" s="188"/>
      <c r="B633" s="188"/>
      <c r="C633" s="189"/>
      <c r="D633" s="189"/>
      <c r="E633" s="189"/>
      <c r="F633" s="149"/>
      <c r="G633" s="190"/>
      <c r="H633" s="189"/>
      <c r="I633" s="149"/>
      <c r="J633" s="190"/>
      <c r="K633" s="189"/>
      <c r="L633" s="188"/>
      <c r="M633" s="188"/>
      <c r="N633" s="188"/>
    </row>
    <row r="634">
      <c r="A634" s="188"/>
      <c r="B634" s="188"/>
      <c r="C634" s="189"/>
      <c r="D634" s="189"/>
      <c r="E634" s="189"/>
      <c r="F634" s="149"/>
      <c r="G634" s="190"/>
      <c r="H634" s="189"/>
      <c r="I634" s="149"/>
      <c r="J634" s="190"/>
      <c r="K634" s="189"/>
      <c r="L634" s="188"/>
      <c r="M634" s="188"/>
      <c r="N634" s="188"/>
    </row>
    <row r="635">
      <c r="A635" s="188"/>
      <c r="B635" s="188"/>
      <c r="C635" s="189"/>
      <c r="D635" s="189"/>
      <c r="E635" s="189"/>
      <c r="F635" s="149"/>
      <c r="G635" s="190"/>
      <c r="H635" s="189"/>
      <c r="I635" s="149"/>
      <c r="J635" s="190"/>
      <c r="K635" s="189"/>
      <c r="L635" s="188"/>
      <c r="M635" s="188"/>
      <c r="N635" s="188"/>
    </row>
    <row r="636">
      <c r="A636" s="188"/>
      <c r="B636" s="188"/>
      <c r="C636" s="189"/>
      <c r="D636" s="189"/>
      <c r="E636" s="189"/>
      <c r="F636" s="149"/>
      <c r="G636" s="190"/>
      <c r="H636" s="189"/>
      <c r="I636" s="149"/>
      <c r="J636" s="190"/>
      <c r="K636" s="189"/>
      <c r="L636" s="188"/>
      <c r="M636" s="188"/>
      <c r="N636" s="188"/>
    </row>
    <row r="637">
      <c r="A637" s="188"/>
      <c r="B637" s="188"/>
      <c r="C637" s="189"/>
      <c r="D637" s="189"/>
      <c r="E637" s="189"/>
      <c r="F637" s="149"/>
      <c r="G637" s="190"/>
      <c r="H637" s="189"/>
      <c r="I637" s="149"/>
      <c r="J637" s="190"/>
      <c r="K637" s="189"/>
      <c r="L637" s="188"/>
      <c r="M637" s="188"/>
      <c r="N637" s="188"/>
    </row>
    <row r="638">
      <c r="A638" s="188"/>
      <c r="B638" s="188"/>
      <c r="C638" s="189"/>
      <c r="D638" s="189"/>
      <c r="E638" s="189"/>
      <c r="F638" s="149"/>
      <c r="G638" s="190"/>
      <c r="H638" s="189"/>
      <c r="I638" s="149"/>
      <c r="J638" s="190"/>
      <c r="K638" s="189"/>
      <c r="L638" s="188"/>
      <c r="M638" s="188"/>
      <c r="N638" s="188"/>
    </row>
    <row r="639">
      <c r="A639" s="188"/>
      <c r="B639" s="188"/>
      <c r="C639" s="189"/>
      <c r="D639" s="189"/>
      <c r="E639" s="189"/>
      <c r="F639" s="149"/>
      <c r="G639" s="190"/>
      <c r="H639" s="189"/>
      <c r="I639" s="149"/>
      <c r="J639" s="190"/>
      <c r="K639" s="189"/>
      <c r="L639" s="188"/>
      <c r="M639" s="188"/>
      <c r="N639" s="188"/>
    </row>
    <row r="640">
      <c r="A640" s="188"/>
      <c r="B640" s="188"/>
      <c r="C640" s="189"/>
      <c r="D640" s="189"/>
      <c r="E640" s="189"/>
      <c r="F640" s="149"/>
      <c r="G640" s="190"/>
      <c r="H640" s="189"/>
      <c r="I640" s="149"/>
      <c r="J640" s="190"/>
      <c r="K640" s="189"/>
      <c r="L640" s="188"/>
      <c r="M640" s="188"/>
      <c r="N640" s="188"/>
    </row>
    <row r="641">
      <c r="A641" s="188"/>
      <c r="B641" s="188"/>
      <c r="C641" s="189"/>
      <c r="D641" s="189"/>
      <c r="E641" s="189"/>
      <c r="F641" s="149"/>
      <c r="G641" s="190"/>
      <c r="H641" s="189"/>
      <c r="I641" s="149"/>
      <c r="J641" s="190"/>
      <c r="K641" s="189"/>
      <c r="L641" s="188"/>
      <c r="M641" s="188"/>
      <c r="N641" s="188"/>
    </row>
    <row r="642">
      <c r="A642" s="188"/>
      <c r="B642" s="188"/>
      <c r="C642" s="189"/>
      <c r="D642" s="189"/>
      <c r="E642" s="189"/>
      <c r="F642" s="149"/>
      <c r="G642" s="190"/>
      <c r="H642" s="189"/>
      <c r="I642" s="149"/>
      <c r="J642" s="190"/>
      <c r="K642" s="189"/>
      <c r="L642" s="188"/>
      <c r="M642" s="188"/>
      <c r="N642" s="188"/>
    </row>
    <row r="643">
      <c r="A643" s="188"/>
      <c r="B643" s="188"/>
      <c r="C643" s="189"/>
      <c r="D643" s="189"/>
      <c r="E643" s="189"/>
      <c r="F643" s="149"/>
      <c r="G643" s="190"/>
      <c r="H643" s="189"/>
      <c r="I643" s="149"/>
      <c r="J643" s="190"/>
      <c r="K643" s="189"/>
      <c r="L643" s="188"/>
      <c r="M643" s="188"/>
      <c r="N643" s="188"/>
    </row>
    <row r="644">
      <c r="A644" s="188"/>
      <c r="B644" s="188"/>
      <c r="C644" s="189"/>
      <c r="D644" s="189"/>
      <c r="E644" s="189"/>
      <c r="F644" s="149"/>
      <c r="G644" s="190"/>
      <c r="H644" s="189"/>
      <c r="I644" s="149"/>
      <c r="J644" s="190"/>
      <c r="K644" s="189"/>
      <c r="L644" s="188"/>
      <c r="M644" s="188"/>
      <c r="N644" s="188"/>
    </row>
    <row r="645">
      <c r="A645" s="188"/>
      <c r="B645" s="188"/>
      <c r="C645" s="189"/>
      <c r="D645" s="189"/>
      <c r="E645" s="189"/>
      <c r="F645" s="149"/>
      <c r="G645" s="190"/>
      <c r="H645" s="189"/>
      <c r="I645" s="149"/>
      <c r="J645" s="190"/>
      <c r="K645" s="189"/>
      <c r="L645" s="188"/>
      <c r="M645" s="188"/>
      <c r="N645" s="188"/>
    </row>
    <row r="646">
      <c r="A646" s="188"/>
      <c r="B646" s="188"/>
      <c r="C646" s="189"/>
      <c r="D646" s="189"/>
      <c r="E646" s="189"/>
      <c r="F646" s="149"/>
      <c r="G646" s="190"/>
      <c r="H646" s="189"/>
      <c r="I646" s="149"/>
      <c r="J646" s="190"/>
      <c r="K646" s="189"/>
      <c r="L646" s="188"/>
      <c r="M646" s="188"/>
      <c r="N646" s="188"/>
    </row>
    <row r="647">
      <c r="A647" s="188"/>
      <c r="B647" s="188"/>
      <c r="C647" s="189"/>
      <c r="D647" s="189"/>
      <c r="E647" s="189"/>
      <c r="F647" s="149"/>
      <c r="G647" s="190"/>
      <c r="H647" s="189"/>
      <c r="I647" s="149"/>
      <c r="J647" s="190"/>
      <c r="K647" s="189"/>
      <c r="L647" s="188"/>
      <c r="M647" s="188"/>
      <c r="N647" s="188"/>
    </row>
    <row r="648">
      <c r="A648" s="188"/>
      <c r="B648" s="188"/>
      <c r="C648" s="189"/>
      <c r="D648" s="189"/>
      <c r="E648" s="189"/>
      <c r="F648" s="149"/>
      <c r="G648" s="190"/>
      <c r="H648" s="189"/>
      <c r="I648" s="149"/>
      <c r="J648" s="190"/>
      <c r="K648" s="189"/>
      <c r="L648" s="188"/>
      <c r="M648" s="188"/>
      <c r="N648" s="188"/>
    </row>
    <row r="649">
      <c r="A649" s="188"/>
      <c r="B649" s="188"/>
      <c r="C649" s="189"/>
      <c r="D649" s="189"/>
      <c r="E649" s="189"/>
      <c r="F649" s="149"/>
      <c r="G649" s="190"/>
      <c r="H649" s="189"/>
      <c r="I649" s="149"/>
      <c r="J649" s="190"/>
      <c r="K649" s="189"/>
      <c r="L649" s="188"/>
      <c r="M649" s="188"/>
      <c r="N649" s="188"/>
    </row>
    <row r="650">
      <c r="A650" s="188"/>
      <c r="B650" s="188"/>
      <c r="C650" s="189"/>
      <c r="D650" s="189"/>
      <c r="E650" s="189"/>
      <c r="F650" s="149"/>
      <c r="G650" s="190"/>
      <c r="H650" s="189"/>
      <c r="I650" s="149"/>
      <c r="J650" s="190"/>
      <c r="K650" s="189"/>
      <c r="L650" s="188"/>
      <c r="M650" s="188"/>
      <c r="N650" s="188"/>
    </row>
    <row r="651">
      <c r="A651" s="188"/>
      <c r="B651" s="188"/>
      <c r="C651" s="189"/>
      <c r="D651" s="189"/>
      <c r="E651" s="189"/>
      <c r="F651" s="149"/>
      <c r="G651" s="190"/>
      <c r="H651" s="189"/>
      <c r="I651" s="149"/>
      <c r="J651" s="190"/>
      <c r="K651" s="189"/>
      <c r="L651" s="188"/>
      <c r="M651" s="188"/>
      <c r="N651" s="188"/>
    </row>
    <row r="652">
      <c r="A652" s="188"/>
      <c r="B652" s="188"/>
      <c r="C652" s="189"/>
      <c r="D652" s="189"/>
      <c r="E652" s="189"/>
      <c r="F652" s="149"/>
      <c r="G652" s="190"/>
      <c r="H652" s="189"/>
      <c r="I652" s="149"/>
      <c r="J652" s="190"/>
      <c r="K652" s="189"/>
      <c r="L652" s="188"/>
      <c r="M652" s="188"/>
      <c r="N652" s="188"/>
    </row>
  </sheetData>
  <mergeCells count="4">
    <mergeCell ref="M2:N2"/>
    <mergeCell ref="G4:H5"/>
    <mergeCell ref="J4:K5"/>
    <mergeCell ref="M4:N5"/>
  </mergeCells>
  <conditionalFormatting sqref="B2:D2">
    <cfRule type="expression" dxfId="45" priority="1">
      <formula>IF(D2="Correct",TRUE)</formula>
    </cfRule>
  </conditionalFormatting>
  <conditionalFormatting sqref="B3:D3">
    <cfRule type="expression" dxfId="45" priority="2">
      <formula>IF(D3="Correct",TRUE)</formula>
    </cfRule>
  </conditionalFormatting>
  <conditionalFormatting sqref="B4:D4">
    <cfRule type="expression" dxfId="45" priority="3">
      <formula>IF(D4="Correct",TRUE)</formula>
    </cfRule>
  </conditionalFormatting>
  <conditionalFormatting sqref="C2">
    <cfRule type="expression" dxfId="45" priority="4">
      <formula>IF(D2="Correct",TRUE)</formula>
    </cfRule>
  </conditionalFormatting>
  <conditionalFormatting sqref="C3">
    <cfRule type="expression" dxfId="45" priority="5">
      <formula>IF(D3="Correct",TRUE)</formula>
    </cfRule>
  </conditionalFormatting>
  <conditionalFormatting sqref="C4">
    <cfRule type="expression" dxfId="45" priority="6">
      <formula>IF(D4="Correct",TRUE)</formula>
    </cfRule>
  </conditionalFormatting>
  <conditionalFormatting sqref="D2">
    <cfRule type="cellIs" dxfId="45" priority="7" operator="equal">
      <formula>"Correct"</formula>
    </cfRule>
  </conditionalFormatting>
  <conditionalFormatting sqref="D2">
    <cfRule type="cellIs" dxfId="46" priority="8" operator="equal">
      <formula>"Difficult"</formula>
    </cfRule>
  </conditionalFormatting>
  <conditionalFormatting sqref="D3">
    <cfRule type="cellIs" dxfId="46" priority="9" operator="equal">
      <formula>"Difficult"</formula>
    </cfRule>
  </conditionalFormatting>
  <conditionalFormatting sqref="D3">
    <cfRule type="cellIs" dxfId="45" priority="10" operator="equal">
      <formula>"Correct"</formula>
    </cfRule>
  </conditionalFormatting>
  <conditionalFormatting sqref="D4">
    <cfRule type="cellIs" dxfId="45" priority="11" operator="equal">
      <formula>"Correct"</formula>
    </cfRule>
  </conditionalFormatting>
  <conditionalFormatting sqref="D4">
    <cfRule type="cellIs" dxfId="46" priority="12" operator="equal">
      <formula>"Diffic"</formula>
    </cfRule>
  </conditionalFormatting>
  <conditionalFormatting sqref="H7:H652">
    <cfRule type="colorScale" priority="13">
      <colorScale>
        <cfvo type="min"/>
        <cfvo type="max"/>
        <color rgb="FFFFFFFF"/>
        <color rgb="FF57BB8A"/>
      </colorScale>
    </cfRule>
  </conditionalFormatting>
  <conditionalFormatting sqref="C7:E652">
    <cfRule type="colorScale" priority="14">
      <colorScale>
        <cfvo type="min"/>
        <cfvo type="max"/>
        <color rgb="FFFFFFFF"/>
        <color rgb="FF57BB8A"/>
      </colorScale>
    </cfRule>
  </conditionalFormatting>
  <conditionalFormatting sqref="N7:N652">
    <cfRule type="colorScale" priority="15">
      <colorScale>
        <cfvo type="min"/>
        <cfvo type="max"/>
        <color rgb="FFFFFFFF"/>
        <color rgb="FF57BB8A"/>
      </colorScale>
    </cfRule>
  </conditionalFormatting>
  <hyperlinks>
    <hyperlink r:id="rId1" ref="L5"/>
  </hyperlinks>
  <drawing r:id="rId2"/>
</worksheet>
</file>