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ngerbread Man" sheetId="1" r:id="rId3"/>
    <sheet state="visible" name="Information" sheetId="2" r:id="rId4"/>
    <sheet state="visible" name="Checker" sheetId="3" r:id="rId5"/>
  </sheets>
  <definedNames>
    <definedName hidden="1" localSheetId="0" name="Z_93F2E2A1_3879_4E44_AF0D_F5E4808EC66E_.wvu.FilterData">'Gingerbread Man'!$A$1:$N$750</definedName>
  </definedNames>
  <calcPr/>
  <customWorkbookViews>
    <customWorkbookView activeSheetId="0" maximized="1" windowHeight="0" windowWidth="0" guid="{93F2E2A1-3879-4E44-AF0D-F5E4808EC66E}" name="To be checked"/>
  </customWorkbookViews>
</workbook>
</file>

<file path=xl/sharedStrings.xml><?xml version="1.0" encoding="utf-8"?>
<sst xmlns="http://schemas.openxmlformats.org/spreadsheetml/2006/main" count="3047" uniqueCount="1058">
  <si>
    <t>Row</t>
  </si>
  <si>
    <t>Name</t>
  </si>
  <si>
    <t>Latitude</t>
  </si>
  <si>
    <t>Longitude</t>
  </si>
  <si>
    <t>Munzee</t>
  </si>
  <si>
    <t>Color</t>
  </si>
  <si>
    <t>Username</t>
  </si>
  <si>
    <t>Deploy #</t>
  </si>
  <si>
    <t>Comments</t>
  </si>
  <si>
    <t>Checker Link</t>
  </si>
  <si>
    <t>Checked</t>
  </si>
  <si>
    <t>Deploys</t>
  </si>
  <si>
    <t>Gingerbread Man #0</t>
  </si>
  <si>
    <t>Virtual Garden Places</t>
  </si>
  <si>
    <t>JABIE28</t>
  </si>
  <si>
    <t>Gingerbread Man #1</t>
  </si>
  <si>
    <t>Virtual Black</t>
  </si>
  <si>
    <t>dandelion</t>
  </si>
  <si>
    <t>Gingerbread Man #2</t>
  </si>
  <si>
    <t>MSgtUSMC</t>
  </si>
  <si>
    <t>Gingerbread Man #3</t>
  </si>
  <si>
    <t>Westmarch</t>
  </si>
  <si>
    <t>S</t>
  </si>
  <si>
    <t>Gingerbread Man #4</t>
  </si>
  <si>
    <t>Gingerbread Man #5</t>
  </si>
  <si>
    <t>DHitz</t>
  </si>
  <si>
    <t>Gingerbread Man #6</t>
  </si>
  <si>
    <t>geomsp</t>
  </si>
  <si>
    <t>Gingerbread Man #7</t>
  </si>
  <si>
    <t>Gingerbread Man #8</t>
  </si>
  <si>
    <t>Plitewski</t>
  </si>
  <si>
    <t>Gingerbread Man #9</t>
  </si>
  <si>
    <t>Amadoreugen</t>
  </si>
  <si>
    <t>Gingerbread Man #10</t>
  </si>
  <si>
    <t>Gingerbread Man #11</t>
  </si>
  <si>
    <t>Bones</t>
  </si>
  <si>
    <t>Gingerbread Man #12</t>
  </si>
  <si>
    <t>MrCB</t>
  </si>
  <si>
    <t>Gingerbread Man #13</t>
  </si>
  <si>
    <t>danielle41101</t>
  </si>
  <si>
    <t>Gingerbread Man #14</t>
  </si>
  <si>
    <t>Virtual Raw Sienna</t>
  </si>
  <si>
    <t>snakelips</t>
  </si>
  <si>
    <t>Gingerbread Man #15</t>
  </si>
  <si>
    <t>FromTheTardis</t>
  </si>
  <si>
    <t>Gingerbread Man #16</t>
  </si>
  <si>
    <t>Gingerbread Man #17</t>
  </si>
  <si>
    <t>Qdog</t>
  </si>
  <si>
    <t>Gingerbread Man #18</t>
  </si>
  <si>
    <t>Gingerbread Man #19</t>
  </si>
  <si>
    <t>Gingerbread Man #20</t>
  </si>
  <si>
    <t>denali0407</t>
  </si>
  <si>
    <t>Gingerbread Man #21</t>
  </si>
  <si>
    <t>atrots</t>
  </si>
  <si>
    <t>Gingerbread Man #22</t>
  </si>
  <si>
    <t>Gingerbread Man #23</t>
  </si>
  <si>
    <t>Adventuretharon</t>
  </si>
  <si>
    <t>Gingerbread Man #24</t>
  </si>
  <si>
    <t>cdwilliams1</t>
  </si>
  <si>
    <t>Gingerbread Man #25</t>
  </si>
  <si>
    <t>CaliberCable</t>
  </si>
  <si>
    <t>Gingerbread Man #26</t>
  </si>
  <si>
    <t>Wellies</t>
  </si>
  <si>
    <t>Gingerbread Man #27</t>
  </si>
  <si>
    <t>Gingerbread Man #28</t>
  </si>
  <si>
    <t>PLitewski</t>
  </si>
  <si>
    <t>Gingerbread Man #29</t>
  </si>
  <si>
    <t>familyd</t>
  </si>
  <si>
    <t>Gingerbread Man #30</t>
  </si>
  <si>
    <t>Jenna2sipz</t>
  </si>
  <si>
    <t>Gingerbread Man #31</t>
  </si>
  <si>
    <t>Gingerbread Man #32</t>
  </si>
  <si>
    <t>fisherwoman</t>
  </si>
  <si>
    <t>Gingerbread Man #33</t>
  </si>
  <si>
    <t>WinterCheetah</t>
  </si>
  <si>
    <t>Gingerbread Man #34</t>
  </si>
  <si>
    <t>valsey</t>
  </si>
  <si>
    <t>Gingerbread Man #35</t>
  </si>
  <si>
    <t>Gingerbread Man #36</t>
  </si>
  <si>
    <t>geomatrix</t>
  </si>
  <si>
    <t>Gingerbread Man #37</t>
  </si>
  <si>
    <t>Gingerbread Man #38</t>
  </si>
  <si>
    <t>Gingerbread Man #39</t>
  </si>
  <si>
    <t>Gingerbread Man #40</t>
  </si>
  <si>
    <t>LFC21</t>
  </si>
  <si>
    <t>Gingerbread Man #41</t>
  </si>
  <si>
    <t>Buffalo113</t>
  </si>
  <si>
    <t>Gingerbread Man #42</t>
  </si>
  <si>
    <t>Gingerbread Man #43</t>
  </si>
  <si>
    <t>Gingerbread Man #44</t>
  </si>
  <si>
    <t>Gingerbread Man #45</t>
  </si>
  <si>
    <t>Gingerbread Man #46</t>
  </si>
  <si>
    <t>Gingerbread Man #47</t>
  </si>
  <si>
    <t>Gingerbread Man #48</t>
  </si>
  <si>
    <t>Gingerbread Man #49</t>
  </si>
  <si>
    <t>munzeepa</t>
  </si>
  <si>
    <t>Gingerbread Man #50</t>
  </si>
  <si>
    <t>Gingerbread Man #51</t>
  </si>
  <si>
    <t>Gingerbread Man #52</t>
  </si>
  <si>
    <t>jsamundson</t>
  </si>
  <si>
    <t>Gingerbread Man #53</t>
  </si>
  <si>
    <t>Gingerbread Man #54</t>
  </si>
  <si>
    <t>Gingerbread Man #55</t>
  </si>
  <si>
    <t>MrsCB</t>
  </si>
  <si>
    <t>Gingerbread Man #56</t>
  </si>
  <si>
    <t>Gingerbread Man #57</t>
  </si>
  <si>
    <t>Gingerbread Man #58</t>
  </si>
  <si>
    <t xml:space="preserve">Valj519 </t>
  </si>
  <si>
    <t>Gingerbread Man #59</t>
  </si>
  <si>
    <t>Whelen</t>
  </si>
  <si>
    <t>Gingerbread Man #60</t>
  </si>
  <si>
    <t>zip61348</t>
  </si>
  <si>
    <t>Gingerbread Man #61</t>
  </si>
  <si>
    <t>padraig</t>
  </si>
  <si>
    <t>Gingerbread Man #62</t>
  </si>
  <si>
    <t>Gingerbread Man #63</t>
  </si>
  <si>
    <t>Gingerbread Man #64</t>
  </si>
  <si>
    <t>Andremelb</t>
  </si>
  <si>
    <t>Gingerbread Man #65</t>
  </si>
  <si>
    <t>Gingerbread Man #66</t>
  </si>
  <si>
    <t>Gingerbread Man #67</t>
  </si>
  <si>
    <t>orky99</t>
  </si>
  <si>
    <t>Gingerbread Man #68</t>
  </si>
  <si>
    <t>Gingerbread Man #69</t>
  </si>
  <si>
    <t>Rodico101</t>
  </si>
  <si>
    <t>Gingerbread Man #70</t>
  </si>
  <si>
    <t>Gingerbread Man #71</t>
  </si>
  <si>
    <t>Gingerbread Man #72</t>
  </si>
  <si>
    <t>Gingerbread Man #73</t>
  </si>
  <si>
    <t>shingobee23</t>
  </si>
  <si>
    <t>Gingerbread Man #74</t>
  </si>
  <si>
    <t>Gingerbread Man #75</t>
  </si>
  <si>
    <t>Gingerbread Man #76</t>
  </si>
  <si>
    <t>easterb</t>
  </si>
  <si>
    <t>Gingerbread Man #77</t>
  </si>
  <si>
    <t>Gingerbread Man #78</t>
  </si>
  <si>
    <t>Gingerbread Man #79</t>
  </si>
  <si>
    <t>Gingerbread Man #80</t>
  </si>
  <si>
    <t>Tornado</t>
  </si>
  <si>
    <t>Gingerbread Man #81</t>
  </si>
  <si>
    <t>ChandaBelle</t>
  </si>
  <si>
    <t>Gingerbread Man #82</t>
  </si>
  <si>
    <t>Belita</t>
  </si>
  <si>
    <t>Gingerbread Man #83</t>
  </si>
  <si>
    <t>Belinha</t>
  </si>
  <si>
    <t>Gingerbread Man #84</t>
  </si>
  <si>
    <t>Gingerbread Man #85</t>
  </si>
  <si>
    <t>Gingerbread Man #86</t>
  </si>
  <si>
    <t>Gingerbread Man #87</t>
  </si>
  <si>
    <t>Gingerbread Man #88</t>
  </si>
  <si>
    <t>Gingerbread Man #89</t>
  </si>
  <si>
    <t>Kyrandia</t>
  </si>
  <si>
    <t>Gingerbread Man #90</t>
  </si>
  <si>
    <t>Gingerbread Man #91</t>
  </si>
  <si>
    <t xml:space="preserve">geomatrix </t>
  </si>
  <si>
    <t>Gingerbread Man #92</t>
  </si>
  <si>
    <t>Gingerbread Man #93</t>
  </si>
  <si>
    <t>Gingerbread Man #94</t>
  </si>
  <si>
    <t>Gingerbread Man #95</t>
  </si>
  <si>
    <t>leesap</t>
  </si>
  <si>
    <t>Gingerbread Man #96</t>
  </si>
  <si>
    <t>Gingerbread Man #97</t>
  </si>
  <si>
    <t>CoffeeBender</t>
  </si>
  <si>
    <t>Gingerbread Man #98</t>
  </si>
  <si>
    <t>Virtual Red</t>
  </si>
  <si>
    <t>Gingerbread Man #99</t>
  </si>
  <si>
    <t>Gingerbread Man #100</t>
  </si>
  <si>
    <t>Gingerbread Man #101</t>
  </si>
  <si>
    <t>Gingerbread Man #102</t>
  </si>
  <si>
    <t>Gingerbread Man #103</t>
  </si>
  <si>
    <t>Gingerbread Man #104</t>
  </si>
  <si>
    <t>Gingerbread Man #105</t>
  </si>
  <si>
    <t>Gingerbread Man #106</t>
  </si>
  <si>
    <t>Gingerbread Man #107</t>
  </si>
  <si>
    <t>guido</t>
  </si>
  <si>
    <t>Gingerbread Man #108</t>
  </si>
  <si>
    <t>Gingerbread Man #109</t>
  </si>
  <si>
    <t>Gingerbread Man #110</t>
  </si>
  <si>
    <t>kelkavcvt</t>
  </si>
  <si>
    <t>Gingerbread Man #111</t>
  </si>
  <si>
    <t>Gingerbread Man #112</t>
  </si>
  <si>
    <t>wheelybarrow</t>
  </si>
  <si>
    <t>Gingerbread Man #113</t>
  </si>
  <si>
    <t>thelanes</t>
  </si>
  <si>
    <t>Gingerbread Man #114</t>
  </si>
  <si>
    <t>Gingerbread Man #115</t>
  </si>
  <si>
    <t>Gingerbread Man #116</t>
  </si>
  <si>
    <t>Gingerbread Man #117</t>
  </si>
  <si>
    <t>Gingerbread Man #118</t>
  </si>
  <si>
    <t>Gingerbread Man #119</t>
  </si>
  <si>
    <t>stevenkim</t>
  </si>
  <si>
    <t>Gingerbread Man #120</t>
  </si>
  <si>
    <t>nyisutter</t>
  </si>
  <si>
    <t>Gingerbread Man #121</t>
  </si>
  <si>
    <t>warped6</t>
  </si>
  <si>
    <t>Gingerbread Man #122</t>
  </si>
  <si>
    <t>Gingerbread Man #123</t>
  </si>
  <si>
    <t>Gingerbread Man #124</t>
  </si>
  <si>
    <t>Gingerbread Man #125</t>
  </si>
  <si>
    <t>scoutref</t>
  </si>
  <si>
    <t>Gingerbread Man #126</t>
  </si>
  <si>
    <t>Gingerbread Man #127</t>
  </si>
  <si>
    <t>julesbeus</t>
  </si>
  <si>
    <t>Gingerbread Man #128</t>
  </si>
  <si>
    <t>prmarks1391</t>
  </si>
  <si>
    <t>Gingerbread Man #129</t>
  </si>
  <si>
    <t>Gingerbread Man #130</t>
  </si>
  <si>
    <t>Gingerbread Man #131</t>
  </si>
  <si>
    <t>Gingerbread Man #132</t>
  </si>
  <si>
    <t>Gingerbread Man #133</t>
  </si>
  <si>
    <t>kyor99</t>
  </si>
  <si>
    <t>Gingerbread Man #134</t>
  </si>
  <si>
    <t>dQuest</t>
  </si>
  <si>
    <t>Gingerbread Man #135</t>
  </si>
  <si>
    <t>yida</t>
  </si>
  <si>
    <t>Gingerbread Man #136</t>
  </si>
  <si>
    <t>tmabrey</t>
  </si>
  <si>
    <t>Gingerbread Man #137</t>
  </si>
  <si>
    <t>Gingerbread Man #138</t>
  </si>
  <si>
    <t>Quiltingisfuntoo</t>
  </si>
  <si>
    <t>Gingerbread Man #139</t>
  </si>
  <si>
    <t>Gingerbread Man #140</t>
  </si>
  <si>
    <t>Gingerbread Man #141</t>
  </si>
  <si>
    <t>Gingerbread Man #142</t>
  </si>
  <si>
    <t>Gingerbread Man #143</t>
  </si>
  <si>
    <t>Gingerbread Man #144</t>
  </si>
  <si>
    <t>LostSparky</t>
  </si>
  <si>
    <t>Gingerbread Man #145</t>
  </si>
  <si>
    <t>Gingerbread Man #146</t>
  </si>
  <si>
    <t>pepperino</t>
  </si>
  <si>
    <t>Gingerbread Man #147</t>
  </si>
  <si>
    <t>KobeJasper</t>
  </si>
  <si>
    <t>Gingerbread Man #148</t>
  </si>
  <si>
    <t>Gingerbread Man #149</t>
  </si>
  <si>
    <t>Nierenstein</t>
  </si>
  <si>
    <t>Gingerbread Man #150</t>
  </si>
  <si>
    <t>Gingerbread Man #151</t>
  </si>
  <si>
    <t>Gingerbread Man #152</t>
  </si>
  <si>
    <t>Gingerbread Man #153</t>
  </si>
  <si>
    <t>Gingerbread Man #154</t>
  </si>
  <si>
    <t>Gingerbread Man #155</t>
  </si>
  <si>
    <t>whatsoverthere</t>
  </si>
  <si>
    <t>Gingerbread Man #156</t>
  </si>
  <si>
    <t>Gingerbread Man #157</t>
  </si>
  <si>
    <t>Gingerbread Man #158</t>
  </si>
  <si>
    <t>Gingerbread Man #159</t>
  </si>
  <si>
    <t>qwerty2582</t>
  </si>
  <si>
    <t>Gingerbread Man #160</t>
  </si>
  <si>
    <t>Gingerbread Man #161</t>
  </si>
  <si>
    <t>janzattic</t>
  </si>
  <si>
    <t>Gingerbread Man #162</t>
  </si>
  <si>
    <t>Gingerbread Man #163</t>
  </si>
  <si>
    <t>Gingerbread Man #164</t>
  </si>
  <si>
    <t>Gingerbread Man #165</t>
  </si>
  <si>
    <t>G1enter</t>
  </si>
  <si>
    <t>Gingerbread Man #166</t>
  </si>
  <si>
    <t>Gingerbread Man #167</t>
  </si>
  <si>
    <t>Yhtak57</t>
  </si>
  <si>
    <t>Gingerbread Man #168</t>
  </si>
  <si>
    <t>Gingerbread Man #169</t>
  </si>
  <si>
    <t>Gingerbread Man #170</t>
  </si>
  <si>
    <t>clownshoes</t>
  </si>
  <si>
    <t>Gingerbread Man #171</t>
  </si>
  <si>
    <t>Gingerbread Man #172</t>
  </si>
  <si>
    <t>Gingerbread Man #173</t>
  </si>
  <si>
    <t>trevosetreckers</t>
  </si>
  <si>
    <t>Gingerbread Man #174</t>
  </si>
  <si>
    <t>candyfloss64</t>
  </si>
  <si>
    <t>Gingerbread Man #175</t>
  </si>
  <si>
    <t>Gingerbread Man #176</t>
  </si>
  <si>
    <t>Gingerbread Man #177</t>
  </si>
  <si>
    <t>delaner46</t>
  </si>
  <si>
    <t>Gingerbread Man #178</t>
  </si>
  <si>
    <t>yhtak57</t>
  </si>
  <si>
    <t>Gingerbread Man #179</t>
  </si>
  <si>
    <t>beckiweber</t>
  </si>
  <si>
    <t>Gingerbread Man #180</t>
  </si>
  <si>
    <t>Savardfamily</t>
  </si>
  <si>
    <t>Gingerbread Man #181</t>
  </si>
  <si>
    <t>Gingerbread Man #182</t>
  </si>
  <si>
    <t>geopepi</t>
  </si>
  <si>
    <t>Gingerbread Man #183</t>
  </si>
  <si>
    <t>sjclyde</t>
  </si>
  <si>
    <t>Gingerbread Man #184</t>
  </si>
  <si>
    <t>NJRainbow53</t>
  </si>
  <si>
    <t>Gingerbread Man #185</t>
  </si>
  <si>
    <t>debmitc</t>
  </si>
  <si>
    <t>Gingerbread Man #186</t>
  </si>
  <si>
    <t>mickilynn71</t>
  </si>
  <si>
    <t>Gingerbread Man #187</t>
  </si>
  <si>
    <t>Gingerbread Man #188</t>
  </si>
  <si>
    <t>gaprincess13</t>
  </si>
  <si>
    <t>Gingerbread Man #189</t>
  </si>
  <si>
    <t>Gingerbread Man #190</t>
  </si>
  <si>
    <t>munzeemags</t>
  </si>
  <si>
    <t>Gingerbread Man #191</t>
  </si>
  <si>
    <t>Debolicious</t>
  </si>
  <si>
    <t>Gingerbread Man #192</t>
  </si>
  <si>
    <t>Gingerbread Man #193</t>
  </si>
  <si>
    <t>Gingerbread Man #194</t>
  </si>
  <si>
    <t>Gingerbread Man #195</t>
  </si>
  <si>
    <t>mobility</t>
  </si>
  <si>
    <t>Gingerbread Man #196</t>
  </si>
  <si>
    <t>Gingerbread Man #197</t>
  </si>
  <si>
    <t>levesund</t>
  </si>
  <si>
    <t>Gingerbread Man #198</t>
  </si>
  <si>
    <t>FindersGirl</t>
  </si>
  <si>
    <t>Gingerbread Man #199</t>
  </si>
  <si>
    <t>Nomadicjp</t>
  </si>
  <si>
    <t>Gingerbread Man #200</t>
  </si>
  <si>
    <t>Gingerbread Man #201</t>
  </si>
  <si>
    <t>Gingerbread Man #202</t>
  </si>
  <si>
    <t>Atzepeng84</t>
  </si>
  <si>
    <t>Gingerbread Man #203</t>
  </si>
  <si>
    <t>irca</t>
  </si>
  <si>
    <t>Gingerbread Man #204</t>
  </si>
  <si>
    <t>mortonfox</t>
  </si>
  <si>
    <t>Gingerbread Man #205</t>
  </si>
  <si>
    <t>Virtual Pink</t>
  </si>
  <si>
    <t>Gingerbread Man #206</t>
  </si>
  <si>
    <t>Gingerbread Man #207</t>
  </si>
  <si>
    <t>Gingerbread Man #208</t>
  </si>
  <si>
    <t>donbadabon</t>
  </si>
  <si>
    <t>Gingerbread Man #209</t>
  </si>
  <si>
    <t>Noisette</t>
  </si>
  <si>
    <t>Gingerbread Man #210</t>
  </si>
  <si>
    <t>rbct109</t>
  </si>
  <si>
    <t>Gingerbread Man #211</t>
  </si>
  <si>
    <t>SKlick</t>
  </si>
  <si>
    <t>Gingerbread Man #212</t>
  </si>
  <si>
    <t>Gingerbread Man #213</t>
  </si>
  <si>
    <t>tlmeadowlark</t>
  </si>
  <si>
    <t>Gingerbread Man #214</t>
  </si>
  <si>
    <t>Minerva123</t>
  </si>
  <si>
    <t>Gingerbread Man #215</t>
  </si>
  <si>
    <t>h0tdog</t>
  </si>
  <si>
    <t>Gingerbread Man #216</t>
  </si>
  <si>
    <t>Gingerbread Man #217</t>
  </si>
  <si>
    <t>Gingerbread Man #218</t>
  </si>
  <si>
    <t>Gingerbread Man #219</t>
  </si>
  <si>
    <t>Fire2water</t>
  </si>
  <si>
    <t>Gingerbread Man #220</t>
  </si>
  <si>
    <t>Gingerbread Man #221</t>
  </si>
  <si>
    <t>jens985</t>
  </si>
  <si>
    <t>Gingerbread Man #222</t>
  </si>
  <si>
    <t>Gingerbread Man #223</t>
  </si>
  <si>
    <t>Gingerbread Man #224</t>
  </si>
  <si>
    <t>Gingerbread Man #225</t>
  </si>
  <si>
    <t>Gingerbread Man #226</t>
  </si>
  <si>
    <t>Gingerbread Man #227</t>
  </si>
  <si>
    <t>Gingerbread Man #228</t>
  </si>
  <si>
    <t>Gingerbread Man #229</t>
  </si>
  <si>
    <t>Gingerbread Man #230</t>
  </si>
  <si>
    <t>Gingerbread Man #231</t>
  </si>
  <si>
    <t>Gingerbread Man #232</t>
  </si>
  <si>
    <t>Gingerbread Man #233</t>
  </si>
  <si>
    <t>Gingerbread Man #234</t>
  </si>
  <si>
    <t>Gingerbread Man #235</t>
  </si>
  <si>
    <t>Gingerbread Man #236</t>
  </si>
  <si>
    <t>Gingerbread Man #237</t>
  </si>
  <si>
    <t>Gingerbread Man #238</t>
  </si>
  <si>
    <t>Gingerbread Man #239</t>
  </si>
  <si>
    <t>hunniees</t>
  </si>
  <si>
    <t>Gingerbread Man #240</t>
  </si>
  <si>
    <t>Gingerbread Man #241</t>
  </si>
  <si>
    <t>Gingerbread Man #242</t>
  </si>
  <si>
    <t>franktoops</t>
  </si>
  <si>
    <t>Gingerbread Man #243</t>
  </si>
  <si>
    <t>mollymoo09</t>
  </si>
  <si>
    <t>Gingerbread Man #244</t>
  </si>
  <si>
    <t>Gingerbread Man #245</t>
  </si>
  <si>
    <t>Gingerbread Man #246</t>
  </si>
  <si>
    <t>Gingerbread Man #247</t>
  </si>
  <si>
    <t>Tabata2</t>
  </si>
  <si>
    <t>Gingerbread Man #248</t>
  </si>
  <si>
    <t>Fire2Water</t>
  </si>
  <si>
    <t>Gingerbread Man #249</t>
  </si>
  <si>
    <t>spdx2</t>
  </si>
  <si>
    <t>Gingerbread Man #250</t>
  </si>
  <si>
    <t>rohdej</t>
  </si>
  <si>
    <t>Gingerbread Man #251</t>
  </si>
  <si>
    <t>Gingerbread Man #252</t>
  </si>
  <si>
    <t>Gingerbread Man #253</t>
  </si>
  <si>
    <t>Gingerbread Man #254</t>
  </si>
  <si>
    <t>Gingerbread Man #255</t>
  </si>
  <si>
    <t>Gingerbread Man #256</t>
  </si>
  <si>
    <t>Jellybean88</t>
  </si>
  <si>
    <t>Gingerbread Man #257</t>
  </si>
  <si>
    <t>ryves</t>
  </si>
  <si>
    <t>Gingerbread Man #258</t>
  </si>
  <si>
    <t>Gingerbread Man #259</t>
  </si>
  <si>
    <t>Gingerbread Man #260</t>
  </si>
  <si>
    <t>Gingerbread Man #261</t>
  </si>
  <si>
    <t>Gingerbread Man #262</t>
  </si>
  <si>
    <t>Gingerbread Man #263</t>
  </si>
  <si>
    <t>Gingerbread Man #264</t>
  </si>
  <si>
    <t>Gingerbread Man #265</t>
  </si>
  <si>
    <t>Gingerbread Man #266</t>
  </si>
  <si>
    <t>Gingerbread Man #267</t>
  </si>
  <si>
    <t>Gingerbread Man #268</t>
  </si>
  <si>
    <t>floridafinder2</t>
  </si>
  <si>
    <t>Gingerbread Man #269</t>
  </si>
  <si>
    <t>geosphinx</t>
  </si>
  <si>
    <t>Gingerbread Man #270</t>
  </si>
  <si>
    <t>WVKiwi</t>
  </si>
  <si>
    <t>Gingerbread Man #271</t>
  </si>
  <si>
    <t>Cachelady</t>
  </si>
  <si>
    <t>Gingerbread Man #272</t>
  </si>
  <si>
    <t>Gingerbread Man #273</t>
  </si>
  <si>
    <t>Gingerbread Man #274</t>
  </si>
  <si>
    <t>surprise</t>
  </si>
  <si>
    <t>MariaBr</t>
  </si>
  <si>
    <t>Gingerbread Man #275</t>
  </si>
  <si>
    <t>Tusantanna</t>
  </si>
  <si>
    <t>Gingerbread Man #276</t>
  </si>
  <si>
    <t>Gingerbread Man #277</t>
  </si>
  <si>
    <t>ReeJ</t>
  </si>
  <si>
    <t>Gingerbread Man #278</t>
  </si>
  <si>
    <t>Gingerbread Man #279</t>
  </si>
  <si>
    <t>R0buTre10</t>
  </si>
  <si>
    <t>Gingerbread Man #280</t>
  </si>
  <si>
    <t>Gingerbread Man #281</t>
  </si>
  <si>
    <t>Gingerbread Man #282</t>
  </si>
  <si>
    <t>SJClyde</t>
  </si>
  <si>
    <t>Gingerbread Man #283</t>
  </si>
  <si>
    <t>Gingerbread Man #284</t>
  </si>
  <si>
    <t>Gingerbread Man #285</t>
  </si>
  <si>
    <t>PawpatrolThomas</t>
  </si>
  <si>
    <t>Gingerbread Man #286</t>
  </si>
  <si>
    <t>halemeister</t>
  </si>
  <si>
    <t>Gingerbread Man #287</t>
  </si>
  <si>
    <t>Gingerbread Man #288</t>
  </si>
  <si>
    <t>Gingerbread Man #289</t>
  </si>
  <si>
    <t>Gingerbread Man #290</t>
  </si>
  <si>
    <t>Gingerbread Man #291</t>
  </si>
  <si>
    <t>LauraMN</t>
  </si>
  <si>
    <t>Gingerbread Man #292</t>
  </si>
  <si>
    <t>Gingerbread Man #293</t>
  </si>
  <si>
    <t>Gingerbread Man #294</t>
  </si>
  <si>
    <t>Gingerbread Man #295</t>
  </si>
  <si>
    <t>Gingerbread Man #296</t>
  </si>
  <si>
    <t>Gingerbread Man #297</t>
  </si>
  <si>
    <t>Gingerbread Man #298</t>
  </si>
  <si>
    <t>OHail</t>
  </si>
  <si>
    <t>Gingerbread Man #299</t>
  </si>
  <si>
    <t>Gingerbread Man #300</t>
  </si>
  <si>
    <t>DaZie62</t>
  </si>
  <si>
    <t>Gingerbread Man #301</t>
  </si>
  <si>
    <t>Aphrael</t>
  </si>
  <si>
    <t>Gingerbread Man #302</t>
  </si>
  <si>
    <t>Gingerbread Man #303</t>
  </si>
  <si>
    <t>Gingerbread Man #304</t>
  </si>
  <si>
    <t>Gingerbread Man #305</t>
  </si>
  <si>
    <t>Gingerbread Man #306</t>
  </si>
  <si>
    <t>Gingerbread Man #307</t>
  </si>
  <si>
    <t>KLC</t>
  </si>
  <si>
    <t>Gingerbread Man #308</t>
  </si>
  <si>
    <t>NuttyRachy</t>
  </si>
  <si>
    <t>Gingerbread Man #309</t>
  </si>
  <si>
    <t xml:space="preserve">Whatsoverthere </t>
  </si>
  <si>
    <t>Gingerbread Man #310</t>
  </si>
  <si>
    <t>Gingerbread Man #311</t>
  </si>
  <si>
    <t>Smith2190</t>
  </si>
  <si>
    <t>Gingerbread Man #312</t>
  </si>
  <si>
    <t>Gingerbread Man #313</t>
  </si>
  <si>
    <t>Gingerbread Man #314</t>
  </si>
  <si>
    <t>Gingerbread Man #315</t>
  </si>
  <si>
    <t>Gingerbread Man #316</t>
  </si>
  <si>
    <t>Gingerbread Man #317</t>
  </si>
  <si>
    <t>Gingerbread Man #318</t>
  </si>
  <si>
    <t>Gingerbread Man #319</t>
  </si>
  <si>
    <t>Gingerbread Man #320</t>
  </si>
  <si>
    <t>Fluffystuff74</t>
  </si>
  <si>
    <t>Gingerbread Man #321</t>
  </si>
  <si>
    <t>Gingerbread Man #322</t>
  </si>
  <si>
    <t>Gingerbread Man #323</t>
  </si>
  <si>
    <t>Gingerbread Man #324</t>
  </si>
  <si>
    <t>bearmomscouter</t>
  </si>
  <si>
    <t>Gingerbread Man #325</t>
  </si>
  <si>
    <t>Gingerbread Man #326</t>
  </si>
  <si>
    <t>ohiolady</t>
  </si>
  <si>
    <t>Gingerbread Man #327</t>
  </si>
  <si>
    <t>lighthousenut</t>
  </si>
  <si>
    <t>Gingerbread Man #328</t>
  </si>
  <si>
    <t>Gingerbread Man #329</t>
  </si>
  <si>
    <t>Gingerbread Man #330</t>
  </si>
  <si>
    <t>MeLa</t>
  </si>
  <si>
    <t>Gingerbread Man #331</t>
  </si>
  <si>
    <t>Gingerbread Man #332</t>
  </si>
  <si>
    <t>Nadtocs</t>
  </si>
  <si>
    <t>Gingerbread Man #333</t>
  </si>
  <si>
    <t>ItsSkeeter</t>
  </si>
  <si>
    <t>Gingerbread Man #334</t>
  </si>
  <si>
    <t>Gingerbread Man #335</t>
  </si>
  <si>
    <t>BarbMitchell</t>
  </si>
  <si>
    <t>Gingerbread Man #336</t>
  </si>
  <si>
    <t>Gingerbread Man #337</t>
  </si>
  <si>
    <t>Gingerbread Man #338</t>
  </si>
  <si>
    <t>Gingerbread Man #339</t>
  </si>
  <si>
    <t>Gingerbread Man #340</t>
  </si>
  <si>
    <t>Gingerbread Man #341</t>
  </si>
  <si>
    <t>Gingerbread Man #342</t>
  </si>
  <si>
    <t>Gingerbread Man #343</t>
  </si>
  <si>
    <t>Pamster13</t>
  </si>
  <si>
    <t>Gingerbread Man #344</t>
  </si>
  <si>
    <t>vadotech</t>
  </si>
  <si>
    <t>Gingerbread Man #345</t>
  </si>
  <si>
    <t>Gingerbread Man #346</t>
  </si>
  <si>
    <t>heathcote07</t>
  </si>
  <si>
    <t>Gingerbread Man #347</t>
  </si>
  <si>
    <t>Virtual</t>
  </si>
  <si>
    <t>c-bn</t>
  </si>
  <si>
    <t>Gingerbread Man #348</t>
  </si>
  <si>
    <t>MPeters82</t>
  </si>
  <si>
    <t>Gingerbread Man #349</t>
  </si>
  <si>
    <t>Gingerbread Man #350</t>
  </si>
  <si>
    <t>Gingerbread Man #351</t>
  </si>
  <si>
    <t>Gingerbread Man #352</t>
  </si>
  <si>
    <t>Gingerbread Man #353</t>
  </si>
  <si>
    <t>naturelover</t>
  </si>
  <si>
    <t>Gingerbread Man #354</t>
  </si>
  <si>
    <t>Gingerbread Man #355</t>
  </si>
  <si>
    <t>Virtual Cornflower</t>
  </si>
  <si>
    <t>Gingerbread Man #356</t>
  </si>
  <si>
    <t>Gingerbread Man #357</t>
  </si>
  <si>
    <t>DisneyGirl</t>
  </si>
  <si>
    <t>Gingerbread Man #358</t>
  </si>
  <si>
    <t>Gingerbread Man #359</t>
  </si>
  <si>
    <t>Gingerbread Man #360</t>
  </si>
  <si>
    <t>oldfruits</t>
  </si>
  <si>
    <t>Gingerbread Man #361</t>
  </si>
  <si>
    <t>QueenofDNile</t>
  </si>
  <si>
    <t>Gingerbread Man #362</t>
  </si>
  <si>
    <t>Gingerbread Man #363</t>
  </si>
  <si>
    <t>Gingerbread Man #364</t>
  </si>
  <si>
    <t>Syrtene</t>
  </si>
  <si>
    <t>Gingerbread Man #365</t>
  </si>
  <si>
    <t>Gingerbread Man #366</t>
  </si>
  <si>
    <t>Gingerbread Man #367</t>
  </si>
  <si>
    <t>roughdraft</t>
  </si>
  <si>
    <t>Gingerbread Man #368</t>
  </si>
  <si>
    <t>Gingerbread Man #369</t>
  </si>
  <si>
    <t>Gingerbread Man #370</t>
  </si>
  <si>
    <t>ivwarrior</t>
  </si>
  <si>
    <t>Gingerbread Man #371</t>
  </si>
  <si>
    <t>CoalCracker7</t>
  </si>
  <si>
    <t>Gingerbread Man #372</t>
  </si>
  <si>
    <t>GrimyMitts</t>
  </si>
  <si>
    <t>Gingerbread Man #373</t>
  </si>
  <si>
    <t>Gingerbread Man #374</t>
  </si>
  <si>
    <t>volki2000</t>
  </si>
  <si>
    <t>Gingerbread Man #375</t>
  </si>
  <si>
    <t>NoahCache</t>
  </si>
  <si>
    <t>Gingerbread Man #376</t>
  </si>
  <si>
    <t>geckofreund</t>
  </si>
  <si>
    <t>Gingerbread Man #377</t>
  </si>
  <si>
    <t>Gingerbread Man #378</t>
  </si>
  <si>
    <t>Gingerbread Man #379</t>
  </si>
  <si>
    <t>Gingerbread Man #380</t>
  </si>
  <si>
    <t>Gingerbread Man #381</t>
  </si>
  <si>
    <t>Gingerbread Man #382</t>
  </si>
  <si>
    <t>Gingerbread Man #383</t>
  </si>
  <si>
    <t>Gingerbread Man #384</t>
  </si>
  <si>
    <t>Gingerbread Man #385</t>
  </si>
  <si>
    <t>Gingerbread Man #386</t>
  </si>
  <si>
    <t>Gingerbread Man #387</t>
  </si>
  <si>
    <t>Gingerbread Man #388</t>
  </si>
  <si>
    <t>bazfum</t>
  </si>
  <si>
    <t>Gingerbread Man #389</t>
  </si>
  <si>
    <t>Gingerbread Man #390</t>
  </si>
  <si>
    <t>Gingerbread Man #391</t>
  </si>
  <si>
    <t>molesen</t>
  </si>
  <si>
    <t>Gingerbread Man #392</t>
  </si>
  <si>
    <t>Gingerbread Man #393</t>
  </si>
  <si>
    <t>Gingerbread Man #394</t>
  </si>
  <si>
    <t>lazylightning7</t>
  </si>
  <si>
    <t>Gingerbread Man #395</t>
  </si>
  <si>
    <t>Gingerbread Man #396</t>
  </si>
  <si>
    <t>Gingerbread Man #397</t>
  </si>
  <si>
    <t>Gingerbread Man #398</t>
  </si>
  <si>
    <t>Gingerbread Man #399</t>
  </si>
  <si>
    <t>MaryJaneKitty</t>
  </si>
  <si>
    <t>Gingerbread Man #400</t>
  </si>
  <si>
    <t>Traycee</t>
  </si>
  <si>
    <t>Gingerbread Man #401</t>
  </si>
  <si>
    <t>Gingerbread Man #402</t>
  </si>
  <si>
    <t>kiitokurre</t>
  </si>
  <si>
    <t>Gingerbread Man #403</t>
  </si>
  <si>
    <t>Mamaduck71</t>
  </si>
  <si>
    <t>Gingerbread Man #404</t>
  </si>
  <si>
    <t>Gingerbread Man #405</t>
  </si>
  <si>
    <t>Gingerbread Man #406</t>
  </si>
  <si>
    <t>TheEvilPoles</t>
  </si>
  <si>
    <t>Gingerbread Man #407</t>
  </si>
  <si>
    <t>Gingerbread Man #408</t>
  </si>
  <si>
    <t>Gingerbread Man #409</t>
  </si>
  <si>
    <t>meka</t>
  </si>
  <si>
    <t>Gingerbread Man #410</t>
  </si>
  <si>
    <t>Gingerbread Man #411</t>
  </si>
  <si>
    <t>Dreamcatchr</t>
  </si>
  <si>
    <t>Gingerbread Man #412</t>
  </si>
  <si>
    <t>CarlisleCachers</t>
  </si>
  <si>
    <t>Gingerbread Man #413</t>
  </si>
  <si>
    <t>Gingerbread Man #414</t>
  </si>
  <si>
    <t>dazzaf</t>
  </si>
  <si>
    <t>Gingerbread Man #415</t>
  </si>
  <si>
    <t>Gingerbread Man #416</t>
  </si>
  <si>
    <t>Gingerbread Man #417</t>
  </si>
  <si>
    <t>JM</t>
  </si>
  <si>
    <t>Gingerbread Man #418</t>
  </si>
  <si>
    <t>Sikko</t>
  </si>
  <si>
    <t>Gingerbread Man #419</t>
  </si>
  <si>
    <t>Gingerbread Man #420</t>
  </si>
  <si>
    <t>Gingerbread Man #421</t>
  </si>
  <si>
    <t>JRdaBoss</t>
  </si>
  <si>
    <t>Gingerbread Man #422</t>
  </si>
  <si>
    <t>Gingerbread Man #423</t>
  </si>
  <si>
    <t>BrianMoos</t>
  </si>
  <si>
    <t>Gingerbread Man #424</t>
  </si>
  <si>
    <t>redshark78</t>
  </si>
  <si>
    <t>Gingerbread Man #425</t>
  </si>
  <si>
    <t>Gingerbread Man #426</t>
  </si>
  <si>
    <t>Gingerbread Man #427</t>
  </si>
  <si>
    <t>johnsjen</t>
  </si>
  <si>
    <t>Gingerbread Man #428</t>
  </si>
  <si>
    <t>q22q17</t>
  </si>
  <si>
    <t>Gingerbread Man #429</t>
  </si>
  <si>
    <t>mayberryman</t>
  </si>
  <si>
    <t>Gingerbread Man #430</t>
  </si>
  <si>
    <t>par72</t>
  </si>
  <si>
    <t>Gingerbread Man #431</t>
  </si>
  <si>
    <t>C-bn</t>
  </si>
  <si>
    <t>Gingerbread Man #432</t>
  </si>
  <si>
    <t>Jens985</t>
  </si>
  <si>
    <t>Gingerbread Man #433</t>
  </si>
  <si>
    <t>Lazylightning7</t>
  </si>
  <si>
    <t>Gingerbread Man #434</t>
  </si>
  <si>
    <t>csnearl</t>
  </si>
  <si>
    <t>Gingerbread Man #435</t>
  </si>
  <si>
    <t>Stoopy</t>
  </si>
  <si>
    <t>Gingerbread Man #436</t>
  </si>
  <si>
    <t>Gingerbread Man #437</t>
  </si>
  <si>
    <t>Gingerbread Man #438</t>
  </si>
  <si>
    <t>LordElwood</t>
  </si>
  <si>
    <t>Gingerbread Man #439</t>
  </si>
  <si>
    <t>Virtual Yellow</t>
  </si>
  <si>
    <t>Gingerbread Man #440</t>
  </si>
  <si>
    <t>Gingerbread Man #441</t>
  </si>
  <si>
    <t>Gingerbread Man #442</t>
  </si>
  <si>
    <t>oriole</t>
  </si>
  <si>
    <t>Gingerbread Man #443</t>
  </si>
  <si>
    <t>jacksparrow</t>
  </si>
  <si>
    <t>Gingerbread Man #444</t>
  </si>
  <si>
    <t>chickenrun</t>
  </si>
  <si>
    <t>Gingerbread Man #445</t>
  </si>
  <si>
    <t>Gingerbread Man #446</t>
  </si>
  <si>
    <t>Gingerbread Man #447</t>
  </si>
  <si>
    <t>Gingerbread Man #448</t>
  </si>
  <si>
    <t>Gingerbread Man #449</t>
  </si>
  <si>
    <t xml:space="preserve">charlottedavina </t>
  </si>
  <si>
    <t>Gingerbread Man #450</t>
  </si>
  <si>
    <t>julissajean</t>
  </si>
  <si>
    <t>Gingerbread Man #451</t>
  </si>
  <si>
    <t>Carts70</t>
  </si>
  <si>
    <t>Gingerbread Man #452</t>
  </si>
  <si>
    <t>andrewbmbox</t>
  </si>
  <si>
    <t>Gingerbread Man #453</t>
  </si>
  <si>
    <t>Gingerbread Man #454</t>
  </si>
  <si>
    <t>Gingerbread Man #455</t>
  </si>
  <si>
    <t>Bewrightback</t>
  </si>
  <si>
    <t>Gingerbread Man #456</t>
  </si>
  <si>
    <t>raw sienna</t>
  </si>
  <si>
    <t>technical13</t>
  </si>
  <si>
    <t>Gingerbread Man #457</t>
  </si>
  <si>
    <t>Gingerbread Man #458</t>
  </si>
  <si>
    <t>Gingerbread Man #459</t>
  </si>
  <si>
    <t>Gingerbread Man #460</t>
  </si>
  <si>
    <t>Gingerbread Man #461</t>
  </si>
  <si>
    <t>Gingerbread Man #462</t>
  </si>
  <si>
    <t>Gingerbread Man #463</t>
  </si>
  <si>
    <t>Gingerbread Man #464</t>
  </si>
  <si>
    <t>lison55</t>
  </si>
  <si>
    <t>Gingerbread Man #465</t>
  </si>
  <si>
    <t>GrizzSteve</t>
  </si>
  <si>
    <t>Gingerbread Man #466</t>
  </si>
  <si>
    <t>Gingerbread Man #467</t>
  </si>
  <si>
    <t>Gingerbread Man #468</t>
  </si>
  <si>
    <t>Gingerbread Man #469</t>
  </si>
  <si>
    <t>Gingerbread Man #470</t>
  </si>
  <si>
    <t>Gingerbread Man #471</t>
  </si>
  <si>
    <t>Gingerbread Man #472</t>
  </si>
  <si>
    <t>Gingerbread Man #473</t>
  </si>
  <si>
    <t>DresdnerDuo</t>
  </si>
  <si>
    <t>Gingerbread Man #474</t>
  </si>
  <si>
    <t>Gingerbread Man #475</t>
  </si>
  <si>
    <t>Gingerbread Man #476</t>
  </si>
  <si>
    <t>Gingerbread Man #477</t>
  </si>
  <si>
    <t>Gingerbread Man #478</t>
  </si>
  <si>
    <t>Gingerbread Man #479</t>
  </si>
  <si>
    <t>Obi-Cal</t>
  </si>
  <si>
    <t>Gingerbread Man #480</t>
  </si>
  <si>
    <t>10pmMeerkat</t>
  </si>
  <si>
    <t>Gingerbread Man #481</t>
  </si>
  <si>
    <t>Gingerbread Man #482</t>
  </si>
  <si>
    <t>Gingerbread Man #483</t>
  </si>
  <si>
    <t>Gingerbread Man #484</t>
  </si>
  <si>
    <t>Gingerbread Man #485</t>
  </si>
  <si>
    <t>Gingerbread Man #486</t>
  </si>
  <si>
    <t>mrsg9064</t>
  </si>
  <si>
    <t>Gingerbread Man #487</t>
  </si>
  <si>
    <t xml:space="preserve">Prindlepalooza </t>
  </si>
  <si>
    <t>Gingerbread Man #488</t>
  </si>
  <si>
    <t>Gingerbread Man #489</t>
  </si>
  <si>
    <t>ed</t>
  </si>
  <si>
    <t>Gingerbread Man #490</t>
  </si>
  <si>
    <t>Habu</t>
  </si>
  <si>
    <t>Gingerbread Man #491</t>
  </si>
  <si>
    <t>Gingerbread Man #492</t>
  </si>
  <si>
    <t>Gingerbread Man #493</t>
  </si>
  <si>
    <t>MrsMouse</t>
  </si>
  <si>
    <t>Gingerbread Man #494</t>
  </si>
  <si>
    <t>Gingerbread Man #495</t>
  </si>
  <si>
    <t>djsmith</t>
  </si>
  <si>
    <t>Gingerbread Man #496</t>
  </si>
  <si>
    <t>Gingerbread Man #497</t>
  </si>
  <si>
    <t>Gingerbread Man #498</t>
  </si>
  <si>
    <t>canolice</t>
  </si>
  <si>
    <t>Gingerbread Man #499</t>
  </si>
  <si>
    <t>Ecorangers</t>
  </si>
  <si>
    <t>Gingerbread Man #500</t>
  </si>
  <si>
    <t>Gingerbread Man #501</t>
  </si>
  <si>
    <t>JustMe</t>
  </si>
  <si>
    <t>Gingerbread Man #502</t>
  </si>
  <si>
    <t>Gingerbread Man #503</t>
  </si>
  <si>
    <t>Gingerbread Man #504</t>
  </si>
  <si>
    <t>Gingerbread Man #505</t>
  </si>
  <si>
    <t>Gingerbread Man #506</t>
  </si>
  <si>
    <t>Gingerbread Man #507</t>
  </si>
  <si>
    <t>Gingerbread Man #508</t>
  </si>
  <si>
    <t>Gingerbread Man #509</t>
  </si>
  <si>
    <t>Gingerbread Man #510</t>
  </si>
  <si>
    <t>Gingerbread Man #511</t>
  </si>
  <si>
    <t>Gingerbread Man #512</t>
  </si>
  <si>
    <t xml:space="preserve">TTFNCachn </t>
  </si>
  <si>
    <t>Gingerbread Man #513</t>
  </si>
  <si>
    <t>Gingerbread Man #514</t>
  </si>
  <si>
    <t>FFHelper</t>
  </si>
  <si>
    <t>Gingerbread Man #515</t>
  </si>
  <si>
    <t>Gingerbread Man #516</t>
  </si>
  <si>
    <t>Blutengel</t>
  </si>
  <si>
    <t>Gingerbread Man #517</t>
  </si>
  <si>
    <t>Gingerbread Man #518</t>
  </si>
  <si>
    <t>Majsan</t>
  </si>
  <si>
    <t>Gingerbread Man #519</t>
  </si>
  <si>
    <t>Gingerbread Man #520</t>
  </si>
  <si>
    <t>Gingerbread Man #521</t>
  </si>
  <si>
    <t>Gingerbread Man #522</t>
  </si>
  <si>
    <t>Virtual Granny Smith Apple</t>
  </si>
  <si>
    <t>Gingerbread Man #523</t>
  </si>
  <si>
    <t>kwd</t>
  </si>
  <si>
    <t>Gingerbread Man #524</t>
  </si>
  <si>
    <t>Gingerbread Man #525</t>
  </si>
  <si>
    <t>EarthAngel</t>
  </si>
  <si>
    <t>Gingerbread Man #526</t>
  </si>
  <si>
    <t>paulus2012</t>
  </si>
  <si>
    <t>Gingerbread Man #527</t>
  </si>
  <si>
    <t>Gingerbread Man #528</t>
  </si>
  <si>
    <t>Gingerbread Man #529</t>
  </si>
  <si>
    <t>Gingerbread Man #530</t>
  </si>
  <si>
    <t>Gingerbread Man #531</t>
  </si>
  <si>
    <t>Gingerbread Man #532</t>
  </si>
  <si>
    <t>jafo43</t>
  </si>
  <si>
    <t>Gingerbread Man #533</t>
  </si>
  <si>
    <t>Gingerbread Man #534</t>
  </si>
  <si>
    <t>Wildflower82</t>
  </si>
  <si>
    <t>Gingerbread Man #535</t>
  </si>
  <si>
    <t>Gingerbread Man #536</t>
  </si>
  <si>
    <t>Gingerbread Man #537</t>
  </si>
  <si>
    <t>Westies</t>
  </si>
  <si>
    <t>Gingerbread Man #538</t>
  </si>
  <si>
    <t>sickman</t>
  </si>
  <si>
    <t>Gingerbread Man #539</t>
  </si>
  <si>
    <t>Gingerbread Man #540</t>
  </si>
  <si>
    <t>cachaholic</t>
  </si>
  <si>
    <t>Gingerbread Man #541</t>
  </si>
  <si>
    <t>Gingerbread Man #542</t>
  </si>
  <si>
    <t>SpaceCoastGeoStore</t>
  </si>
  <si>
    <t>Gingerbread Man #543</t>
  </si>
  <si>
    <t>Gingerbread Man #544</t>
  </si>
  <si>
    <t>Gingerbread Man #545</t>
  </si>
  <si>
    <t>Gingerbread Man #546</t>
  </si>
  <si>
    <t>MeanderingMonkeys</t>
  </si>
  <si>
    <t>Gingerbread Man #547</t>
  </si>
  <si>
    <t>mtbiker64</t>
  </si>
  <si>
    <t>Gingerbread Man #548</t>
  </si>
  <si>
    <t>justforfun33</t>
  </si>
  <si>
    <t>Gingerbread Man #549</t>
  </si>
  <si>
    <t>Gingerbread Man #550</t>
  </si>
  <si>
    <t>Gingerbread Man #551</t>
  </si>
  <si>
    <t>Gingerbread Man #552</t>
  </si>
  <si>
    <t>Gingerbread Man #553</t>
  </si>
  <si>
    <t>rita85gto</t>
  </si>
  <si>
    <t>Gingerbread Man #554</t>
  </si>
  <si>
    <t>Gingerbread Man #555</t>
  </si>
  <si>
    <t>BlueIce</t>
  </si>
  <si>
    <t>Gingerbread Man #556</t>
  </si>
  <si>
    <t>ponu</t>
  </si>
  <si>
    <t>Gingerbread Man #557</t>
  </si>
  <si>
    <t>Gingerbread Man #558</t>
  </si>
  <si>
    <t xml:space="preserve">Debolicious 
</t>
  </si>
  <si>
    <t>Gingerbread Man #559</t>
  </si>
  <si>
    <t>Gingerbread Man #560</t>
  </si>
  <si>
    <t>Gingerbread Man #561</t>
  </si>
  <si>
    <t>TexasBandits</t>
  </si>
  <si>
    <t>Gingerbread Man #562</t>
  </si>
  <si>
    <t>Gamsci</t>
  </si>
  <si>
    <t>Gingerbread Man #563</t>
  </si>
  <si>
    <t>Gingerbread Man #564</t>
  </si>
  <si>
    <t>Gingerbread Man #565</t>
  </si>
  <si>
    <t>Gingerbread Man #566</t>
  </si>
  <si>
    <t>Gingerbread Man #567</t>
  </si>
  <si>
    <t>LilCrab</t>
  </si>
  <si>
    <t>Gingerbread Man #568</t>
  </si>
  <si>
    <t>Calvertcachers</t>
  </si>
  <si>
    <t>Gingerbread Man #569</t>
  </si>
  <si>
    <t>wemissmo</t>
  </si>
  <si>
    <t>Gingerbread Man #570</t>
  </si>
  <si>
    <t>Gingerbread Man #571</t>
  </si>
  <si>
    <t>Gingerbread Man #572</t>
  </si>
  <si>
    <t>Gingerbread Man #573</t>
  </si>
  <si>
    <t>Gingerbread Man #574</t>
  </si>
  <si>
    <t>Gingerbread Man #575</t>
  </si>
  <si>
    <t>Gingerbread Man #576</t>
  </si>
  <si>
    <t>Gingerbread Man #577</t>
  </si>
  <si>
    <t>Gingerbread Man #578</t>
  </si>
  <si>
    <t>Gingerbread Man #579</t>
  </si>
  <si>
    <t>MrsBandit</t>
  </si>
  <si>
    <t>Gingerbread Man #580</t>
  </si>
  <si>
    <t xml:space="preserve">Munzeeprof </t>
  </si>
  <si>
    <t>Gingerbread Man #581</t>
  </si>
  <si>
    <t>webeon2it</t>
  </si>
  <si>
    <t>Gingerbread Man #582</t>
  </si>
  <si>
    <t>Gingerbread Man #583</t>
  </si>
  <si>
    <t>Gingerbread Man #584</t>
  </si>
  <si>
    <t>fscheerhoorn</t>
  </si>
  <si>
    <t>Gingerbread Man #585</t>
  </si>
  <si>
    <t>Gingerbread Man #586</t>
  </si>
  <si>
    <t>Bitux</t>
  </si>
  <si>
    <t>Gingerbread Man #587</t>
  </si>
  <si>
    <t>Gingerbread Man #588</t>
  </si>
  <si>
    <t>Gingerbread Man #589</t>
  </si>
  <si>
    <t>Gingerbread Man #590</t>
  </si>
  <si>
    <t>Gingerbread Man #591</t>
  </si>
  <si>
    <t>Gingerbread Man #592</t>
  </si>
  <si>
    <t>Gingerbread Man #593</t>
  </si>
  <si>
    <t>Gingerbread Man #594</t>
  </si>
  <si>
    <t>earthangel</t>
  </si>
  <si>
    <t>Gingerbread Man #595</t>
  </si>
  <si>
    <t>ecorangers</t>
  </si>
  <si>
    <t>Gingerbread Man #596</t>
  </si>
  <si>
    <t>Gingerbread Man #597</t>
  </si>
  <si>
    <t>Gingerbread Man #598</t>
  </si>
  <si>
    <t>Gingerbread Man #599</t>
  </si>
  <si>
    <t>Gingerbread Man #600</t>
  </si>
  <si>
    <t>Gingerbread Man #601</t>
  </si>
  <si>
    <t>Gingerbread Man #602</t>
  </si>
  <si>
    <t>Gingerbread Man #603</t>
  </si>
  <si>
    <t>Gingerbread Man #604</t>
  </si>
  <si>
    <t>Gingerbread Man #605</t>
  </si>
  <si>
    <t>Gingerbread Man #606</t>
  </si>
  <si>
    <t>Gingerbread Man #607</t>
  </si>
  <si>
    <t>Gingerbread Man #608</t>
  </si>
  <si>
    <t>Gingerbread Man #609</t>
  </si>
  <si>
    <t>Gingerbread Man #610</t>
  </si>
  <si>
    <t>TJACS</t>
  </si>
  <si>
    <t>Gingerbread Man #611</t>
  </si>
  <si>
    <t>Gingerbread Man #612</t>
  </si>
  <si>
    <t>Gingerbread Man #613</t>
  </si>
  <si>
    <t>Gingerbread Man #614</t>
  </si>
  <si>
    <t>Gingerbread Man #615</t>
  </si>
  <si>
    <t>Gingerbread Man #616</t>
  </si>
  <si>
    <t>Gingerbread Man #617</t>
  </si>
  <si>
    <t>Gingerbread Man #618</t>
  </si>
  <si>
    <t>Gingerbread Man #619</t>
  </si>
  <si>
    <t>Gingerbread Man #620</t>
  </si>
  <si>
    <t>Gingerbread Man #621</t>
  </si>
  <si>
    <t>traycee</t>
  </si>
  <si>
    <t>Gingerbread Man #622</t>
  </si>
  <si>
    <t>Gingerbread Man #623</t>
  </si>
  <si>
    <t>Gingerbread Man #624</t>
  </si>
  <si>
    <t>Gingerbread Man #625</t>
  </si>
  <si>
    <t>Gingerbread Man #626</t>
  </si>
  <si>
    <t>Gingerbread Man #627</t>
  </si>
  <si>
    <t>Gingerbread Man #628</t>
  </si>
  <si>
    <t>Gingerbread Man #629</t>
  </si>
  <si>
    <t>Rosesquirrel</t>
  </si>
  <si>
    <t>Gingerbread Man #630</t>
  </si>
  <si>
    <t>Gingerbread Man #631</t>
  </si>
  <si>
    <t>Gingerbread Man #632</t>
  </si>
  <si>
    <t>Gingerbread Man #633</t>
  </si>
  <si>
    <t>Gingerbread Man #634</t>
  </si>
  <si>
    <t>Gingerbread Man #635</t>
  </si>
  <si>
    <t>Gingerbread Man #636</t>
  </si>
  <si>
    <t>Gingerbread Man #637</t>
  </si>
  <si>
    <t>Gingerbread Man #638</t>
  </si>
  <si>
    <t>Gingerbread Man #639</t>
  </si>
  <si>
    <t>Gingerbread Man #640</t>
  </si>
  <si>
    <t>Gingerbread Man #641</t>
  </si>
  <si>
    <t>Gingerbread Man #642</t>
  </si>
  <si>
    <t>Gingerbread Man #643</t>
  </si>
  <si>
    <t xml:space="preserve">belladivadee </t>
  </si>
  <si>
    <t>Gingerbread Man #644</t>
  </si>
  <si>
    <t xml:space="preserve">Derlame </t>
  </si>
  <si>
    <t>Gingerbread Man #645</t>
  </si>
  <si>
    <t>Gingerbread Man #646</t>
  </si>
  <si>
    <t>destolkjes4ever</t>
  </si>
  <si>
    <t>Gingerbread Man #647</t>
  </si>
  <si>
    <t>Gingerbread Man #648</t>
  </si>
  <si>
    <t xml:space="preserve">Bisquick2 </t>
  </si>
  <si>
    <t>Gingerbread Man #649</t>
  </si>
  <si>
    <t>Gingerbread Man #650</t>
  </si>
  <si>
    <t>Gingerbread Man #651</t>
  </si>
  <si>
    <t>Gingerbread Man #652</t>
  </si>
  <si>
    <t>fluffystuff74</t>
  </si>
  <si>
    <t>Gingerbread Man #653</t>
  </si>
  <si>
    <t>Gingerbread Man #654</t>
  </si>
  <si>
    <t>Gingerbread Man #655</t>
  </si>
  <si>
    <t>Gingerbread Man #656</t>
  </si>
  <si>
    <t>soule122</t>
  </si>
  <si>
    <t>Gingerbread Man #657</t>
  </si>
  <si>
    <t>Gingerbread Man #658</t>
  </si>
  <si>
    <t>Gingerbread Man #659</t>
  </si>
  <si>
    <t>Lissu</t>
  </si>
  <si>
    <t>Gingerbread Man #660</t>
  </si>
  <si>
    <t>Gingerbread Man #661</t>
  </si>
  <si>
    <t>Gingerbread Man #662</t>
  </si>
  <si>
    <t>Gingerbread Man #663</t>
  </si>
  <si>
    <t>Gingerbread Man #664</t>
  </si>
  <si>
    <t>Gingerbread Man #665</t>
  </si>
  <si>
    <t>Pronkrug</t>
  </si>
  <si>
    <t>Gingerbread Man #666</t>
  </si>
  <si>
    <t>Gingerbread Man #667</t>
  </si>
  <si>
    <t>Gingerbread Man #668</t>
  </si>
  <si>
    <t>Bumble</t>
  </si>
  <si>
    <t>Gingerbread Man #669</t>
  </si>
  <si>
    <t>Gingerbread Man #670</t>
  </si>
  <si>
    <t>Gingerbread Man #671</t>
  </si>
  <si>
    <t>Gingerbread Man #672</t>
  </si>
  <si>
    <t>Gingerbread Man #673</t>
  </si>
  <si>
    <t>Gingerbread Man #674</t>
  </si>
  <si>
    <t>Gingerbread Man #675</t>
  </si>
  <si>
    <t>war1man</t>
  </si>
  <si>
    <t>Gingerbread Man #676</t>
  </si>
  <si>
    <t>Gingerbread Man #677</t>
  </si>
  <si>
    <t>Gingerbread Man #678</t>
  </si>
  <si>
    <t>Gingerbread Man #679</t>
  </si>
  <si>
    <t>rosieree</t>
  </si>
  <si>
    <t>Gingerbread Man #680</t>
  </si>
  <si>
    <t>Gingerbread Man #681</t>
  </si>
  <si>
    <t>Gingerbread Man #682</t>
  </si>
  <si>
    <t>Gingerbread Man #683</t>
  </si>
  <si>
    <t>Gingerbread Man #684</t>
  </si>
  <si>
    <t>Gingerbread Man #685</t>
  </si>
  <si>
    <t>Gingerbread Man #686</t>
  </si>
  <si>
    <t>Gingerbread Man #687</t>
  </si>
  <si>
    <t>Gingerbread Man #688</t>
  </si>
  <si>
    <t>Gingerbread Man #689</t>
  </si>
  <si>
    <t>TSwag</t>
  </si>
  <si>
    <t>Gingerbread Man #690</t>
  </si>
  <si>
    <t>Gingerbread Man #691</t>
  </si>
  <si>
    <t>Gingerbread Man #692</t>
  </si>
  <si>
    <t>BonnieB1</t>
  </si>
  <si>
    <t>Gingerbread Man #693</t>
  </si>
  <si>
    <t>Gingerbread Man #694</t>
  </si>
  <si>
    <t>Gingerbread Man #695</t>
  </si>
  <si>
    <t>Gingerbread Man #696</t>
  </si>
  <si>
    <t>Gingerbread Man #697</t>
  </si>
  <si>
    <t>Gingerbread Man #698</t>
  </si>
  <si>
    <t>Gingerbread Man #699</t>
  </si>
  <si>
    <t>Gingerbread Man #700</t>
  </si>
  <si>
    <t>MsYB</t>
  </si>
  <si>
    <t>Gingerbread Man #701</t>
  </si>
  <si>
    <t>Gingerbread Man #702</t>
  </si>
  <si>
    <t>Gingerbread Man #703</t>
  </si>
  <si>
    <t>Gingerbread Man #704</t>
  </si>
  <si>
    <t>Gingerbread Man #705</t>
  </si>
  <si>
    <t>Gingerbread Man #706</t>
  </si>
  <si>
    <t>Gingerbread Man #707</t>
  </si>
  <si>
    <t>Belboz</t>
  </si>
  <si>
    <t>Gingerbread Man #708</t>
  </si>
  <si>
    <t>Gingerbread Man #709</t>
  </si>
  <si>
    <t>Gingerbread Man #710</t>
  </si>
  <si>
    <t>Gingerbread Man #711</t>
  </si>
  <si>
    <t>Gingerbread Man #712</t>
  </si>
  <si>
    <t>Gingerbread Man #713</t>
  </si>
  <si>
    <t>Gingerbread Man #714</t>
  </si>
  <si>
    <t>Gingerbread Man #715</t>
  </si>
  <si>
    <t>Gingerbread Man #716</t>
  </si>
  <si>
    <t>Gingerbread Man #717</t>
  </si>
  <si>
    <t>Gingerbread Man #718</t>
  </si>
  <si>
    <t>ChickenRun</t>
  </si>
  <si>
    <t>Gingerbread Man #719</t>
  </si>
  <si>
    <t>Gingerbread Man #720</t>
  </si>
  <si>
    <t>Gingerbread Man #721</t>
  </si>
  <si>
    <t>Gingerbread Man #722</t>
  </si>
  <si>
    <t>misstee</t>
  </si>
  <si>
    <t>Gingerbread Man #723</t>
  </si>
  <si>
    <t>Gingerbread Man #724</t>
  </si>
  <si>
    <t>Gingerbread Man #725</t>
  </si>
  <si>
    <t>Gingerbread Man #726</t>
  </si>
  <si>
    <t>Gingerbread Man #727</t>
  </si>
  <si>
    <t>Gingerbread Man #728</t>
  </si>
  <si>
    <t>Gingerbread Man #729</t>
  </si>
  <si>
    <t>wildflower82</t>
  </si>
  <si>
    <t>Gingerbread Man #730</t>
  </si>
  <si>
    <t>Gingerbread Man #731</t>
  </si>
  <si>
    <t>Gingerbread Man #732</t>
  </si>
  <si>
    <t>Gingerbread Man #733</t>
  </si>
  <si>
    <t>Gingerbread Man #734</t>
  </si>
  <si>
    <t>Gingerbread Man #735</t>
  </si>
  <si>
    <t>Gingerbread Man #736</t>
  </si>
  <si>
    <t>Gingerbread Man #737</t>
  </si>
  <si>
    <t>Gingerbread Man #738</t>
  </si>
  <si>
    <t>Gingerbread Man #739</t>
  </si>
  <si>
    <t>Gingerbread Man #740</t>
  </si>
  <si>
    <t>Gingerbread Man #741</t>
  </si>
  <si>
    <t xml:space="preserve">Belladivadee </t>
  </si>
  <si>
    <t>Gingerbread Man #742</t>
  </si>
  <si>
    <t>Gingerbread Man #743</t>
  </si>
  <si>
    <t>Gingerbread Man #744</t>
  </si>
  <si>
    <t>Gingerbread Man #745</t>
  </si>
  <si>
    <t>Gingerbread Man #746</t>
  </si>
  <si>
    <t>Gingerbread Man #747</t>
  </si>
  <si>
    <t>Gingerbread Man #748</t>
  </si>
  <si>
    <t>amoocow</t>
  </si>
  <si>
    <t>Gingerbread Man, Edina , MN, USA</t>
  </si>
  <si>
    <t>Type/Color of Munzee</t>
  </si>
  <si>
    <t>TOTAL</t>
  </si>
  <si>
    <t>AVAILABLE</t>
  </si>
  <si>
    <t>DEPLOYED</t>
  </si>
  <si>
    <t>White Virtual</t>
  </si>
  <si>
    <t>Granny Smith Apple Virtual</t>
  </si>
  <si>
    <t>Black Virtual</t>
  </si>
  <si>
    <t>Raw Sienna Virtual</t>
  </si>
  <si>
    <t>Red Virtual</t>
  </si>
  <si>
    <t>Yellow Virtual</t>
  </si>
  <si>
    <t>Pink Virtual</t>
  </si>
  <si>
    <t>Cornflower Virtual</t>
  </si>
  <si>
    <t>Please Note: Virtuals Only!</t>
  </si>
  <si>
    <t>Completion (percentage):</t>
  </si>
  <si>
    <t>Top 10 Placers:</t>
  </si>
  <si>
    <t>Placers:</t>
  </si>
  <si>
    <t>Placed</t>
  </si>
  <si>
    <t>Pin Name</t>
  </si>
  <si>
    <t>Column</t>
  </si>
  <si>
    <t>Type</t>
  </si>
  <si>
    <t>Link</t>
  </si>
  <si>
    <t>GO!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</si>
</sst>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"/>
    <numFmt numFmtId="165" formatCode="m/d/yy"/>
    <numFmt numFmtId="166" formatCode="0.0000"/>
  </numFmts>
  <fonts count="40">
    <font>
      <sz val="10.0"/>
      <color rgb="FF000000"/>
      <name val="Arial"/>
    </font>
    <font>
      <b/>
      <sz val="11.0"/>
      <name val="Calibri"/>
    </font>
    <font>
      <b/>
    </font>
    <font>
      <name val="Arial"/>
    </font>
    <font>
      <sz val="11.0"/>
      <name val="Calibri"/>
    </font>
    <font/>
    <font>
      <u/>
      <sz val="11.0"/>
      <color rgb="FF0000FF"/>
    </font>
    <font>
      <sz val="11.0"/>
    </font>
    <font>
      <sz val="11.0"/>
      <name val="&quot;Helvetica Neue&quot;"/>
    </font>
    <font>
      <u/>
      <sz val="11.0"/>
      <name val="&quot;Helvetica Neue&quot;"/>
    </font>
    <font>
      <name val="Serif"/>
    </font>
    <font>
      <name val="Roboto"/>
    </font>
    <font>
      <b/>
      <name val="Arial"/>
    </font>
    <font>
      <sz val="18.0"/>
      <color rgb="FF8E7CC3"/>
      <name val="Times New Roman"/>
    </font>
    <font>
      <b/>
      <sz val="12.0"/>
      <name val="Times New Roman"/>
    </font>
    <font>
      <sz val="12.0"/>
      <name val="Arial"/>
    </font>
    <font>
      <sz val="14.0"/>
      <name val="Arial"/>
    </font>
    <font>
      <sz val="12.0"/>
      <name val="Times New Roman"/>
    </font>
    <font>
      <sz val="11.0"/>
      <color rgb="FF000000"/>
      <name val="Arial"/>
    </font>
    <font>
      <sz val="13.0"/>
      <name val="Arial"/>
    </font>
    <font>
      <color rgb="FFFFFF00"/>
      <name val="Arial"/>
    </font>
    <font>
      <b/>
      <sz val="15.0"/>
      <color rgb="FF555555"/>
      <name val="Times New Roman"/>
    </font>
    <font>
      <color rgb="FF555555"/>
      <name val="Arial"/>
    </font>
    <font>
      <u/>
      <color rgb="FF1155CC"/>
      <name val="Arial"/>
    </font>
    <font>
      <u/>
      <color rgb="FF0000FF"/>
    </font>
    <font>
      <b/>
      <sz val="12.0"/>
      <name val="Arial"/>
    </font>
    <font>
      <b/>
      <sz val="14.0"/>
      <color rgb="FFFFFFFF"/>
      <name val="Times New Roman"/>
    </font>
    <font>
      <b/>
      <sz val="18.0"/>
      <color rgb="FF38761D"/>
      <name val="Lobster"/>
    </font>
    <font>
      <b/>
      <sz val="11.0"/>
      <color rgb="FF38761D"/>
      <name val="Lobster"/>
    </font>
    <font>
      <b/>
      <color rgb="FF38761D"/>
      <name val="Lobster"/>
    </font>
    <font>
      <name val="Lobster"/>
    </font>
    <font>
      <sz val="11.0"/>
      <color rgb="FF000000"/>
      <name val="Lobster"/>
    </font>
    <font>
      <b/>
      <i/>
      <sz val="11.0"/>
      <color rgb="FF000000"/>
      <name val="Helvetica Neue"/>
    </font>
    <font>
      <sz val="11.0"/>
      <color rgb="FF000000"/>
      <name val="Inconsolata"/>
    </font>
    <font>
      <sz val="11.0"/>
      <name val="Lobster"/>
    </font>
    <font>
      <i/>
      <sz val="11.0"/>
      <name val="Lobster"/>
    </font>
    <font>
      <b/>
      <color rgb="FFFFFFFF"/>
      <name val="Arial"/>
    </font>
    <font>
      <sz val="12.0"/>
      <color rgb="FF333333"/>
      <name val="Arial"/>
    </font>
    <font>
      <b/>
      <sz val="11.0"/>
      <name val="Oxygen"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BF9000"/>
        <bgColor rgb="FFBF9000"/>
      </patternFill>
    </fill>
  </fills>
  <borders count="16">
    <border/>
    <border>
      <top style="thin">
        <color rgb="FF000000"/>
      </top>
    </border>
    <border>
      <right/>
    </border>
    <border>
      <left style="thin">
        <color rgb="FF00421D"/>
      </left>
      <right style="thin">
        <color rgb="FF00421D"/>
      </right>
      <top style="thin">
        <color rgb="FF00421D"/>
      </top>
    </border>
    <border>
      <left style="thin">
        <color rgb="FF00421D"/>
      </left>
      <right style="thin">
        <color rgb="FF00421D"/>
      </right>
    </border>
    <border>
      <right style="thin">
        <color rgb="FFCCCCCC"/>
      </right>
      <bottom style="thin">
        <color rgb="FFCCCCCC"/>
      </bottom>
    </border>
    <border>
      <left style="thin">
        <color rgb="FF00421D"/>
      </left>
      <right style="thin">
        <color rgb="FF00421D"/>
      </right>
      <bottom style="thin">
        <color rgb="FF00421D"/>
      </bottom>
    </border>
    <border>
      <left style="thin">
        <color rgb="FFCCCCCC"/>
      </left>
      <right/>
      <bottom style="thin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0" fillId="2" fontId="4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0"/>
    </xf>
    <xf borderId="0" fillId="2" fontId="4" numFmtId="164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5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4" fontId="3" numFmtId="0" xfId="0" applyAlignment="1" applyBorder="1" applyFill="1" applyFont="1">
      <alignment horizontal="center" readingOrder="0" shrinkToFit="0" vertical="center" wrapText="0"/>
    </xf>
    <xf borderId="0" fillId="4" fontId="3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5" fontId="13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4" fillId="0" fontId="5" numFmtId="0" xfId="0" applyBorder="1" applyFont="1"/>
    <xf borderId="2" fillId="0" fontId="14" numFmtId="0" xfId="0" applyAlignment="1" applyBorder="1" applyFont="1">
      <alignment shrinkToFit="0" vertical="bottom" wrapText="0"/>
    </xf>
    <xf borderId="5" fillId="0" fontId="15" numFmtId="0" xfId="0" applyAlignment="1" applyBorder="1" applyFont="1">
      <alignment vertical="bottom"/>
    </xf>
    <xf borderId="0" fillId="0" fontId="14" numFmtId="0" xfId="0" applyAlignment="1" applyFont="1">
      <alignment horizontal="center" vertical="bottom"/>
    </xf>
    <xf borderId="0" fillId="0" fontId="14" numFmtId="166" xfId="0" applyAlignment="1" applyFont="1" applyNumberFormat="1">
      <alignment horizontal="center" vertical="bottom"/>
    </xf>
    <xf borderId="6" fillId="0" fontId="5" numFmtId="0" xfId="0" applyBorder="1" applyFont="1"/>
    <xf borderId="0" fillId="0" fontId="15" numFmtId="0" xfId="0" applyAlignment="1" applyFont="1">
      <alignment vertical="bottom"/>
    </xf>
    <xf borderId="0" fillId="0" fontId="15" numFmtId="166" xfId="0" applyAlignment="1" applyFont="1" applyNumberFormat="1">
      <alignment vertical="bottom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readingOrder="0" shrinkToFit="0" vertical="bottom" wrapText="0"/>
    </xf>
    <xf borderId="0" fillId="4" fontId="15" numFmtId="0" xfId="0" applyAlignment="1" applyFont="1">
      <alignment horizontal="center"/>
    </xf>
    <xf borderId="0" fillId="0" fontId="15" numFmtId="1" xfId="0" applyAlignment="1" applyFont="1" applyNumberFormat="1">
      <alignment horizontal="center" vertical="bottom"/>
    </xf>
    <xf borderId="0" fillId="4" fontId="18" numFmtId="0" xfId="0" applyAlignment="1" applyFont="1">
      <alignment readingOrder="0"/>
    </xf>
    <xf borderId="0" fillId="0" fontId="15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0" fillId="0" fontId="15" numFmtId="0" xfId="0" applyAlignment="1" applyFont="1">
      <alignment readingOrder="0" vertical="bottom"/>
    </xf>
    <xf borderId="0" fillId="0" fontId="17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14" numFmtId="1" xfId="0" applyAlignment="1" applyFont="1" applyNumberFormat="1">
      <alignment horizontal="center" vertical="bottom"/>
    </xf>
    <xf borderId="0" fillId="0" fontId="20" numFmtId="0" xfId="0" applyAlignment="1" applyFont="1">
      <alignment vertical="bottom"/>
    </xf>
    <xf borderId="0" fillId="0" fontId="20" numFmtId="166" xfId="0" applyAlignment="1" applyFont="1" applyNumberFormat="1">
      <alignment vertical="bottom"/>
    </xf>
    <xf borderId="7" fillId="0" fontId="21" numFmtId="0" xfId="0" applyAlignment="1" applyBorder="1" applyFont="1">
      <alignment readingOrder="0" shrinkToFit="0" vertical="bottom" wrapText="0"/>
    </xf>
    <xf borderId="2" fillId="0" fontId="22" numFmtId="0" xfId="0" applyAlignment="1" applyBorder="1" applyFont="1">
      <alignment vertical="bottom"/>
    </xf>
    <xf borderId="0" fillId="0" fontId="22" numFmtId="0" xfId="0" applyAlignment="1" applyFont="1">
      <alignment vertical="bottom"/>
    </xf>
    <xf borderId="0" fillId="0" fontId="22" numFmtId="166" xfId="0" applyAlignment="1" applyFont="1" applyNumberFormat="1">
      <alignment vertical="bottom"/>
    </xf>
    <xf borderId="0" fillId="0" fontId="23" numFmtId="0" xfId="0" applyAlignment="1" applyFont="1">
      <alignment horizontal="center"/>
    </xf>
    <xf borderId="0" fillId="0" fontId="3" numFmtId="0" xfId="0" applyAlignment="1" applyFont="1">
      <alignment vertical="bottom"/>
    </xf>
    <xf borderId="0" fillId="0" fontId="3" numFmtId="166" xfId="0" applyAlignment="1" applyFont="1" applyNumberFormat="1">
      <alignment vertical="bottom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vertical="bottom"/>
    </xf>
    <xf borderId="0" fillId="6" fontId="26" numFmtId="10" xfId="0" applyAlignment="1" applyFill="1" applyFont="1" applyNumberFormat="1">
      <alignment horizontal="center" vertical="bottom"/>
    </xf>
    <xf borderId="8" fillId="0" fontId="27" numFmtId="0" xfId="0" applyAlignment="1" applyBorder="1" applyFont="1">
      <alignment horizontal="center" vertical="bottom"/>
    </xf>
    <xf borderId="9" fillId="0" fontId="5" numFmtId="0" xfId="0" applyBorder="1" applyFont="1"/>
    <xf borderId="1" fillId="0" fontId="28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readingOrder="0" vertical="center"/>
    </xf>
    <xf borderId="11" fillId="0" fontId="5" numFmtId="0" xfId="0" applyBorder="1" applyFont="1"/>
    <xf borderId="12" fillId="0" fontId="5" numFmtId="0" xfId="0" applyBorder="1" applyFont="1"/>
    <xf borderId="13" fillId="0" fontId="28" numFmtId="0" xfId="0" applyAlignment="1" applyBorder="1" applyFont="1">
      <alignment horizontal="center"/>
    </xf>
    <xf borderId="14" fillId="0" fontId="29" numFmtId="0" xfId="0" applyAlignment="1" applyBorder="1" applyFont="1">
      <alignment vertical="bottom"/>
    </xf>
    <xf borderId="14" fillId="0" fontId="28" numFmtId="0" xfId="0" applyAlignment="1" applyBorder="1" applyFont="1">
      <alignment horizontal="center" vertical="bottom"/>
    </xf>
    <xf borderId="15" fillId="0" fontId="28" numFmtId="0" xfId="0" applyAlignment="1" applyBorder="1" applyFont="1">
      <alignment horizontal="center"/>
    </xf>
    <xf borderId="10" fillId="7" fontId="30" numFmtId="0" xfId="0" applyAlignment="1" applyBorder="1" applyFill="1" applyFont="1">
      <alignment vertical="bottom"/>
    </xf>
    <xf borderId="0" fillId="7" fontId="31" numFmtId="0" xfId="0" applyAlignment="1" applyFont="1">
      <alignment horizontal="right" vertical="bottom"/>
    </xf>
    <xf borderId="0" fillId="7" fontId="32" numFmtId="0" xfId="0" applyFont="1"/>
    <xf borderId="10" fillId="0" fontId="33" numFmtId="0" xfId="0" applyBorder="1" applyFont="1"/>
    <xf borderId="10" fillId="8" fontId="34" numFmtId="0" xfId="0" applyAlignment="1" applyBorder="1" applyFill="1" applyFont="1">
      <alignment vertical="bottom"/>
    </xf>
    <xf borderId="0" fillId="8" fontId="31" numFmtId="0" xfId="0" applyAlignment="1" applyFont="1">
      <alignment horizontal="right" vertical="bottom"/>
    </xf>
    <xf borderId="0" fillId="8" fontId="32" numFmtId="0" xfId="0" applyFont="1"/>
    <xf borderId="10" fillId="0" fontId="31" numFmtId="0" xfId="0" applyAlignment="1" applyBorder="1" applyFont="1">
      <alignment horizontal="right" vertical="bottom"/>
    </xf>
    <xf borderId="10" fillId="9" fontId="30" numFmtId="0" xfId="0" applyAlignment="1" applyBorder="1" applyFill="1" applyFont="1">
      <alignment vertical="bottom"/>
    </xf>
    <xf borderId="0" fillId="9" fontId="31" numFmtId="0" xfId="0" applyAlignment="1" applyFont="1">
      <alignment horizontal="right" vertical="bottom"/>
    </xf>
    <xf borderId="0" fillId="9" fontId="32" numFmtId="0" xfId="0" applyFont="1"/>
    <xf borderId="10" fillId="0" fontId="34" numFmtId="0" xfId="0" applyAlignment="1" applyBorder="1" applyFont="1">
      <alignment vertical="bottom"/>
    </xf>
    <xf borderId="0" fillId="4" fontId="31" numFmtId="0" xfId="0" applyAlignment="1" applyFont="1">
      <alignment horizontal="right" vertical="bottom"/>
    </xf>
    <xf borderId="0" fillId="4" fontId="32" numFmtId="0" xfId="0" applyFont="1"/>
    <xf borderId="10" fillId="0" fontId="35" numFmtId="0" xfId="0" applyAlignment="1" applyBorder="1" applyFont="1">
      <alignment vertical="bottom"/>
    </xf>
    <xf borderId="10" fillId="0" fontId="30" numFmtId="0" xfId="0" applyAlignment="1" applyBorder="1" applyFont="1">
      <alignment vertical="bottom"/>
    </xf>
    <xf borderId="11" fillId="0" fontId="30" numFmtId="0" xfId="0" applyAlignment="1" applyBorder="1" applyFont="1">
      <alignment vertical="bottom"/>
    </xf>
    <xf borderId="13" fillId="4" fontId="31" numFmtId="0" xfId="0" applyAlignment="1" applyBorder="1" applyFont="1">
      <alignment horizontal="right" vertical="bottom"/>
    </xf>
    <xf borderId="0" fillId="0" fontId="19" numFmtId="0" xfId="0" applyAlignment="1" applyFont="1">
      <alignment horizontal="center" readingOrder="0"/>
    </xf>
    <xf borderId="0" fillId="0" fontId="36" numFmtId="0" xfId="0" applyAlignment="1" applyFont="1">
      <alignment horizontal="center" readingOrder="0" shrinkToFit="0" vertical="center" wrapText="1"/>
    </xf>
    <xf borderId="0" fillId="4" fontId="37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8" numFmtId="0" xfId="0" applyAlignment="1" applyFont="1">
      <alignment horizontal="center" vertical="center"/>
    </xf>
    <xf borderId="0" fillId="0" fontId="38" numFmtId="164" xfId="0" applyAlignment="1" applyFont="1" applyNumberFormat="1">
      <alignment horizontal="center" vertical="center"/>
    </xf>
    <xf borderId="0" fillId="0" fontId="38" numFmtId="0" xfId="0" applyAlignment="1" applyFont="1">
      <alignment horizontal="center" readingOrder="0" vertical="center"/>
    </xf>
    <xf borderId="0" fillId="0" fontId="39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8" numFmtId="0" xfId="0" applyAlignment="1" applyFont="1">
      <alignment horizontal="center"/>
    </xf>
  </cellXfs>
  <cellStyles count="1">
    <cellStyle xfId="0" name="Normal" builtinId="0"/>
  </cellStyles>
  <dxfs count="6">
    <dxf>
      <font>
        <strike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9900FF"/>
          <bgColor rgb="FF9900FF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FFFFFF"/>
      </font>
      <fill>
        <patternFill patternType="solid">
          <fgColor rgb="FF674EA7"/>
          <bgColor rgb="FF674EA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904875</xdr:colOff>
      <xdr:row>3</xdr:row>
      <xdr:rowOff>57150</xdr:rowOff>
    </xdr:from>
    <xdr:ext cx="2047875" cy="28003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63"/>
    <col customWidth="1" min="2" max="2" width="4.13"/>
    <col customWidth="1" min="3" max="3" width="6.63"/>
    <col customWidth="1" min="4" max="4" width="15.25"/>
    <col customWidth="1" min="5" max="5" width="18.75"/>
    <col customWidth="1" min="6" max="6" width="25.38"/>
    <col customWidth="1" hidden="1" min="7" max="7" width="8.25"/>
    <col customWidth="1" min="8" max="8" width="16.75"/>
    <col customWidth="1" min="9" max="9" width="7.88"/>
    <col customWidth="1" min="10" max="10" width="42.0"/>
    <col customWidth="1" min="11" max="11" width="22.88"/>
    <col customWidth="1" min="12" max="12" width="7.88"/>
    <col customWidth="1" min="13" max="16" width="10.0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</row>
    <row r="2">
      <c r="A2" s="5" t="s">
        <v>12</v>
      </c>
      <c r="B2" s="6">
        <v>0.0</v>
      </c>
      <c r="C2" s="6">
        <v>1.0</v>
      </c>
      <c r="D2" s="7">
        <v>44.8651241827143</v>
      </c>
      <c r="E2" s="7">
        <v>-93.32959548</v>
      </c>
      <c r="F2" s="6" t="s">
        <v>13</v>
      </c>
      <c r="G2" s="6"/>
      <c r="H2" s="8" t="s">
        <v>14</v>
      </c>
      <c r="I2" s="9">
        <v>1990.0</v>
      </c>
      <c r="J2" s="10"/>
      <c r="K2" s="11" t="str">
        <f>IFERROR(__xludf.DUMMYFUNCTION("IF(AND(REGEXMATCH($H2,""50( ?['fF]([oO]{2})?[tT]?)?( ?[eE][rR]{2}[oO][rR])"")=FALSE,$H2&lt;&gt;"""",$I2&lt;&gt;""""),HYPERLINK(""https://www.munzee.com/m/""&amp;$H2&amp;""/""&amp;$I2&amp;""/map/?lat=""&amp;$D2&amp;""&amp;lon=""&amp;$E2&amp;""&amp;type=""&amp;$G2&amp;""&amp;name=""&amp;SUBSTITUTE($A2,""#"",""%23""),$H2&amp;""/"&amp;"""&amp;$I2),IF($H2&lt;&gt;"""",IF(REGEXMATCH($H2,""50( ?['fF]([oO]{2})?[tT]?)?( ?[eE][rR]{2}[oO][rR])""),HYPERLINK(""https://www.munzee.com/map/?sandbox=1&amp;lat=""&amp;$D2&amp;""&amp;lon=""&amp;$E2&amp;""&amp;name=""&amp;SUBSTITUTE($A2,""#"",""%23""),""SANDBOX""),HYPERLINK(""https://www.munzee."&amp;"com/m/""&amp;$H2&amp;""/deploys/0/type/""&amp;IFNA(VLOOKUP($G2,IMPORTRANGE(""https://docs.google.com/spreadsheets/d/1DliIGyDywdzxhd4svtjaewR0p9Y5UBTMNMQ2PcXsqss"",""type data!E2:F""),2,FALSE),$G2)&amp;""/"",$H2)),""""))"),"JABIE28/1990")</f>
        <v>JABIE28/1990</v>
      </c>
      <c r="L2" s="9" t="b">
        <v>1</v>
      </c>
      <c r="M2" s="12">
        <f t="shared" ref="M2:M750" si="1">IF($H2="","",COUNTIFS($H$2:$H750,"="&amp;$H2,$L$2:$L750,TRUE))</f>
        <v>85</v>
      </c>
      <c r="N2" s="13"/>
      <c r="O2" s="13"/>
      <c r="P2" s="14"/>
    </row>
    <row r="3">
      <c r="A3" s="15" t="s">
        <v>15</v>
      </c>
      <c r="B3" s="16">
        <v>1.0</v>
      </c>
      <c r="C3" s="16">
        <v>9.0</v>
      </c>
      <c r="D3" s="17">
        <v>44.866074584281</v>
      </c>
      <c r="E3" s="17">
        <v>-93.335236223671</v>
      </c>
      <c r="F3" s="16" t="s">
        <v>16</v>
      </c>
      <c r="G3" s="16" t="s">
        <v>17</v>
      </c>
      <c r="H3" s="18" t="s">
        <v>14</v>
      </c>
      <c r="I3" s="19">
        <v>1907.0</v>
      </c>
      <c r="J3" s="20"/>
      <c r="K3" s="11" t="str">
        <f>IFERROR(__xludf.DUMMYFUNCTION("IF(AND(REGEXMATCH($H3,""50( ?['fF]([oO]{2})?[tT]?)?( ?[eE][rR]{2}[oO][rR])"")=FALSE,$H3&lt;&gt;"""",$I3&lt;&gt;""""),HYPERLINK(""https://www.munzee.com/m/""&amp;$H3&amp;""/""&amp;$I3&amp;""/map/?lat=""&amp;$D3&amp;""&amp;lon=""&amp;$E3&amp;""&amp;type=""&amp;$G3&amp;""&amp;name=""&amp;SUBSTITUTE($A3,""#"",""%23""),$H3&amp;""/"&amp;"""&amp;$I3),IF($H3&lt;&gt;"""",IF(REGEXMATCH($H3,""50( ?['fF]([oO]{2})?[tT]?)?( ?[eE][rR]{2}[oO][rR])""),HYPERLINK(""https://www.munzee.com/map/?sandbox=1&amp;lat=""&amp;$D3&amp;""&amp;lon=""&amp;$E3&amp;""&amp;name=""&amp;SUBSTITUTE($A3,""#"",""%23""),""SANDBOX""),HYPERLINK(""https://www.munzee."&amp;"com/m/""&amp;$H3&amp;""/deploys/0/type/""&amp;IFNA(VLOOKUP($G3,IMPORTRANGE(""https://docs.google.com/spreadsheets/d/1DliIGyDywdzxhd4svtjaewR0p9Y5UBTMNMQ2PcXsqss"",""type data!E2:F""),2,FALSE),$G3)&amp;""/"",$H3)),""""))"),"JABIE28/1907")</f>
        <v>JABIE28/1907</v>
      </c>
      <c r="L3" s="19" t="b">
        <v>1</v>
      </c>
      <c r="M3" s="12">
        <f t="shared" si="1"/>
        <v>85</v>
      </c>
      <c r="N3" s="13"/>
      <c r="O3" s="13"/>
      <c r="P3" s="14">
        <v>19.0</v>
      </c>
    </row>
    <row r="4">
      <c r="A4" s="15" t="s">
        <v>18</v>
      </c>
      <c r="B4" s="16">
        <v>1.0</v>
      </c>
      <c r="C4" s="16">
        <v>10.0</v>
      </c>
      <c r="D4" s="17">
        <v>44.866074584102</v>
      </c>
      <c r="E4" s="17">
        <v>-93.335033431586</v>
      </c>
      <c r="F4" s="16" t="s">
        <v>16</v>
      </c>
      <c r="G4" s="16" t="s">
        <v>17</v>
      </c>
      <c r="H4" s="18" t="s">
        <v>19</v>
      </c>
      <c r="I4" s="19">
        <v>227.0</v>
      </c>
      <c r="J4" s="20"/>
      <c r="K4" s="11" t="str">
        <f>IFERROR(__xludf.DUMMYFUNCTION("IF(AND(REGEXMATCH($H4,""50( ?['fF]([oO]{2})?[tT]?)?( ?[eE][rR]{2}[oO][rR])"")=FALSE,$H4&lt;&gt;"""",$I4&lt;&gt;""""),HYPERLINK(""https://www.munzee.com/m/""&amp;$H4&amp;""/""&amp;$I4&amp;""/map/?lat=""&amp;$D4&amp;""&amp;lon=""&amp;$E4&amp;""&amp;type=""&amp;$G4&amp;""&amp;name=""&amp;SUBSTITUTE($A4,""#"",""%23""),$H4&amp;""/"&amp;"""&amp;$I4),IF($H4&lt;&gt;"""",IF(REGEXMATCH($H4,""50( ?['fF]([oO]{2})?[tT]?)?( ?[eE][rR]{2}[oO][rR])""),HYPERLINK(""https://www.munzee.com/map/?sandbox=1&amp;lat=""&amp;$D4&amp;""&amp;lon=""&amp;$E4&amp;""&amp;name=""&amp;SUBSTITUTE($A4,""#"",""%23""),""SANDBOX""),HYPERLINK(""https://www.munzee."&amp;"com/m/""&amp;$H4&amp;""/deploys/0/type/""&amp;IFNA(VLOOKUP($G4,IMPORTRANGE(""https://docs.google.com/spreadsheets/d/1DliIGyDywdzxhd4svtjaewR0p9Y5UBTMNMQ2PcXsqss"",""type data!E2:F""),2,FALSE),$G4)&amp;""/"",$H4)),""""))"),"MSgtUSMC/227")</f>
        <v>MSgtUSMC/227</v>
      </c>
      <c r="L4" s="19" t="b">
        <v>1</v>
      </c>
      <c r="M4" s="12">
        <f t="shared" si="1"/>
        <v>2</v>
      </c>
      <c r="N4" s="13"/>
      <c r="O4" s="13"/>
      <c r="P4" s="15"/>
    </row>
    <row r="5">
      <c r="A5" s="15" t="s">
        <v>20</v>
      </c>
      <c r="B5" s="16">
        <v>1.0</v>
      </c>
      <c r="C5" s="16">
        <v>11.0</v>
      </c>
      <c r="D5" s="17">
        <v>44.866074583922</v>
      </c>
      <c r="E5" s="17">
        <v>-93.334830639501</v>
      </c>
      <c r="F5" s="16" t="s">
        <v>16</v>
      </c>
      <c r="G5" s="16" t="s">
        <v>17</v>
      </c>
      <c r="H5" s="18" t="s">
        <v>21</v>
      </c>
      <c r="I5" s="19">
        <v>905.0</v>
      </c>
      <c r="J5" s="20"/>
      <c r="K5" s="11" t="str">
        <f>IFERROR(__xludf.DUMMYFUNCTION("IF(AND(REGEXMATCH($H5,""50( ?['fF]([oO]{2})?[tT]?)?( ?[eE][rR]{2}[oO][rR])"")=FALSE,$H5&lt;&gt;"""",$I5&lt;&gt;""""),HYPERLINK(""https://www.munzee.com/m/""&amp;$H5&amp;""/""&amp;$I5&amp;""/map/?lat=""&amp;$D5&amp;""&amp;lon=""&amp;$E5&amp;""&amp;type=""&amp;$G5&amp;""&amp;name=""&amp;SUBSTITUTE($A5,""#"",""%23""),$H5&amp;""/"&amp;"""&amp;$I5),IF($H5&lt;&gt;"""",IF(REGEXMATCH($H5,""50( ?['fF]([oO]{2})?[tT]?)?( ?[eE][rR]{2}[oO][rR])""),HYPERLINK(""https://www.munzee.com/map/?sandbox=1&amp;lat=""&amp;$D5&amp;""&amp;lon=""&amp;$E5&amp;""&amp;name=""&amp;SUBSTITUTE($A5,""#"",""%23""),""SANDBOX""),HYPERLINK(""https://www.munzee."&amp;"com/m/""&amp;$H5&amp;""/deploys/0/type/""&amp;IFNA(VLOOKUP($G5,IMPORTRANGE(""https://docs.google.com/spreadsheets/d/1DliIGyDywdzxhd4svtjaewR0p9Y5UBTMNMQ2PcXsqss"",""type data!E2:F""),2,FALSE),$G5)&amp;""/"",$H5)),""""))"),"Westmarch/905")</f>
        <v>Westmarch/905</v>
      </c>
      <c r="L5" s="19" t="b">
        <v>1</v>
      </c>
      <c r="M5" s="12">
        <f t="shared" si="1"/>
        <v>12</v>
      </c>
      <c r="N5" s="18" t="s">
        <v>22</v>
      </c>
      <c r="O5" s="13"/>
      <c r="P5" s="15"/>
    </row>
    <row r="6">
      <c r="A6" s="15" t="s">
        <v>23</v>
      </c>
      <c r="B6" s="16">
        <v>1.0</v>
      </c>
      <c r="C6" s="16">
        <v>12.0</v>
      </c>
      <c r="D6" s="17">
        <v>44.866074583743</v>
      </c>
      <c r="E6" s="17">
        <v>-93.334627847415</v>
      </c>
      <c r="F6" s="16" t="s">
        <v>16</v>
      </c>
      <c r="G6" s="16" t="s">
        <v>17</v>
      </c>
      <c r="H6" s="18" t="s">
        <v>14</v>
      </c>
      <c r="I6" s="19">
        <v>911.0</v>
      </c>
      <c r="J6" s="20"/>
      <c r="K6" s="11" t="str">
        <f>IFERROR(__xludf.DUMMYFUNCTION("IF(AND(REGEXMATCH($H6,""50( ?['fF]([oO]{2})?[tT]?)?( ?[eE][rR]{2}[oO][rR])"")=FALSE,$H6&lt;&gt;"""",$I6&lt;&gt;""""),HYPERLINK(""https://www.munzee.com/m/""&amp;$H6&amp;""/""&amp;$I6&amp;""/map/?lat=""&amp;$D6&amp;""&amp;lon=""&amp;$E6&amp;""&amp;type=""&amp;$G6&amp;""&amp;name=""&amp;SUBSTITUTE($A6,""#"",""%23""),$H6&amp;""/"&amp;"""&amp;$I6),IF($H6&lt;&gt;"""",IF(REGEXMATCH($H6,""50( ?['fF]([oO]{2})?[tT]?)?( ?[eE][rR]{2}[oO][rR])""),HYPERLINK(""https://www.munzee.com/map/?sandbox=1&amp;lat=""&amp;$D6&amp;""&amp;lon=""&amp;$E6&amp;""&amp;name=""&amp;SUBSTITUTE($A6,""#"",""%23""),""SANDBOX""),HYPERLINK(""https://www.munzee."&amp;"com/m/""&amp;$H6&amp;""/deploys/0/type/""&amp;IFNA(VLOOKUP($G6,IMPORTRANGE(""https://docs.google.com/spreadsheets/d/1DliIGyDywdzxhd4svtjaewR0p9Y5UBTMNMQ2PcXsqss"",""type data!E2:F""),2,FALSE),$G6)&amp;""/"",$H6)),""""))"),"JABIE28/911")</f>
        <v>JABIE28/911</v>
      </c>
      <c r="L6" s="19" t="b">
        <v>1</v>
      </c>
      <c r="M6" s="12">
        <f t="shared" si="1"/>
        <v>85</v>
      </c>
      <c r="N6" s="13"/>
      <c r="O6" s="13"/>
      <c r="P6" s="15"/>
    </row>
    <row r="7">
      <c r="A7" s="15" t="s">
        <v>24</v>
      </c>
      <c r="B7" s="16">
        <v>1.0</v>
      </c>
      <c r="C7" s="16">
        <v>13.0</v>
      </c>
      <c r="D7" s="17">
        <v>44.866074583563</v>
      </c>
      <c r="E7" s="17">
        <v>-93.33442505533</v>
      </c>
      <c r="F7" s="16" t="s">
        <v>16</v>
      </c>
      <c r="G7" s="16" t="s">
        <v>17</v>
      </c>
      <c r="H7" s="18" t="s">
        <v>25</v>
      </c>
      <c r="I7" s="19">
        <v>2767.0</v>
      </c>
      <c r="J7" s="20"/>
      <c r="K7" s="11" t="str">
        <f>IFERROR(__xludf.DUMMYFUNCTION("IF(AND(REGEXMATCH($H7,""50( ?['fF]([oO]{2})?[tT]?)?( ?[eE][rR]{2}[oO][rR])"")=FALSE,$H7&lt;&gt;"""",$I7&lt;&gt;""""),HYPERLINK(""https://www.munzee.com/m/""&amp;$H7&amp;""/""&amp;$I7&amp;""/map/?lat=""&amp;$D7&amp;""&amp;lon=""&amp;$E7&amp;""&amp;type=""&amp;$G7&amp;""&amp;name=""&amp;SUBSTITUTE($A7,""#"",""%23""),$H7&amp;""/"&amp;"""&amp;$I7),IF($H7&lt;&gt;"""",IF(REGEXMATCH($H7,""50( ?['fF]([oO]{2})?[tT]?)?( ?[eE][rR]{2}[oO][rR])""),HYPERLINK(""https://www.munzee.com/map/?sandbox=1&amp;lat=""&amp;$D7&amp;""&amp;lon=""&amp;$E7&amp;""&amp;name=""&amp;SUBSTITUTE($A7,""#"",""%23""),""SANDBOX""),HYPERLINK(""https://www.munzee."&amp;"com/m/""&amp;$H7&amp;""/deploys/0/type/""&amp;IFNA(VLOOKUP($G7,IMPORTRANGE(""https://docs.google.com/spreadsheets/d/1DliIGyDywdzxhd4svtjaewR0p9Y5UBTMNMQ2PcXsqss"",""type data!E2:F""),2,FALSE),$G7)&amp;""/"",$H7)),""""))"),"DHitz/2767")</f>
        <v>DHitz/2767</v>
      </c>
      <c r="L7" s="19" t="b">
        <v>1</v>
      </c>
      <c r="M7" s="12">
        <f t="shared" si="1"/>
        <v>1</v>
      </c>
      <c r="N7" s="13"/>
      <c r="O7" s="13"/>
      <c r="P7" s="15"/>
    </row>
    <row r="8">
      <c r="A8" s="15" t="s">
        <v>26</v>
      </c>
      <c r="B8" s="16">
        <v>1.0</v>
      </c>
      <c r="C8" s="16">
        <v>14.0</v>
      </c>
      <c r="D8" s="17">
        <v>44.866074583384</v>
      </c>
      <c r="E8" s="17">
        <v>-93.334222263244</v>
      </c>
      <c r="F8" s="16" t="s">
        <v>16</v>
      </c>
      <c r="G8" s="16" t="s">
        <v>17</v>
      </c>
      <c r="H8" s="18" t="s">
        <v>27</v>
      </c>
      <c r="I8" s="19">
        <v>5775.0</v>
      </c>
      <c r="J8" s="20"/>
      <c r="K8" s="11" t="str">
        <f>IFERROR(__xludf.DUMMYFUNCTION("IF(AND(REGEXMATCH($H8,""50( ?['fF]([oO]{2})?[tT]?)?( ?[eE][rR]{2}[oO][rR])"")=FALSE,$H8&lt;&gt;"""",$I8&lt;&gt;""""),HYPERLINK(""https://www.munzee.com/m/""&amp;$H8&amp;""/""&amp;$I8&amp;""/map/?lat=""&amp;$D8&amp;""&amp;lon=""&amp;$E8&amp;""&amp;type=""&amp;$G8&amp;""&amp;name=""&amp;SUBSTITUTE($A8,""#"",""%23""),$H8&amp;""/"&amp;"""&amp;$I8),IF($H8&lt;&gt;"""",IF(REGEXMATCH($H8,""50( ?['fF]([oO]{2})?[tT]?)?( ?[eE][rR]{2}[oO][rR])""),HYPERLINK(""https://www.munzee.com/map/?sandbox=1&amp;lat=""&amp;$D8&amp;""&amp;lon=""&amp;$E8&amp;""&amp;name=""&amp;SUBSTITUTE($A8,""#"",""%23""),""SANDBOX""),HYPERLINK(""https://www.munzee."&amp;"com/m/""&amp;$H8&amp;""/deploys/0/type/""&amp;IFNA(VLOOKUP($G8,IMPORTRANGE(""https://docs.google.com/spreadsheets/d/1DliIGyDywdzxhd4svtjaewR0p9Y5UBTMNMQ2PcXsqss"",""type data!E2:F""),2,FALSE),$G8)&amp;""/"",$H8)),""""))"),"geomsp/5775")</f>
        <v>geomsp/5775</v>
      </c>
      <c r="L8" s="19" t="b">
        <v>1</v>
      </c>
      <c r="M8" s="12">
        <f t="shared" si="1"/>
        <v>2</v>
      </c>
      <c r="N8" s="13"/>
      <c r="O8" s="13"/>
      <c r="P8" s="15"/>
    </row>
    <row r="9">
      <c r="A9" s="15" t="s">
        <v>28</v>
      </c>
      <c r="B9" s="16">
        <v>1.0</v>
      </c>
      <c r="C9" s="16">
        <v>15.0</v>
      </c>
      <c r="D9" s="17">
        <v>44.866074583204</v>
      </c>
      <c r="E9" s="17">
        <v>-93.334019471159</v>
      </c>
      <c r="F9" s="16" t="s">
        <v>16</v>
      </c>
      <c r="G9" s="16" t="s">
        <v>17</v>
      </c>
      <c r="H9" s="18" t="s">
        <v>14</v>
      </c>
      <c r="I9" s="19">
        <v>894.0</v>
      </c>
      <c r="J9" s="20"/>
      <c r="K9" s="11" t="str">
        <f>IFERROR(__xludf.DUMMYFUNCTION("IF(AND(REGEXMATCH($H9,""50( ?['fF]([oO]{2})?[tT]?)?( ?[eE][rR]{2}[oO][rR])"")=FALSE,$H9&lt;&gt;"""",$I9&lt;&gt;""""),HYPERLINK(""https://www.munzee.com/m/""&amp;$H9&amp;""/""&amp;$I9&amp;""/map/?lat=""&amp;$D9&amp;""&amp;lon=""&amp;$E9&amp;""&amp;type=""&amp;$G9&amp;""&amp;name=""&amp;SUBSTITUTE($A9,""#"",""%23""),$H9&amp;""/"&amp;"""&amp;$I9),IF($H9&lt;&gt;"""",IF(REGEXMATCH($H9,""50( ?['fF]([oO]{2})?[tT]?)?( ?[eE][rR]{2}[oO][rR])""),HYPERLINK(""https://www.munzee.com/map/?sandbox=1&amp;lat=""&amp;$D9&amp;""&amp;lon=""&amp;$E9&amp;""&amp;name=""&amp;SUBSTITUTE($A9,""#"",""%23""),""SANDBOX""),HYPERLINK(""https://www.munzee."&amp;"com/m/""&amp;$H9&amp;""/deploys/0/type/""&amp;IFNA(VLOOKUP($G9,IMPORTRANGE(""https://docs.google.com/spreadsheets/d/1DliIGyDywdzxhd4svtjaewR0p9Y5UBTMNMQ2PcXsqss"",""type data!E2:F""),2,FALSE),$G9)&amp;""/"",$H9)),""""))"),"JABIE28/894")</f>
        <v>JABIE28/894</v>
      </c>
      <c r="L9" s="19" t="b">
        <v>1</v>
      </c>
      <c r="M9" s="12">
        <f t="shared" si="1"/>
        <v>85</v>
      </c>
      <c r="N9" s="13"/>
      <c r="O9" s="13"/>
      <c r="P9" s="15"/>
    </row>
    <row r="10">
      <c r="A10" s="15" t="s">
        <v>29</v>
      </c>
      <c r="B10" s="16">
        <v>1.0</v>
      </c>
      <c r="C10" s="16">
        <v>16.0</v>
      </c>
      <c r="D10" s="17">
        <v>44.866074583025</v>
      </c>
      <c r="E10" s="17">
        <v>-93.333816679073</v>
      </c>
      <c r="F10" s="16" t="s">
        <v>16</v>
      </c>
      <c r="G10" s="16" t="s">
        <v>17</v>
      </c>
      <c r="H10" s="18" t="s">
        <v>30</v>
      </c>
      <c r="I10" s="19">
        <v>514.0</v>
      </c>
      <c r="J10" s="20"/>
      <c r="K10" s="11" t="str">
        <f>IFERROR(__xludf.DUMMYFUNCTION("IF(AND(REGEXMATCH($H10,""50( ?['fF]([oO]{2})?[tT]?)?( ?[eE][rR]{2}[oO][rR])"")=FALSE,$H10&lt;&gt;"""",$I10&lt;&gt;""""),HYPERLINK(""https://www.munzee.com/m/""&amp;$H10&amp;""/""&amp;$I10&amp;""/map/?lat=""&amp;$D10&amp;""&amp;lon=""&amp;$E10&amp;""&amp;type=""&amp;$G10&amp;""&amp;name=""&amp;SUBSTITUTE($A10,""#"",""%23"""&amp;"),$H10&amp;""/""&amp;$I10),IF($H10&lt;&gt;"""",IF(REGEXMATCH($H10,""50( ?['fF]([oO]{2})?[tT]?)?( ?[eE][rR]{2}[oO][rR])""),HYPERLINK(""https://www.munzee.com/map/?sandbox=1&amp;lat=""&amp;$D10&amp;""&amp;lon=""&amp;$E10&amp;""&amp;name=""&amp;SUBSTITUTE($A10,""#"",""%23""),""SANDBOX""),HYPERLINK(""htt"&amp;"ps://www.munzee.com/m/""&amp;$H10&amp;""/deploys/0/type/""&amp;IFNA(VLOOKUP($G10,IMPORTRANGE(""https://docs.google.com/spreadsheets/d/1DliIGyDywdzxhd4svtjaewR0p9Y5UBTMNMQ2PcXsqss"",""type data!E2:F""),2,FALSE),$G10)&amp;""/"",$H10)),""""))"),"Plitewski/514")</f>
        <v>Plitewski/514</v>
      </c>
      <c r="L10" s="19" t="b">
        <v>1</v>
      </c>
      <c r="M10" s="12">
        <f t="shared" si="1"/>
        <v>3</v>
      </c>
      <c r="N10" s="13"/>
      <c r="O10" s="13"/>
      <c r="P10" s="15"/>
    </row>
    <row r="11">
      <c r="A11" s="15" t="s">
        <v>31</v>
      </c>
      <c r="B11" s="16">
        <v>1.0</v>
      </c>
      <c r="C11" s="16">
        <v>17.0</v>
      </c>
      <c r="D11" s="17">
        <v>44.866074582846</v>
      </c>
      <c r="E11" s="17">
        <v>-93.333613886988</v>
      </c>
      <c r="F11" s="16" t="s">
        <v>16</v>
      </c>
      <c r="G11" s="16" t="s">
        <v>17</v>
      </c>
      <c r="H11" s="18" t="s">
        <v>32</v>
      </c>
      <c r="I11" s="19">
        <v>3276.0</v>
      </c>
      <c r="J11" s="20"/>
      <c r="K11" s="11" t="str">
        <f>IFERROR(__xludf.DUMMYFUNCTION("IF(AND(REGEXMATCH($H11,""50( ?['fF]([oO]{2})?[tT]?)?( ?[eE][rR]{2}[oO][rR])"")=FALSE,$H11&lt;&gt;"""",$I11&lt;&gt;""""),HYPERLINK(""https://www.munzee.com/m/""&amp;$H11&amp;""/""&amp;$I11&amp;""/map/?lat=""&amp;$D11&amp;""&amp;lon=""&amp;$E11&amp;""&amp;type=""&amp;$G11&amp;""&amp;name=""&amp;SUBSTITUTE($A11,""#"",""%23"""&amp;"),$H11&amp;""/""&amp;$I11),IF($H11&lt;&gt;"""",IF(REGEXMATCH($H11,""50( ?['fF]([oO]{2})?[tT]?)?( ?[eE][rR]{2}[oO][rR])""),HYPERLINK(""https://www.munzee.com/map/?sandbox=1&amp;lat=""&amp;$D11&amp;""&amp;lon=""&amp;$E11&amp;""&amp;name=""&amp;SUBSTITUTE($A11,""#"",""%23""),""SANDBOX""),HYPERLINK(""htt"&amp;"ps://www.munzee.com/m/""&amp;$H11&amp;""/deploys/0/type/""&amp;IFNA(VLOOKUP($G11,IMPORTRANGE(""https://docs.google.com/spreadsheets/d/1DliIGyDywdzxhd4svtjaewR0p9Y5UBTMNMQ2PcXsqss"",""type data!E2:F""),2,FALSE),$G11)&amp;""/"",$H11)),""""))"),"Amadoreugen/3276")</f>
        <v>Amadoreugen/3276</v>
      </c>
      <c r="L11" s="19" t="b">
        <v>1</v>
      </c>
      <c r="M11" s="12">
        <f t="shared" si="1"/>
        <v>4</v>
      </c>
      <c r="N11" s="13"/>
      <c r="O11" s="13"/>
      <c r="P11" s="15"/>
    </row>
    <row r="12">
      <c r="A12" s="15" t="s">
        <v>33</v>
      </c>
      <c r="B12" s="16">
        <v>1.0</v>
      </c>
      <c r="C12" s="16">
        <v>18.0</v>
      </c>
      <c r="D12" s="17">
        <v>44.866074582666</v>
      </c>
      <c r="E12" s="17">
        <v>-93.333411094902</v>
      </c>
      <c r="F12" s="16" t="s">
        <v>16</v>
      </c>
      <c r="G12" s="16" t="s">
        <v>17</v>
      </c>
      <c r="H12" s="18" t="s">
        <v>14</v>
      </c>
      <c r="I12" s="19">
        <v>1967.0</v>
      </c>
      <c r="J12" s="20"/>
      <c r="K12" s="11" t="str">
        <f>IFERROR(__xludf.DUMMYFUNCTION("IF(AND(REGEXMATCH($H12,""50( ?['fF]([oO]{2})?[tT]?)?( ?[eE][rR]{2}[oO][rR])"")=FALSE,$H12&lt;&gt;"""",$I12&lt;&gt;""""),HYPERLINK(""https://www.munzee.com/m/""&amp;$H12&amp;""/""&amp;$I12&amp;""/map/?lat=""&amp;$D12&amp;""&amp;lon=""&amp;$E12&amp;""&amp;type=""&amp;$G12&amp;""&amp;name=""&amp;SUBSTITUTE($A12,""#"",""%23"""&amp;"),$H12&amp;""/""&amp;$I12),IF($H12&lt;&gt;"""",IF(REGEXMATCH($H12,""50( ?['fF]([oO]{2})?[tT]?)?( ?[eE][rR]{2}[oO][rR])""),HYPERLINK(""https://www.munzee.com/map/?sandbox=1&amp;lat=""&amp;$D12&amp;""&amp;lon=""&amp;$E12&amp;""&amp;name=""&amp;SUBSTITUTE($A12,""#"",""%23""),""SANDBOX""),HYPERLINK(""htt"&amp;"ps://www.munzee.com/m/""&amp;$H12&amp;""/deploys/0/type/""&amp;IFNA(VLOOKUP($G12,IMPORTRANGE(""https://docs.google.com/spreadsheets/d/1DliIGyDywdzxhd4svtjaewR0p9Y5UBTMNMQ2PcXsqss"",""type data!E2:F""),2,FALSE),$G12)&amp;""/"",$H12)),""""))"),"JABIE28/1967")</f>
        <v>JABIE28/1967</v>
      </c>
      <c r="L12" s="19" t="b">
        <v>1</v>
      </c>
      <c r="M12" s="12">
        <f t="shared" si="1"/>
        <v>85</v>
      </c>
      <c r="N12" s="13"/>
      <c r="O12" s="13"/>
      <c r="P12" s="15"/>
    </row>
    <row r="13">
      <c r="A13" s="15" t="s">
        <v>34</v>
      </c>
      <c r="B13" s="16">
        <v>1.0</v>
      </c>
      <c r="C13" s="16">
        <v>19.0</v>
      </c>
      <c r="D13" s="17">
        <v>44.866074582487</v>
      </c>
      <c r="E13" s="17">
        <v>-93.333208302817</v>
      </c>
      <c r="F13" s="16" t="s">
        <v>16</v>
      </c>
      <c r="G13" s="16" t="s">
        <v>17</v>
      </c>
      <c r="H13" s="18" t="s">
        <v>35</v>
      </c>
      <c r="I13" s="19">
        <v>3081.0</v>
      </c>
      <c r="J13" s="21"/>
      <c r="K13" s="11" t="str">
        <f>IFERROR(__xludf.DUMMYFUNCTION("IF(AND(REGEXMATCH($H13,""50( ?['fF]([oO]{2})?[tT]?)?( ?[eE][rR]{2}[oO][rR])"")=FALSE,$H13&lt;&gt;"""",$I13&lt;&gt;""""),HYPERLINK(""https://www.munzee.com/m/""&amp;$H13&amp;""/""&amp;$I13&amp;""/map/?lat=""&amp;$D13&amp;""&amp;lon=""&amp;$E13&amp;""&amp;type=""&amp;$G13&amp;""&amp;name=""&amp;SUBSTITUTE($A13,""#"",""%23"""&amp;"),$H13&amp;""/""&amp;$I13),IF($H13&lt;&gt;"""",IF(REGEXMATCH($H13,""50( ?['fF]([oO]{2})?[tT]?)?( ?[eE][rR]{2}[oO][rR])""),HYPERLINK(""https://www.munzee.com/map/?sandbox=1&amp;lat=""&amp;$D13&amp;""&amp;lon=""&amp;$E13&amp;""&amp;name=""&amp;SUBSTITUTE($A13,""#"",""%23""),""SANDBOX""),HYPERLINK(""htt"&amp;"ps://www.munzee.com/m/""&amp;$H13&amp;""/deploys/0/type/""&amp;IFNA(VLOOKUP($G13,IMPORTRANGE(""https://docs.google.com/spreadsheets/d/1DliIGyDywdzxhd4svtjaewR0p9Y5UBTMNMQ2PcXsqss"",""type data!E2:F""),2,FALSE),$G13)&amp;""/"",$H13)),""""))"),"Bones/3081")</f>
        <v>Bones/3081</v>
      </c>
      <c r="L13" s="19" t="b">
        <v>1</v>
      </c>
      <c r="M13" s="12">
        <f t="shared" si="1"/>
        <v>1</v>
      </c>
      <c r="N13" s="13"/>
      <c r="O13" s="13"/>
      <c r="P13" s="15"/>
    </row>
    <row r="14">
      <c r="A14" s="15" t="s">
        <v>36</v>
      </c>
      <c r="B14" s="16">
        <v>1.0</v>
      </c>
      <c r="C14" s="16">
        <v>20.0</v>
      </c>
      <c r="D14" s="17">
        <v>44.866074582307</v>
      </c>
      <c r="E14" s="17">
        <v>-93.333005510731</v>
      </c>
      <c r="F14" s="16" t="s">
        <v>16</v>
      </c>
      <c r="G14" s="16" t="s">
        <v>17</v>
      </c>
      <c r="H14" s="18" t="s">
        <v>37</v>
      </c>
      <c r="I14" s="19">
        <v>6216.0</v>
      </c>
      <c r="J14" s="22"/>
      <c r="K14" s="11" t="str">
        <f>IFERROR(__xludf.DUMMYFUNCTION("IF(AND(REGEXMATCH($H14,""50( ?['fF]([oO]{2})?[tT]?)?( ?[eE][rR]{2}[oO][rR])"")=FALSE,$H14&lt;&gt;"""",$I14&lt;&gt;""""),HYPERLINK(""https://www.munzee.com/m/""&amp;$H14&amp;""/""&amp;$I14&amp;""/map/?lat=""&amp;$D14&amp;""&amp;lon=""&amp;$E14&amp;""&amp;type=""&amp;$G14&amp;""&amp;name=""&amp;SUBSTITUTE($A14,""#"",""%23"""&amp;"),$H14&amp;""/""&amp;$I14),IF($H14&lt;&gt;"""",IF(REGEXMATCH($H14,""50( ?['fF]([oO]{2})?[tT]?)?( ?[eE][rR]{2}[oO][rR])""),HYPERLINK(""https://www.munzee.com/map/?sandbox=1&amp;lat=""&amp;$D14&amp;""&amp;lon=""&amp;$E14&amp;""&amp;name=""&amp;SUBSTITUTE($A14,""#"",""%23""),""SANDBOX""),HYPERLINK(""htt"&amp;"ps://www.munzee.com/m/""&amp;$H14&amp;""/deploys/0/type/""&amp;IFNA(VLOOKUP($G14,IMPORTRANGE(""https://docs.google.com/spreadsheets/d/1DliIGyDywdzxhd4svtjaewR0p9Y5UBTMNMQ2PcXsqss"",""type data!E2:F""),2,FALSE),$G14)&amp;""/"",$H14)),""""))"),"MrCB/6216")</f>
        <v>MrCB/6216</v>
      </c>
      <c r="L14" s="19" t="b">
        <v>1</v>
      </c>
      <c r="M14" s="12">
        <f t="shared" si="1"/>
        <v>2</v>
      </c>
      <c r="N14" s="13"/>
      <c r="O14" s="13"/>
      <c r="P14" s="15"/>
    </row>
    <row r="15">
      <c r="A15" s="15" t="s">
        <v>38</v>
      </c>
      <c r="B15" s="16">
        <v>2.0</v>
      </c>
      <c r="C15" s="16">
        <v>9.0</v>
      </c>
      <c r="D15" s="17">
        <v>44.865930853836</v>
      </c>
      <c r="E15" s="17">
        <v>-93.335236235823</v>
      </c>
      <c r="F15" s="16" t="s">
        <v>16</v>
      </c>
      <c r="G15" s="16" t="s">
        <v>17</v>
      </c>
      <c r="H15" s="18" t="s">
        <v>39</v>
      </c>
      <c r="I15" s="19">
        <v>8976.0</v>
      </c>
      <c r="J15" s="20"/>
      <c r="K15" s="11" t="str">
        <f>IFERROR(__xludf.DUMMYFUNCTION("IF(AND(REGEXMATCH($H15,""50( ?['fF]([oO]{2})?[tT]?)?( ?[eE][rR]{2}[oO][rR])"")=FALSE,$H15&lt;&gt;"""",$I15&lt;&gt;""""),HYPERLINK(""https://www.munzee.com/m/""&amp;$H15&amp;""/""&amp;$I15&amp;""/map/?lat=""&amp;$D15&amp;""&amp;lon=""&amp;$E15&amp;""&amp;type=""&amp;$G15&amp;""&amp;name=""&amp;SUBSTITUTE($A15,""#"",""%23"""&amp;"),$H15&amp;""/""&amp;$I15),IF($H15&lt;&gt;"""",IF(REGEXMATCH($H15,""50( ?['fF]([oO]{2})?[tT]?)?( ?[eE][rR]{2}[oO][rR])""),HYPERLINK(""https://www.munzee.com/map/?sandbox=1&amp;lat=""&amp;$D15&amp;""&amp;lon=""&amp;$E15&amp;""&amp;name=""&amp;SUBSTITUTE($A15,""#"",""%23""),""SANDBOX""),HYPERLINK(""htt"&amp;"ps://www.munzee.com/m/""&amp;$H15&amp;""/deploys/0/type/""&amp;IFNA(VLOOKUP($G15,IMPORTRANGE(""https://docs.google.com/spreadsheets/d/1DliIGyDywdzxhd4svtjaewR0p9Y5UBTMNMQ2PcXsqss"",""type data!E2:F""),2,FALSE),$G15)&amp;""/"",$H15)),""""))"),"danielle41101/8976")</f>
        <v>danielle41101/8976</v>
      </c>
      <c r="L15" s="19" t="b">
        <v>1</v>
      </c>
      <c r="M15" s="12">
        <f t="shared" si="1"/>
        <v>10</v>
      </c>
      <c r="N15" s="13"/>
      <c r="O15" s="13"/>
      <c r="P15" s="15"/>
    </row>
    <row r="16">
      <c r="A16" s="15" t="s">
        <v>40</v>
      </c>
      <c r="B16" s="16">
        <v>2.0</v>
      </c>
      <c r="C16" s="16">
        <v>10.0</v>
      </c>
      <c r="D16" s="17">
        <v>44.865930853656</v>
      </c>
      <c r="E16" s="17">
        <v>-93.335033444244</v>
      </c>
      <c r="F16" s="16" t="s">
        <v>41</v>
      </c>
      <c r="G16" s="16" t="s">
        <v>17</v>
      </c>
      <c r="H16" s="18" t="s">
        <v>42</v>
      </c>
      <c r="I16" s="19">
        <v>2462.0</v>
      </c>
      <c r="J16" s="20"/>
      <c r="K16" s="11" t="str">
        <f>IFERROR(__xludf.DUMMYFUNCTION("IF(AND(REGEXMATCH($H16,""50( ?['fF]([oO]{2})?[tT]?)?( ?[eE][rR]{2}[oO][rR])"")=FALSE,$H16&lt;&gt;"""",$I16&lt;&gt;""""),HYPERLINK(""https://www.munzee.com/m/""&amp;$H16&amp;""/""&amp;$I16&amp;""/map/?lat=""&amp;$D16&amp;""&amp;lon=""&amp;$E16&amp;""&amp;type=""&amp;$G16&amp;""&amp;name=""&amp;SUBSTITUTE($A16,""#"",""%23"""&amp;"),$H16&amp;""/""&amp;$I16),IF($H16&lt;&gt;"""",IF(REGEXMATCH($H16,""50( ?['fF]([oO]{2})?[tT]?)?( ?[eE][rR]{2}[oO][rR])""),HYPERLINK(""https://www.munzee.com/map/?sandbox=1&amp;lat=""&amp;$D16&amp;""&amp;lon=""&amp;$E16&amp;""&amp;name=""&amp;SUBSTITUTE($A16,""#"",""%23""),""SANDBOX""),HYPERLINK(""htt"&amp;"ps://www.munzee.com/m/""&amp;$H16&amp;""/deploys/0/type/""&amp;IFNA(VLOOKUP($G16,IMPORTRANGE(""https://docs.google.com/spreadsheets/d/1DliIGyDywdzxhd4svtjaewR0p9Y5UBTMNMQ2PcXsqss"",""type data!E2:F""),2,FALSE),$G16)&amp;""/"",$H16)),""""))"),"snakelips/2462")</f>
        <v>snakelips/2462</v>
      </c>
      <c r="L16" s="19" t="b">
        <v>1</v>
      </c>
      <c r="M16" s="12">
        <f t="shared" si="1"/>
        <v>7</v>
      </c>
      <c r="N16" s="18" t="s">
        <v>22</v>
      </c>
      <c r="O16" s="13"/>
      <c r="P16" s="15"/>
    </row>
    <row r="17">
      <c r="A17" s="15" t="s">
        <v>43</v>
      </c>
      <c r="B17" s="16">
        <v>2.0</v>
      </c>
      <c r="C17" s="16">
        <v>11.0</v>
      </c>
      <c r="D17" s="17">
        <v>44.865930853477</v>
      </c>
      <c r="E17" s="17">
        <v>-93.334830652665</v>
      </c>
      <c r="F17" s="16" t="s">
        <v>41</v>
      </c>
      <c r="G17" s="16" t="s">
        <v>17</v>
      </c>
      <c r="H17" s="18" t="s">
        <v>44</v>
      </c>
      <c r="I17" s="19">
        <v>586.0</v>
      </c>
      <c r="J17" s="20"/>
      <c r="K17" s="11" t="str">
        <f>IFERROR(__xludf.DUMMYFUNCTION("IF(AND(REGEXMATCH($H17,""50( ?['fF]([oO]{2})?[tT]?)?( ?[eE][rR]{2}[oO][rR])"")=FALSE,$H17&lt;&gt;"""",$I17&lt;&gt;""""),HYPERLINK(""https://www.munzee.com/m/""&amp;$H17&amp;""/""&amp;$I17&amp;""/map/?lat=""&amp;$D17&amp;""&amp;lon=""&amp;$E17&amp;""&amp;type=""&amp;$G17&amp;""&amp;name=""&amp;SUBSTITUTE($A17,""#"",""%23"""&amp;"),$H17&amp;""/""&amp;$I17),IF($H17&lt;&gt;"""",IF(REGEXMATCH($H17,""50( ?['fF]([oO]{2})?[tT]?)?( ?[eE][rR]{2}[oO][rR])""),HYPERLINK(""https://www.munzee.com/map/?sandbox=1&amp;lat=""&amp;$D17&amp;""&amp;lon=""&amp;$E17&amp;""&amp;name=""&amp;SUBSTITUTE($A17,""#"",""%23""),""SANDBOX""),HYPERLINK(""htt"&amp;"ps://www.munzee.com/m/""&amp;$H17&amp;""/deploys/0/type/""&amp;IFNA(VLOOKUP($G17,IMPORTRANGE(""https://docs.google.com/spreadsheets/d/1DliIGyDywdzxhd4svtjaewR0p9Y5UBTMNMQ2PcXsqss"",""type data!E2:F""),2,FALSE),$G17)&amp;""/"",$H17)),""""))"),"FromTheTardis/586")</f>
        <v>FromTheTardis/586</v>
      </c>
      <c r="L17" s="19" t="b">
        <v>1</v>
      </c>
      <c r="M17" s="12">
        <f t="shared" si="1"/>
        <v>2</v>
      </c>
      <c r="N17" s="13"/>
      <c r="O17" s="13"/>
      <c r="P17" s="15"/>
    </row>
    <row r="18">
      <c r="A18" s="15" t="s">
        <v>45</v>
      </c>
      <c r="B18" s="16">
        <v>2.0</v>
      </c>
      <c r="C18" s="16">
        <v>12.0</v>
      </c>
      <c r="D18" s="17">
        <v>44.865930853297</v>
      </c>
      <c r="E18" s="17">
        <v>-93.334627861086</v>
      </c>
      <c r="F18" s="16" t="s">
        <v>41</v>
      </c>
      <c r="G18" s="16" t="s">
        <v>17</v>
      </c>
      <c r="H18" s="18" t="s">
        <v>39</v>
      </c>
      <c r="I18" s="19">
        <v>8975.0</v>
      </c>
      <c r="J18" s="20"/>
      <c r="K18" s="11" t="str">
        <f>IFERROR(__xludf.DUMMYFUNCTION("IF(AND(REGEXMATCH($H18,""50( ?['fF]([oO]{2})?[tT]?)?( ?[eE][rR]{2}[oO][rR])"")=FALSE,$H18&lt;&gt;"""",$I18&lt;&gt;""""),HYPERLINK(""https://www.munzee.com/m/""&amp;$H18&amp;""/""&amp;$I18&amp;""/map/?lat=""&amp;$D18&amp;""&amp;lon=""&amp;$E18&amp;""&amp;type=""&amp;$G18&amp;""&amp;name=""&amp;SUBSTITUTE($A18,""#"",""%23"""&amp;"),$H18&amp;""/""&amp;$I18),IF($H18&lt;&gt;"""",IF(REGEXMATCH($H18,""50( ?['fF]([oO]{2})?[tT]?)?( ?[eE][rR]{2}[oO][rR])""),HYPERLINK(""https://www.munzee.com/map/?sandbox=1&amp;lat=""&amp;$D18&amp;""&amp;lon=""&amp;$E18&amp;""&amp;name=""&amp;SUBSTITUTE($A18,""#"",""%23""),""SANDBOX""),HYPERLINK(""htt"&amp;"ps://www.munzee.com/m/""&amp;$H18&amp;""/deploys/0/type/""&amp;IFNA(VLOOKUP($G18,IMPORTRANGE(""https://docs.google.com/spreadsheets/d/1DliIGyDywdzxhd4svtjaewR0p9Y5UBTMNMQ2PcXsqss"",""type data!E2:F""),2,FALSE),$G18)&amp;""/"",$H18)),""""))"),"danielle41101/8975")</f>
        <v>danielle41101/8975</v>
      </c>
      <c r="L18" s="19" t="b">
        <v>1</v>
      </c>
      <c r="M18" s="12">
        <f t="shared" si="1"/>
        <v>10</v>
      </c>
      <c r="N18" s="23" t="s">
        <v>22</v>
      </c>
      <c r="O18" s="24"/>
      <c r="P18" s="15"/>
    </row>
    <row r="19">
      <c r="A19" s="15" t="s">
        <v>46</v>
      </c>
      <c r="B19" s="16">
        <v>2.0</v>
      </c>
      <c r="C19" s="16">
        <v>13.0</v>
      </c>
      <c r="D19" s="17">
        <v>44.865930853118</v>
      </c>
      <c r="E19" s="17">
        <v>-93.334425069507</v>
      </c>
      <c r="F19" s="16" t="s">
        <v>41</v>
      </c>
      <c r="G19" s="16" t="s">
        <v>17</v>
      </c>
      <c r="H19" s="18" t="s">
        <v>47</v>
      </c>
      <c r="I19" s="19">
        <v>861.0</v>
      </c>
      <c r="J19" s="20"/>
      <c r="K19" s="11" t="str">
        <f>IFERROR(__xludf.DUMMYFUNCTION("IF(AND(REGEXMATCH($H19,""50( ?['fF]([oO]{2})?[tT]?)?( ?[eE][rR]{2}[oO][rR])"")=FALSE,$H19&lt;&gt;"""",$I19&lt;&gt;""""),HYPERLINK(""https://www.munzee.com/m/""&amp;$H19&amp;""/""&amp;$I19&amp;""/map/?lat=""&amp;$D19&amp;""&amp;lon=""&amp;$E19&amp;""&amp;type=""&amp;$G19&amp;""&amp;name=""&amp;SUBSTITUTE($A19,""#"",""%23"""&amp;"),$H19&amp;""/""&amp;$I19),IF($H19&lt;&gt;"""",IF(REGEXMATCH($H19,""50( ?['fF]([oO]{2})?[tT]?)?( ?[eE][rR]{2}[oO][rR])""),HYPERLINK(""https://www.munzee.com/map/?sandbox=1&amp;lat=""&amp;$D19&amp;""&amp;lon=""&amp;$E19&amp;""&amp;name=""&amp;SUBSTITUTE($A19,""#"",""%23""),""SANDBOX""),HYPERLINK(""htt"&amp;"ps://www.munzee.com/m/""&amp;$H19&amp;""/deploys/0/type/""&amp;IFNA(VLOOKUP($G19,IMPORTRANGE(""https://docs.google.com/spreadsheets/d/1DliIGyDywdzxhd4svtjaewR0p9Y5UBTMNMQ2PcXsqss"",""type data!E2:F""),2,FALSE),$G19)&amp;""/"",$H19)),""""))"),"Qdog/861")</f>
        <v>Qdog/861</v>
      </c>
      <c r="L19" s="19" t="b">
        <v>1</v>
      </c>
      <c r="M19" s="12">
        <f t="shared" si="1"/>
        <v>5</v>
      </c>
      <c r="N19" s="13"/>
      <c r="O19" s="13"/>
      <c r="P19" s="15"/>
    </row>
    <row r="20">
      <c r="A20" s="15" t="s">
        <v>48</v>
      </c>
      <c r="B20" s="16">
        <v>2.0</v>
      </c>
      <c r="C20" s="16">
        <v>14.0</v>
      </c>
      <c r="D20" s="17">
        <v>44.865930852938</v>
      </c>
      <c r="E20" s="17">
        <v>-93.334222277928</v>
      </c>
      <c r="F20" s="16" t="s">
        <v>41</v>
      </c>
      <c r="G20" s="16" t="s">
        <v>17</v>
      </c>
      <c r="H20" s="18" t="s">
        <v>21</v>
      </c>
      <c r="I20" s="19">
        <v>909.0</v>
      </c>
      <c r="J20" s="20"/>
      <c r="K20" s="11" t="str">
        <f>IFERROR(__xludf.DUMMYFUNCTION("IF(AND(REGEXMATCH($H20,""50( ?['fF]([oO]{2})?[tT]?)?( ?[eE][rR]{2}[oO][rR])"")=FALSE,$H20&lt;&gt;"""",$I20&lt;&gt;""""),HYPERLINK(""https://www.munzee.com/m/""&amp;$H20&amp;""/""&amp;$I20&amp;""/map/?lat=""&amp;$D20&amp;""&amp;lon=""&amp;$E20&amp;""&amp;type=""&amp;$G20&amp;""&amp;name=""&amp;SUBSTITUTE($A20,""#"",""%23"""&amp;"),$H20&amp;""/""&amp;$I20),IF($H20&lt;&gt;"""",IF(REGEXMATCH($H20,""50( ?['fF]([oO]{2})?[tT]?)?( ?[eE][rR]{2}[oO][rR])""),HYPERLINK(""https://www.munzee.com/map/?sandbox=1&amp;lat=""&amp;$D20&amp;""&amp;lon=""&amp;$E20&amp;""&amp;name=""&amp;SUBSTITUTE($A20,""#"",""%23""),""SANDBOX""),HYPERLINK(""htt"&amp;"ps://www.munzee.com/m/""&amp;$H20&amp;""/deploys/0/type/""&amp;IFNA(VLOOKUP($G20,IMPORTRANGE(""https://docs.google.com/spreadsheets/d/1DliIGyDywdzxhd4svtjaewR0p9Y5UBTMNMQ2PcXsqss"",""type data!E2:F""),2,FALSE),$G20)&amp;""/"",$H20)),""""))"),"Westmarch/909")</f>
        <v>Westmarch/909</v>
      </c>
      <c r="L20" s="19" t="b">
        <v>1</v>
      </c>
      <c r="M20" s="12">
        <f t="shared" si="1"/>
        <v>12</v>
      </c>
      <c r="N20" s="24"/>
      <c r="O20" s="24"/>
      <c r="P20" s="15"/>
    </row>
    <row r="21">
      <c r="A21" s="15" t="s">
        <v>49</v>
      </c>
      <c r="B21" s="16">
        <v>2.0</v>
      </c>
      <c r="C21" s="16">
        <v>15.0</v>
      </c>
      <c r="D21" s="17">
        <v>44.865930852759</v>
      </c>
      <c r="E21" s="17">
        <v>-93.334019486348</v>
      </c>
      <c r="F21" s="16" t="s">
        <v>41</v>
      </c>
      <c r="G21" s="16" t="s">
        <v>17</v>
      </c>
      <c r="H21" s="18" t="s">
        <v>39</v>
      </c>
      <c r="I21" s="19">
        <v>8973.0</v>
      </c>
      <c r="J21" s="20"/>
      <c r="K21" s="11" t="str">
        <f>IFERROR(__xludf.DUMMYFUNCTION("IF(AND(REGEXMATCH($H21,""50( ?['fF]([oO]{2})?[tT]?)?( ?[eE][rR]{2}[oO][rR])"")=FALSE,$H21&lt;&gt;"""",$I21&lt;&gt;""""),HYPERLINK(""https://www.munzee.com/m/""&amp;$H21&amp;""/""&amp;$I21&amp;""/map/?lat=""&amp;$D21&amp;""&amp;lon=""&amp;$E21&amp;""&amp;type=""&amp;$G21&amp;""&amp;name=""&amp;SUBSTITUTE($A21,""#"",""%23"""&amp;"),$H21&amp;""/""&amp;$I21),IF($H21&lt;&gt;"""",IF(REGEXMATCH($H21,""50( ?['fF]([oO]{2})?[tT]?)?( ?[eE][rR]{2}[oO][rR])""),HYPERLINK(""https://www.munzee.com/map/?sandbox=1&amp;lat=""&amp;$D21&amp;""&amp;lon=""&amp;$E21&amp;""&amp;name=""&amp;SUBSTITUTE($A21,""#"",""%23""),""SANDBOX""),HYPERLINK(""htt"&amp;"ps://www.munzee.com/m/""&amp;$H21&amp;""/deploys/0/type/""&amp;IFNA(VLOOKUP($G21,IMPORTRANGE(""https://docs.google.com/spreadsheets/d/1DliIGyDywdzxhd4svtjaewR0p9Y5UBTMNMQ2PcXsqss"",""type data!E2:F""),2,FALSE),$G21)&amp;""/"",$H21)),""""))"),"danielle41101/8973")</f>
        <v>danielle41101/8973</v>
      </c>
      <c r="L21" s="19" t="b">
        <v>1</v>
      </c>
      <c r="M21" s="12">
        <f t="shared" si="1"/>
        <v>10</v>
      </c>
      <c r="N21" s="24"/>
      <c r="O21" s="24"/>
      <c r="P21" s="15"/>
    </row>
    <row r="22">
      <c r="A22" s="15" t="s">
        <v>50</v>
      </c>
      <c r="B22" s="16">
        <v>2.0</v>
      </c>
      <c r="C22" s="16">
        <v>16.0</v>
      </c>
      <c r="D22" s="17">
        <v>44.86593085258</v>
      </c>
      <c r="E22" s="17">
        <v>-93.333816694769</v>
      </c>
      <c r="F22" s="16" t="s">
        <v>41</v>
      </c>
      <c r="G22" s="16" t="s">
        <v>17</v>
      </c>
      <c r="H22" s="18" t="s">
        <v>51</v>
      </c>
      <c r="I22" s="19">
        <v>12143.0</v>
      </c>
      <c r="J22" s="20"/>
      <c r="K22" s="11" t="str">
        <f>IFERROR(__xludf.DUMMYFUNCTION("IF(AND(REGEXMATCH($H22,""50( ?['fF]([oO]{2})?[tT]?)?( ?[eE][rR]{2}[oO][rR])"")=FALSE,$H22&lt;&gt;"""",$I22&lt;&gt;""""),HYPERLINK(""https://www.munzee.com/m/""&amp;$H22&amp;""/""&amp;$I22&amp;""/map/?lat=""&amp;$D22&amp;""&amp;lon=""&amp;$E22&amp;""&amp;type=""&amp;$G22&amp;""&amp;name=""&amp;SUBSTITUTE($A22,""#"",""%23"""&amp;"),$H22&amp;""/""&amp;$I22),IF($H22&lt;&gt;"""",IF(REGEXMATCH($H22,""50( ?['fF]([oO]{2})?[tT]?)?( ?[eE][rR]{2}[oO][rR])""),HYPERLINK(""https://www.munzee.com/map/?sandbox=1&amp;lat=""&amp;$D22&amp;""&amp;lon=""&amp;$E22&amp;""&amp;name=""&amp;SUBSTITUTE($A22,""#"",""%23""),""SANDBOX""),HYPERLINK(""htt"&amp;"ps://www.munzee.com/m/""&amp;$H22&amp;""/deploys/0/type/""&amp;IFNA(VLOOKUP($G22,IMPORTRANGE(""https://docs.google.com/spreadsheets/d/1DliIGyDywdzxhd4svtjaewR0p9Y5UBTMNMQ2PcXsqss"",""type data!E2:F""),2,FALSE),$G22)&amp;""/"",$H22)),""""))"),"denali0407/12143")</f>
        <v>denali0407/12143</v>
      </c>
      <c r="L22" s="19" t="b">
        <v>1</v>
      </c>
      <c r="M22" s="12">
        <f t="shared" si="1"/>
        <v>1</v>
      </c>
      <c r="N22" s="18" t="s">
        <v>22</v>
      </c>
      <c r="O22" s="13"/>
      <c r="P22" s="15"/>
    </row>
    <row r="23">
      <c r="A23" s="15" t="s">
        <v>52</v>
      </c>
      <c r="B23" s="16">
        <v>2.0</v>
      </c>
      <c r="C23" s="16">
        <v>17.0</v>
      </c>
      <c r="D23" s="17">
        <v>44.8659308524</v>
      </c>
      <c r="E23" s="17">
        <v>-93.33361390319</v>
      </c>
      <c r="F23" s="16" t="s">
        <v>41</v>
      </c>
      <c r="G23" s="16" t="s">
        <v>17</v>
      </c>
      <c r="H23" s="18" t="s">
        <v>53</v>
      </c>
      <c r="I23" s="19">
        <v>1947.0</v>
      </c>
      <c r="J23" s="20"/>
      <c r="K23" s="11" t="str">
        <f>IFERROR(__xludf.DUMMYFUNCTION("IF(AND(REGEXMATCH($H23,""50( ?['fF]([oO]{2})?[tT]?)?( ?[eE][rR]{2}[oO][rR])"")=FALSE,$H23&lt;&gt;"""",$I23&lt;&gt;""""),HYPERLINK(""https://www.munzee.com/m/""&amp;$H23&amp;""/""&amp;$I23&amp;""/map/?lat=""&amp;$D23&amp;""&amp;lon=""&amp;$E23&amp;""&amp;type=""&amp;$G23&amp;""&amp;name=""&amp;SUBSTITUTE($A23,""#"",""%23"""&amp;"),$H23&amp;""/""&amp;$I23),IF($H23&lt;&gt;"""",IF(REGEXMATCH($H23,""50( ?['fF]([oO]{2})?[tT]?)?( ?[eE][rR]{2}[oO][rR])""),HYPERLINK(""https://www.munzee.com/map/?sandbox=1&amp;lat=""&amp;$D23&amp;""&amp;lon=""&amp;$E23&amp;""&amp;name=""&amp;SUBSTITUTE($A23,""#"",""%23""),""SANDBOX""),HYPERLINK(""htt"&amp;"ps://www.munzee.com/m/""&amp;$H23&amp;""/deploys/0/type/""&amp;IFNA(VLOOKUP($G23,IMPORTRANGE(""https://docs.google.com/spreadsheets/d/1DliIGyDywdzxhd4svtjaewR0p9Y5UBTMNMQ2PcXsqss"",""type data!E2:F""),2,FALSE),$G23)&amp;""/"",$H23)),""""))"),"atrots/1947")</f>
        <v>atrots/1947</v>
      </c>
      <c r="L23" s="19" t="b">
        <v>1</v>
      </c>
      <c r="M23" s="12">
        <f t="shared" si="1"/>
        <v>2</v>
      </c>
      <c r="N23" s="18" t="s">
        <v>22</v>
      </c>
      <c r="O23" s="13"/>
      <c r="P23" s="15"/>
    </row>
    <row r="24">
      <c r="A24" s="15" t="s">
        <v>54</v>
      </c>
      <c r="B24" s="16">
        <v>2.0</v>
      </c>
      <c r="C24" s="16">
        <v>18.0</v>
      </c>
      <c r="D24" s="17">
        <v>44.865930852221</v>
      </c>
      <c r="E24" s="17">
        <v>-93.333411111611</v>
      </c>
      <c r="F24" s="16" t="s">
        <v>41</v>
      </c>
      <c r="G24" s="16" t="s">
        <v>17</v>
      </c>
      <c r="H24" s="18" t="s">
        <v>39</v>
      </c>
      <c r="I24" s="19">
        <v>8970.0</v>
      </c>
      <c r="J24" s="20"/>
      <c r="K24" s="11" t="str">
        <f>IFERROR(__xludf.DUMMYFUNCTION("IF(AND(REGEXMATCH($H24,""50( ?['fF]([oO]{2})?[tT]?)?( ?[eE][rR]{2}[oO][rR])"")=FALSE,$H24&lt;&gt;"""",$I24&lt;&gt;""""),HYPERLINK(""https://www.munzee.com/m/""&amp;$H24&amp;""/""&amp;$I24&amp;""/map/?lat=""&amp;$D24&amp;""&amp;lon=""&amp;$E24&amp;""&amp;type=""&amp;$G24&amp;""&amp;name=""&amp;SUBSTITUTE($A24,""#"",""%23"""&amp;"),$H24&amp;""/""&amp;$I24),IF($H24&lt;&gt;"""",IF(REGEXMATCH($H24,""50( ?['fF]([oO]{2})?[tT]?)?( ?[eE][rR]{2}[oO][rR])""),HYPERLINK(""https://www.munzee.com/map/?sandbox=1&amp;lat=""&amp;$D24&amp;""&amp;lon=""&amp;$E24&amp;""&amp;name=""&amp;SUBSTITUTE($A24,""#"",""%23""),""SANDBOX""),HYPERLINK(""htt"&amp;"ps://www.munzee.com/m/""&amp;$H24&amp;""/deploys/0/type/""&amp;IFNA(VLOOKUP($G24,IMPORTRANGE(""https://docs.google.com/spreadsheets/d/1DliIGyDywdzxhd4svtjaewR0p9Y5UBTMNMQ2PcXsqss"",""type data!E2:F""),2,FALSE),$G24)&amp;""/"",$H24)),""""))"),"danielle41101/8970")</f>
        <v>danielle41101/8970</v>
      </c>
      <c r="L24" s="19" t="b">
        <v>1</v>
      </c>
      <c r="M24" s="12">
        <f t="shared" si="1"/>
        <v>10</v>
      </c>
      <c r="N24" s="24"/>
      <c r="O24" s="24"/>
      <c r="P24" s="15"/>
    </row>
    <row r="25">
      <c r="A25" s="15" t="s">
        <v>55</v>
      </c>
      <c r="B25" s="16">
        <v>2.0</v>
      </c>
      <c r="C25" s="16">
        <v>19.0</v>
      </c>
      <c r="D25" s="17">
        <v>44.865930852041</v>
      </c>
      <c r="E25" s="17">
        <v>-93.333208320032</v>
      </c>
      <c r="F25" s="16" t="s">
        <v>41</v>
      </c>
      <c r="G25" s="16" t="s">
        <v>17</v>
      </c>
      <c r="H25" s="18" t="s">
        <v>56</v>
      </c>
      <c r="I25" s="19">
        <v>2871.0</v>
      </c>
      <c r="J25" s="25"/>
      <c r="K25" s="11" t="str">
        <f>IFERROR(__xludf.DUMMYFUNCTION("IF(AND(REGEXMATCH($H25,""50( ?['fF]([oO]{2})?[tT]?)?( ?[eE][rR]{2}[oO][rR])"")=FALSE,$H25&lt;&gt;"""",$I25&lt;&gt;""""),HYPERLINK(""https://www.munzee.com/m/""&amp;$H25&amp;""/""&amp;$I25&amp;""/map/?lat=""&amp;$D25&amp;""&amp;lon=""&amp;$E25&amp;""&amp;type=""&amp;$G25&amp;""&amp;name=""&amp;SUBSTITUTE($A25,""#"",""%23"""&amp;"),$H25&amp;""/""&amp;$I25),IF($H25&lt;&gt;"""",IF(REGEXMATCH($H25,""50( ?['fF]([oO]{2})?[tT]?)?( ?[eE][rR]{2}[oO][rR])""),HYPERLINK(""https://www.munzee.com/map/?sandbox=1&amp;lat=""&amp;$D25&amp;""&amp;lon=""&amp;$E25&amp;""&amp;name=""&amp;SUBSTITUTE($A25,""#"",""%23""),""SANDBOX""),HYPERLINK(""htt"&amp;"ps://www.munzee.com/m/""&amp;$H25&amp;""/deploys/0/type/""&amp;IFNA(VLOOKUP($G25,IMPORTRANGE(""https://docs.google.com/spreadsheets/d/1DliIGyDywdzxhd4svtjaewR0p9Y5UBTMNMQ2PcXsqss"",""type data!E2:F""),2,FALSE),$G25)&amp;""/"",$H25)),""""))"),"Adventuretharon/2871")</f>
        <v>Adventuretharon/2871</v>
      </c>
      <c r="L25" s="19" t="b">
        <v>1</v>
      </c>
      <c r="M25" s="12">
        <f t="shared" si="1"/>
        <v>1</v>
      </c>
      <c r="N25" s="13"/>
      <c r="O25" s="13"/>
      <c r="P25" s="15"/>
    </row>
    <row r="26">
      <c r="A26" s="15" t="s">
        <v>57</v>
      </c>
      <c r="B26" s="16">
        <v>2.0</v>
      </c>
      <c r="C26" s="16">
        <v>20.0</v>
      </c>
      <c r="D26" s="17">
        <v>44.865930851862</v>
      </c>
      <c r="E26" s="17">
        <v>-93.333005528453</v>
      </c>
      <c r="F26" s="16" t="s">
        <v>16</v>
      </c>
      <c r="G26" s="16" t="s">
        <v>17</v>
      </c>
      <c r="H26" s="18" t="s">
        <v>58</v>
      </c>
      <c r="I26" s="19">
        <v>666.0</v>
      </c>
      <c r="J26" s="20"/>
      <c r="K26" s="11" t="str">
        <f>IFERROR(__xludf.DUMMYFUNCTION("IF(AND(REGEXMATCH($H26,""50( ?['fF]([oO]{2})?[tT]?)?( ?[eE][rR]{2}[oO][rR])"")=FALSE,$H26&lt;&gt;"""",$I26&lt;&gt;""""),HYPERLINK(""https://www.munzee.com/m/""&amp;$H26&amp;""/""&amp;$I26&amp;""/map/?lat=""&amp;$D26&amp;""&amp;lon=""&amp;$E26&amp;""&amp;type=""&amp;$G26&amp;""&amp;name=""&amp;SUBSTITUTE($A26,""#"",""%23"""&amp;"),$H26&amp;""/""&amp;$I26),IF($H26&lt;&gt;"""",IF(REGEXMATCH($H26,""50( ?['fF]([oO]{2})?[tT]?)?( ?[eE][rR]{2}[oO][rR])""),HYPERLINK(""https://www.munzee.com/map/?sandbox=1&amp;lat=""&amp;$D26&amp;""&amp;lon=""&amp;$E26&amp;""&amp;name=""&amp;SUBSTITUTE($A26,""#"",""%23""),""SANDBOX""),HYPERLINK(""htt"&amp;"ps://www.munzee.com/m/""&amp;$H26&amp;""/deploys/0/type/""&amp;IFNA(VLOOKUP($G26,IMPORTRANGE(""https://docs.google.com/spreadsheets/d/1DliIGyDywdzxhd4svtjaewR0p9Y5UBTMNMQ2PcXsqss"",""type data!E2:F""),2,FALSE),$G26)&amp;""/"",$H26)),""""))"),"cdwilliams1/666")</f>
        <v>cdwilliams1/666</v>
      </c>
      <c r="L26" s="19" t="b">
        <v>1</v>
      </c>
      <c r="M26" s="12">
        <f t="shared" si="1"/>
        <v>10</v>
      </c>
      <c r="N26" s="18" t="s">
        <v>22</v>
      </c>
      <c r="O26" s="13"/>
      <c r="P26" s="15"/>
    </row>
    <row r="27">
      <c r="A27" s="15" t="s">
        <v>59</v>
      </c>
      <c r="B27" s="16">
        <v>3.0</v>
      </c>
      <c r="C27" s="16">
        <v>8.0</v>
      </c>
      <c r="D27" s="17">
        <v>44.86578712357</v>
      </c>
      <c r="E27" s="17">
        <v>-93.335439039049</v>
      </c>
      <c r="F27" s="16" t="s">
        <v>16</v>
      </c>
      <c r="G27" s="16" t="s">
        <v>17</v>
      </c>
      <c r="H27" s="18" t="s">
        <v>60</v>
      </c>
      <c r="I27" s="19">
        <v>982.0</v>
      </c>
      <c r="J27" s="20"/>
      <c r="K27" s="11" t="str">
        <f>IFERROR(__xludf.DUMMYFUNCTION("IF(AND(REGEXMATCH($H27,""50( ?['fF]([oO]{2})?[tT]?)?( ?[eE][rR]{2}[oO][rR])"")=FALSE,$H27&lt;&gt;"""",$I27&lt;&gt;""""),HYPERLINK(""https://www.munzee.com/m/""&amp;$H27&amp;""/""&amp;$I27&amp;""/map/?lat=""&amp;$D27&amp;""&amp;lon=""&amp;$E27&amp;""&amp;type=""&amp;$G27&amp;""&amp;name=""&amp;SUBSTITUTE($A27,""#"",""%23"""&amp;"),$H27&amp;""/""&amp;$I27),IF($H27&lt;&gt;"""",IF(REGEXMATCH($H27,""50( ?['fF]([oO]{2})?[tT]?)?( ?[eE][rR]{2}[oO][rR])""),HYPERLINK(""https://www.munzee.com/map/?sandbox=1&amp;lat=""&amp;$D27&amp;""&amp;lon=""&amp;$E27&amp;""&amp;name=""&amp;SUBSTITUTE($A27,""#"",""%23""),""SANDBOX""),HYPERLINK(""htt"&amp;"ps://www.munzee.com/m/""&amp;$H27&amp;""/deploys/0/type/""&amp;IFNA(VLOOKUP($G27,IMPORTRANGE(""https://docs.google.com/spreadsheets/d/1DliIGyDywdzxhd4svtjaewR0p9Y5UBTMNMQ2PcXsqss"",""type data!E2:F""),2,FALSE),$G27)&amp;""/"",$H27)),""""))"),"CaliberCable/982")</f>
        <v>CaliberCable/982</v>
      </c>
      <c r="L27" s="19" t="b">
        <v>1</v>
      </c>
      <c r="M27" s="12">
        <f t="shared" si="1"/>
        <v>1</v>
      </c>
      <c r="N27" s="13"/>
      <c r="O27" s="13"/>
      <c r="P27" s="15"/>
    </row>
    <row r="28">
      <c r="A28" s="15" t="s">
        <v>61</v>
      </c>
      <c r="B28" s="16">
        <v>3.0</v>
      </c>
      <c r="C28" s="16">
        <v>9.0</v>
      </c>
      <c r="D28" s="17">
        <v>44.86578712339</v>
      </c>
      <c r="E28" s="17">
        <v>-93.335236247976</v>
      </c>
      <c r="F28" s="16" t="s">
        <v>41</v>
      </c>
      <c r="G28" s="16" t="s">
        <v>17</v>
      </c>
      <c r="H28" s="18" t="s">
        <v>62</v>
      </c>
      <c r="I28" s="19">
        <v>927.0</v>
      </c>
      <c r="J28" s="26"/>
      <c r="K28" s="11" t="str">
        <f>IFERROR(__xludf.DUMMYFUNCTION("IF(AND(REGEXMATCH($H28,""50( ?['fF]([oO]{2})?[tT]?)?( ?[eE][rR]{2}[oO][rR])"")=FALSE,$H28&lt;&gt;"""",$I28&lt;&gt;""""),HYPERLINK(""https://www.munzee.com/m/""&amp;$H28&amp;""/""&amp;$I28&amp;""/map/?lat=""&amp;$D28&amp;""&amp;lon=""&amp;$E28&amp;""&amp;type=""&amp;$G28&amp;""&amp;name=""&amp;SUBSTITUTE($A28,""#"",""%23"""&amp;"),$H28&amp;""/""&amp;$I28),IF($H28&lt;&gt;"""",IF(REGEXMATCH($H28,""50( ?['fF]([oO]{2})?[tT]?)?( ?[eE][rR]{2}[oO][rR])""),HYPERLINK(""https://www.munzee.com/map/?sandbox=1&amp;lat=""&amp;$D28&amp;""&amp;lon=""&amp;$E28&amp;""&amp;name=""&amp;SUBSTITUTE($A28,""#"",""%23""),""SANDBOX""),HYPERLINK(""htt"&amp;"ps://www.munzee.com/m/""&amp;$H28&amp;""/deploys/0/type/""&amp;IFNA(VLOOKUP($G28,IMPORTRANGE(""https://docs.google.com/spreadsheets/d/1DliIGyDywdzxhd4svtjaewR0p9Y5UBTMNMQ2PcXsqss"",""type data!E2:F""),2,FALSE),$G28)&amp;""/"",$H28)),""""))"),"Wellies/927")</f>
        <v>Wellies/927</v>
      </c>
      <c r="L28" s="19" t="b">
        <v>1</v>
      </c>
      <c r="M28" s="12">
        <f t="shared" si="1"/>
        <v>1</v>
      </c>
      <c r="N28" s="13"/>
      <c r="O28" s="13"/>
      <c r="P28" s="15"/>
    </row>
    <row r="29">
      <c r="A29" s="15" t="s">
        <v>63</v>
      </c>
      <c r="B29" s="16">
        <v>3.0</v>
      </c>
      <c r="C29" s="16">
        <v>10.0</v>
      </c>
      <c r="D29" s="17">
        <v>44.865787123211</v>
      </c>
      <c r="E29" s="17">
        <v>-93.335033456903</v>
      </c>
      <c r="F29" s="16" t="s">
        <v>41</v>
      </c>
      <c r="G29" s="16" t="s">
        <v>17</v>
      </c>
      <c r="H29" s="18" t="s">
        <v>32</v>
      </c>
      <c r="I29" s="19">
        <v>3326.0</v>
      </c>
      <c r="J29" s="20"/>
      <c r="K29" s="11" t="str">
        <f>IFERROR(__xludf.DUMMYFUNCTION("IF(AND(REGEXMATCH($H29,""50( ?['fF]([oO]{2})?[tT]?)?( ?[eE][rR]{2}[oO][rR])"")=FALSE,$H29&lt;&gt;"""",$I29&lt;&gt;""""),HYPERLINK(""https://www.munzee.com/m/""&amp;$H29&amp;""/""&amp;$I29&amp;""/map/?lat=""&amp;$D29&amp;""&amp;lon=""&amp;$E29&amp;""&amp;type=""&amp;$G29&amp;""&amp;name=""&amp;SUBSTITUTE($A29,""#"",""%23"""&amp;"),$H29&amp;""/""&amp;$I29),IF($H29&lt;&gt;"""",IF(REGEXMATCH($H29,""50( ?['fF]([oO]{2})?[tT]?)?( ?[eE][rR]{2}[oO][rR])""),HYPERLINK(""https://www.munzee.com/map/?sandbox=1&amp;lat=""&amp;$D29&amp;""&amp;lon=""&amp;$E29&amp;""&amp;name=""&amp;SUBSTITUTE($A29,""#"",""%23""),""SANDBOX""),HYPERLINK(""htt"&amp;"ps://www.munzee.com/m/""&amp;$H29&amp;""/deploys/0/type/""&amp;IFNA(VLOOKUP($G29,IMPORTRANGE(""https://docs.google.com/spreadsheets/d/1DliIGyDywdzxhd4svtjaewR0p9Y5UBTMNMQ2PcXsqss"",""type data!E2:F""),2,FALSE),$G29)&amp;""/"",$H29)),""""))"),"Amadoreugen/3326")</f>
        <v>Amadoreugen/3326</v>
      </c>
      <c r="L29" s="19" t="b">
        <v>1</v>
      </c>
      <c r="M29" s="12">
        <f t="shared" si="1"/>
        <v>4</v>
      </c>
      <c r="N29" s="13"/>
      <c r="O29" s="13"/>
      <c r="P29" s="15"/>
    </row>
    <row r="30">
      <c r="A30" s="15" t="s">
        <v>64</v>
      </c>
      <c r="B30" s="16">
        <v>3.0</v>
      </c>
      <c r="C30" s="16">
        <v>11.0</v>
      </c>
      <c r="D30" s="17">
        <v>44.865787123031</v>
      </c>
      <c r="E30" s="17">
        <v>-93.33483066583</v>
      </c>
      <c r="F30" s="16" t="s">
        <v>41</v>
      </c>
      <c r="G30" s="16" t="s">
        <v>17</v>
      </c>
      <c r="H30" s="18" t="s">
        <v>65</v>
      </c>
      <c r="I30" s="19">
        <v>513.0</v>
      </c>
      <c r="J30" s="20"/>
      <c r="K30" s="11" t="str">
        <f>IFERROR(__xludf.DUMMYFUNCTION("IF(AND(REGEXMATCH($H30,""50( ?['fF]([oO]{2})?[tT]?)?( ?[eE][rR]{2}[oO][rR])"")=FALSE,$H30&lt;&gt;"""",$I30&lt;&gt;""""),HYPERLINK(""https://www.munzee.com/m/""&amp;$H30&amp;""/""&amp;$I30&amp;""/map/?lat=""&amp;$D30&amp;""&amp;lon=""&amp;$E30&amp;""&amp;type=""&amp;$G30&amp;""&amp;name=""&amp;SUBSTITUTE($A30,""#"",""%23"""&amp;"),$H30&amp;""/""&amp;$I30),IF($H30&lt;&gt;"""",IF(REGEXMATCH($H30,""50( ?['fF]([oO]{2})?[tT]?)?( ?[eE][rR]{2}[oO][rR])""),HYPERLINK(""https://www.munzee.com/map/?sandbox=1&amp;lat=""&amp;$D30&amp;""&amp;lon=""&amp;$E30&amp;""&amp;name=""&amp;SUBSTITUTE($A30,""#"",""%23""),""SANDBOX""),HYPERLINK(""htt"&amp;"ps://www.munzee.com/m/""&amp;$H30&amp;""/deploys/0/type/""&amp;IFNA(VLOOKUP($G30,IMPORTRANGE(""https://docs.google.com/spreadsheets/d/1DliIGyDywdzxhd4svtjaewR0p9Y5UBTMNMQ2PcXsqss"",""type data!E2:F""),2,FALSE),$G30)&amp;""/"",$H30)),""""))"),"PLitewski/513")</f>
        <v>PLitewski/513</v>
      </c>
      <c r="L30" s="19" t="b">
        <v>1</v>
      </c>
      <c r="M30" s="12">
        <f t="shared" si="1"/>
        <v>3</v>
      </c>
      <c r="N30" s="24"/>
      <c r="O30" s="24"/>
      <c r="P30" s="15"/>
    </row>
    <row r="31">
      <c r="A31" s="15" t="s">
        <v>66</v>
      </c>
      <c r="B31" s="16">
        <v>3.0</v>
      </c>
      <c r="C31" s="16">
        <v>12.0</v>
      </c>
      <c r="D31" s="17">
        <v>44.865787122852</v>
      </c>
      <c r="E31" s="17">
        <v>-93.334627874757</v>
      </c>
      <c r="F31" s="16" t="s">
        <v>41</v>
      </c>
      <c r="G31" s="16" t="s">
        <v>17</v>
      </c>
      <c r="H31" s="18" t="s">
        <v>67</v>
      </c>
      <c r="I31" s="19">
        <v>2714.0</v>
      </c>
      <c r="J31" s="20"/>
      <c r="K31" s="11" t="str">
        <f>IFERROR(__xludf.DUMMYFUNCTION("IF(AND(REGEXMATCH($H31,""50( ?['fF]([oO]{2})?[tT]?)?( ?[eE][rR]{2}[oO][rR])"")=FALSE,$H31&lt;&gt;"""",$I31&lt;&gt;""""),HYPERLINK(""https://www.munzee.com/m/""&amp;$H31&amp;""/""&amp;$I31&amp;""/map/?lat=""&amp;$D31&amp;""&amp;lon=""&amp;$E31&amp;""&amp;type=""&amp;$G31&amp;""&amp;name=""&amp;SUBSTITUTE($A31,""#"",""%23"""&amp;"),$H31&amp;""/""&amp;$I31),IF($H31&lt;&gt;"""",IF(REGEXMATCH($H31,""50( ?['fF]([oO]{2})?[tT]?)?( ?[eE][rR]{2}[oO][rR])""),HYPERLINK(""https://www.munzee.com/map/?sandbox=1&amp;lat=""&amp;$D31&amp;""&amp;lon=""&amp;$E31&amp;""&amp;name=""&amp;SUBSTITUTE($A31,""#"",""%23""),""SANDBOX""),HYPERLINK(""htt"&amp;"ps://www.munzee.com/m/""&amp;$H31&amp;""/deploys/0/type/""&amp;IFNA(VLOOKUP($G31,IMPORTRANGE(""https://docs.google.com/spreadsheets/d/1DliIGyDywdzxhd4svtjaewR0p9Y5UBTMNMQ2PcXsqss"",""type data!E2:F""),2,FALSE),$G31)&amp;""/"",$H31)),""""))"),"familyd/2714")</f>
        <v>familyd/2714</v>
      </c>
      <c r="L31" s="19" t="b">
        <v>1</v>
      </c>
      <c r="M31" s="12">
        <f t="shared" si="1"/>
        <v>3</v>
      </c>
      <c r="N31" s="13"/>
      <c r="O31" s="13"/>
      <c r="P31" s="15"/>
    </row>
    <row r="32">
      <c r="A32" s="15" t="s">
        <v>68</v>
      </c>
      <c r="B32" s="16">
        <v>3.0</v>
      </c>
      <c r="C32" s="16">
        <v>13.0</v>
      </c>
      <c r="D32" s="17">
        <v>44.865787122672</v>
      </c>
      <c r="E32" s="17">
        <v>-93.334425083685</v>
      </c>
      <c r="F32" s="16" t="s">
        <v>41</v>
      </c>
      <c r="G32" s="16" t="s">
        <v>17</v>
      </c>
      <c r="H32" s="18" t="s">
        <v>69</v>
      </c>
      <c r="I32" s="19">
        <v>1473.0</v>
      </c>
      <c r="J32" s="20"/>
      <c r="K32" s="11" t="str">
        <f>IFERROR(__xludf.DUMMYFUNCTION("IF(AND(REGEXMATCH($H32,""50( ?['fF]([oO]{2})?[tT]?)?( ?[eE][rR]{2}[oO][rR])"")=FALSE,$H32&lt;&gt;"""",$I32&lt;&gt;""""),HYPERLINK(""https://www.munzee.com/m/""&amp;$H32&amp;""/""&amp;$I32&amp;""/map/?lat=""&amp;$D32&amp;""&amp;lon=""&amp;$E32&amp;""&amp;type=""&amp;$G32&amp;""&amp;name=""&amp;SUBSTITUTE($A32,""#"",""%23"""&amp;"),$H32&amp;""/""&amp;$I32),IF($H32&lt;&gt;"""",IF(REGEXMATCH($H32,""50( ?['fF]([oO]{2})?[tT]?)?( ?[eE][rR]{2}[oO][rR])""),HYPERLINK(""https://www.munzee.com/map/?sandbox=1&amp;lat=""&amp;$D32&amp;""&amp;lon=""&amp;$E32&amp;""&amp;name=""&amp;SUBSTITUTE($A32,""#"",""%23""),""SANDBOX""),HYPERLINK(""htt"&amp;"ps://www.munzee.com/m/""&amp;$H32&amp;""/deploys/0/type/""&amp;IFNA(VLOOKUP($G32,IMPORTRANGE(""https://docs.google.com/spreadsheets/d/1DliIGyDywdzxhd4svtjaewR0p9Y5UBTMNMQ2PcXsqss"",""type data!E2:F""),2,FALSE),$G32)&amp;""/"",$H32)),""""))"),"Jenna2sipz/1473")</f>
        <v>Jenna2sipz/1473</v>
      </c>
      <c r="L32" s="19" t="b">
        <v>1</v>
      </c>
      <c r="M32" s="12">
        <f t="shared" si="1"/>
        <v>3</v>
      </c>
      <c r="N32" s="13"/>
      <c r="O32" s="13"/>
      <c r="P32" s="15"/>
    </row>
    <row r="33">
      <c r="A33" s="15" t="s">
        <v>70</v>
      </c>
      <c r="B33" s="16">
        <v>3.0</v>
      </c>
      <c r="C33" s="16">
        <v>14.0</v>
      </c>
      <c r="D33" s="17">
        <v>44.865787122493</v>
      </c>
      <c r="E33" s="17">
        <v>-93.334222292612</v>
      </c>
      <c r="F33" s="16" t="s">
        <v>41</v>
      </c>
      <c r="G33" s="16" t="s">
        <v>17</v>
      </c>
      <c r="H33" s="18" t="s">
        <v>53</v>
      </c>
      <c r="I33" s="19">
        <v>584.0</v>
      </c>
      <c r="J33" s="20"/>
      <c r="K33" s="11" t="str">
        <f>IFERROR(__xludf.DUMMYFUNCTION("IF(AND(REGEXMATCH($H33,""50( ?['fF]([oO]{2})?[tT]?)?( ?[eE][rR]{2}[oO][rR])"")=FALSE,$H33&lt;&gt;"""",$I33&lt;&gt;""""),HYPERLINK(""https://www.munzee.com/m/""&amp;$H33&amp;""/""&amp;$I33&amp;""/map/?lat=""&amp;$D33&amp;""&amp;lon=""&amp;$E33&amp;""&amp;type=""&amp;$G33&amp;""&amp;name=""&amp;SUBSTITUTE($A33,""#"",""%23"""&amp;"),$H33&amp;""/""&amp;$I33),IF($H33&lt;&gt;"""",IF(REGEXMATCH($H33,""50( ?['fF]([oO]{2})?[tT]?)?( ?[eE][rR]{2}[oO][rR])""),HYPERLINK(""https://www.munzee.com/map/?sandbox=1&amp;lat=""&amp;$D33&amp;""&amp;lon=""&amp;$E33&amp;""&amp;name=""&amp;SUBSTITUTE($A33,""#"",""%23""),""SANDBOX""),HYPERLINK(""htt"&amp;"ps://www.munzee.com/m/""&amp;$H33&amp;""/deploys/0/type/""&amp;IFNA(VLOOKUP($G33,IMPORTRANGE(""https://docs.google.com/spreadsheets/d/1DliIGyDywdzxhd4svtjaewR0p9Y5UBTMNMQ2PcXsqss"",""type data!E2:F""),2,FALSE),$G33)&amp;""/"",$H33)),""""))"),"atrots/584")</f>
        <v>atrots/584</v>
      </c>
      <c r="L33" s="19" t="b">
        <v>1</v>
      </c>
      <c r="M33" s="12">
        <f t="shared" si="1"/>
        <v>2</v>
      </c>
      <c r="N33" s="13"/>
      <c r="O33" s="13"/>
      <c r="P33" s="15"/>
    </row>
    <row r="34">
      <c r="A34" s="15" t="s">
        <v>71</v>
      </c>
      <c r="B34" s="16">
        <v>3.0</v>
      </c>
      <c r="C34" s="16">
        <v>15.0</v>
      </c>
      <c r="D34" s="17">
        <v>44.865787122314</v>
      </c>
      <c r="E34" s="17">
        <v>-93.334019501539</v>
      </c>
      <c r="F34" s="16" t="s">
        <v>41</v>
      </c>
      <c r="G34" s="16" t="s">
        <v>17</v>
      </c>
      <c r="H34" s="18" t="s">
        <v>72</v>
      </c>
      <c r="I34" s="19">
        <v>5396.0</v>
      </c>
      <c r="J34" s="20"/>
      <c r="K34" s="11" t="str">
        <f>IFERROR(__xludf.DUMMYFUNCTION("IF(AND(REGEXMATCH($H34,""50( ?['fF]([oO]{2})?[tT]?)?( ?[eE][rR]{2}[oO][rR])"")=FALSE,$H34&lt;&gt;"""",$I34&lt;&gt;""""),HYPERLINK(""https://www.munzee.com/m/""&amp;$H34&amp;""/""&amp;$I34&amp;""/map/?lat=""&amp;$D34&amp;""&amp;lon=""&amp;$E34&amp;""&amp;type=""&amp;$G34&amp;""&amp;name=""&amp;SUBSTITUTE($A34,""#"",""%23"""&amp;"),$H34&amp;""/""&amp;$I34),IF($H34&lt;&gt;"""",IF(REGEXMATCH($H34,""50( ?['fF]([oO]{2})?[tT]?)?( ?[eE][rR]{2}[oO][rR])""),HYPERLINK(""https://www.munzee.com/map/?sandbox=1&amp;lat=""&amp;$D34&amp;""&amp;lon=""&amp;$E34&amp;""&amp;name=""&amp;SUBSTITUTE($A34,""#"",""%23""),""SANDBOX""),HYPERLINK(""htt"&amp;"ps://www.munzee.com/m/""&amp;$H34&amp;""/deploys/0/type/""&amp;IFNA(VLOOKUP($G34,IMPORTRANGE(""https://docs.google.com/spreadsheets/d/1DliIGyDywdzxhd4svtjaewR0p9Y5UBTMNMQ2PcXsqss"",""type data!E2:F""),2,FALSE),$G34)&amp;""/"",$H34)),""""))"),"fisherwoman/5396")</f>
        <v>fisherwoman/5396</v>
      </c>
      <c r="L34" s="19" t="b">
        <v>1</v>
      </c>
      <c r="M34" s="12">
        <f t="shared" si="1"/>
        <v>3</v>
      </c>
      <c r="N34" s="24"/>
      <c r="O34" s="24"/>
      <c r="P34" s="15"/>
    </row>
    <row r="35">
      <c r="A35" s="15" t="s">
        <v>73</v>
      </c>
      <c r="B35" s="16">
        <v>3.0</v>
      </c>
      <c r="C35" s="16">
        <v>16.0</v>
      </c>
      <c r="D35" s="17">
        <v>44.865787122134</v>
      </c>
      <c r="E35" s="17">
        <v>-93.333816710466</v>
      </c>
      <c r="F35" s="16" t="s">
        <v>41</v>
      </c>
      <c r="G35" s="16" t="s">
        <v>17</v>
      </c>
      <c r="H35" s="18" t="s">
        <v>74</v>
      </c>
      <c r="I35" s="19">
        <v>890.0</v>
      </c>
      <c r="J35" s="27"/>
      <c r="K35" s="11" t="str">
        <f>IFERROR(__xludf.DUMMYFUNCTION("IF(AND(REGEXMATCH($H35,""50( ?['fF]([oO]{2})?[tT]?)?( ?[eE][rR]{2}[oO][rR])"")=FALSE,$H35&lt;&gt;"""",$I35&lt;&gt;""""),HYPERLINK(""https://www.munzee.com/m/""&amp;$H35&amp;""/""&amp;$I35&amp;""/map/?lat=""&amp;$D35&amp;""&amp;lon=""&amp;$E35&amp;""&amp;type=""&amp;$G35&amp;""&amp;name=""&amp;SUBSTITUTE($A35,""#"",""%23"""&amp;"),$H35&amp;""/""&amp;$I35),IF($H35&lt;&gt;"""",IF(REGEXMATCH($H35,""50( ?['fF]([oO]{2})?[tT]?)?( ?[eE][rR]{2}[oO][rR])""),HYPERLINK(""https://www.munzee.com/map/?sandbox=1&amp;lat=""&amp;$D35&amp;""&amp;lon=""&amp;$E35&amp;""&amp;name=""&amp;SUBSTITUTE($A35,""#"",""%23""),""SANDBOX""),HYPERLINK(""htt"&amp;"ps://www.munzee.com/m/""&amp;$H35&amp;""/deploys/0/type/""&amp;IFNA(VLOOKUP($G35,IMPORTRANGE(""https://docs.google.com/spreadsheets/d/1DliIGyDywdzxhd4svtjaewR0p9Y5UBTMNMQ2PcXsqss"",""type data!E2:F""),2,FALSE),$G35)&amp;""/"",$H35)),""""))"),"WinterCheetah/890")</f>
        <v>WinterCheetah/890</v>
      </c>
      <c r="L35" s="19" t="b">
        <v>1</v>
      </c>
      <c r="M35" s="12">
        <f t="shared" si="1"/>
        <v>1</v>
      </c>
      <c r="N35" s="13"/>
      <c r="O35" s="13"/>
      <c r="P35" s="15"/>
    </row>
    <row r="36">
      <c r="A36" s="15" t="s">
        <v>75</v>
      </c>
      <c r="B36" s="16">
        <v>3.0</v>
      </c>
      <c r="C36" s="16">
        <v>17.0</v>
      </c>
      <c r="D36" s="17">
        <v>44.865787121955</v>
      </c>
      <c r="E36" s="17">
        <v>-93.333613919393</v>
      </c>
      <c r="F36" s="16" t="s">
        <v>41</v>
      </c>
      <c r="G36" s="16" t="s">
        <v>17</v>
      </c>
      <c r="H36" s="18" t="s">
        <v>76</v>
      </c>
      <c r="I36" s="19">
        <v>2873.0</v>
      </c>
      <c r="J36" s="21"/>
      <c r="K36" s="11" t="str">
        <f>IFERROR(__xludf.DUMMYFUNCTION("IF(AND(REGEXMATCH($H36,""50( ?['fF]([oO]{2})?[tT]?)?( ?[eE][rR]{2}[oO][rR])"")=FALSE,$H36&lt;&gt;"""",$I36&lt;&gt;""""),HYPERLINK(""https://www.munzee.com/m/""&amp;$H36&amp;""/""&amp;$I36&amp;""/map/?lat=""&amp;$D36&amp;""&amp;lon=""&amp;$E36&amp;""&amp;type=""&amp;$G36&amp;""&amp;name=""&amp;SUBSTITUTE($A36,""#"",""%23"""&amp;"),$H36&amp;""/""&amp;$I36),IF($H36&lt;&gt;"""",IF(REGEXMATCH($H36,""50( ?['fF]([oO]{2})?[tT]?)?( ?[eE][rR]{2}[oO][rR])""),HYPERLINK(""https://www.munzee.com/map/?sandbox=1&amp;lat=""&amp;$D36&amp;""&amp;lon=""&amp;$E36&amp;""&amp;name=""&amp;SUBSTITUTE($A36,""#"",""%23""),""SANDBOX""),HYPERLINK(""htt"&amp;"ps://www.munzee.com/m/""&amp;$H36&amp;""/deploys/0/type/""&amp;IFNA(VLOOKUP($G36,IMPORTRANGE(""https://docs.google.com/spreadsheets/d/1DliIGyDywdzxhd4svtjaewR0p9Y5UBTMNMQ2PcXsqss"",""type data!E2:F""),2,FALSE),$G36)&amp;""/"",$H36)),""""))"),"valsey/2873")</f>
        <v>valsey/2873</v>
      </c>
      <c r="L36" s="19" t="b">
        <v>1</v>
      </c>
      <c r="M36" s="12">
        <f t="shared" si="1"/>
        <v>7</v>
      </c>
      <c r="N36" s="18" t="s">
        <v>22</v>
      </c>
      <c r="O36" s="13"/>
      <c r="P36" s="15"/>
    </row>
    <row r="37">
      <c r="A37" s="15" t="s">
        <v>77</v>
      </c>
      <c r="B37" s="16">
        <v>3.0</v>
      </c>
      <c r="C37" s="16">
        <v>18.0</v>
      </c>
      <c r="D37" s="17">
        <v>44.865787121775</v>
      </c>
      <c r="E37" s="17">
        <v>-93.333411128321</v>
      </c>
      <c r="F37" s="16" t="s">
        <v>41</v>
      </c>
      <c r="G37" s="16" t="s">
        <v>17</v>
      </c>
      <c r="H37" s="18" t="s">
        <v>21</v>
      </c>
      <c r="I37" s="19">
        <v>1164.0</v>
      </c>
      <c r="J37" s="28"/>
      <c r="K37" s="11" t="str">
        <f>IFERROR(__xludf.DUMMYFUNCTION("IF(AND(REGEXMATCH($H37,""50( ?['fF]([oO]{2})?[tT]?)?( ?[eE][rR]{2}[oO][rR])"")=FALSE,$H37&lt;&gt;"""",$I37&lt;&gt;""""),HYPERLINK(""https://www.munzee.com/m/""&amp;$H37&amp;""/""&amp;$I37&amp;""/map/?lat=""&amp;$D37&amp;""&amp;lon=""&amp;$E37&amp;""&amp;type=""&amp;$G37&amp;""&amp;name=""&amp;SUBSTITUTE($A37,""#"",""%23"""&amp;"),$H37&amp;""/""&amp;$I37),IF($H37&lt;&gt;"""",IF(REGEXMATCH($H37,""50( ?['fF]([oO]{2})?[tT]?)?( ?[eE][rR]{2}[oO][rR])""),HYPERLINK(""https://www.munzee.com/map/?sandbox=1&amp;lat=""&amp;$D37&amp;""&amp;lon=""&amp;$E37&amp;""&amp;name=""&amp;SUBSTITUTE($A37,""#"",""%23""),""SANDBOX""),HYPERLINK(""htt"&amp;"ps://www.munzee.com/m/""&amp;$H37&amp;""/deploys/0/type/""&amp;IFNA(VLOOKUP($G37,IMPORTRANGE(""https://docs.google.com/spreadsheets/d/1DliIGyDywdzxhd4svtjaewR0p9Y5UBTMNMQ2PcXsqss"",""type data!E2:F""),2,FALSE),$G37)&amp;""/"",$H37)),""""))"),"Westmarch/1164")</f>
        <v>Westmarch/1164</v>
      </c>
      <c r="L37" s="19" t="b">
        <v>1</v>
      </c>
      <c r="M37" s="12">
        <f t="shared" si="1"/>
        <v>12</v>
      </c>
      <c r="N37" s="13"/>
      <c r="O37" s="13"/>
      <c r="P37" s="15"/>
    </row>
    <row r="38">
      <c r="A38" s="15" t="s">
        <v>78</v>
      </c>
      <c r="B38" s="16">
        <v>3.0</v>
      </c>
      <c r="C38" s="16">
        <v>19.0</v>
      </c>
      <c r="D38" s="17">
        <v>44.865787121596</v>
      </c>
      <c r="E38" s="17">
        <v>-93.333208337248</v>
      </c>
      <c r="F38" s="16" t="s">
        <v>41</v>
      </c>
      <c r="G38" s="16" t="s">
        <v>17</v>
      </c>
      <c r="H38" s="18" t="s">
        <v>79</v>
      </c>
      <c r="I38" s="19">
        <v>6734.0</v>
      </c>
      <c r="J38" s="20"/>
      <c r="K38" s="11" t="str">
        <f>IFERROR(__xludf.DUMMYFUNCTION("IF(AND(REGEXMATCH($H38,""50( ?['fF]([oO]{2})?[tT]?)?( ?[eE][rR]{2}[oO][rR])"")=FALSE,$H38&lt;&gt;"""",$I38&lt;&gt;""""),HYPERLINK(""https://www.munzee.com/m/""&amp;$H38&amp;""/""&amp;$I38&amp;""/map/?lat=""&amp;$D38&amp;""&amp;lon=""&amp;$E38&amp;""&amp;type=""&amp;$G38&amp;""&amp;name=""&amp;SUBSTITUTE($A38,""#"",""%23"""&amp;"),$H38&amp;""/""&amp;$I38),IF($H38&lt;&gt;"""",IF(REGEXMATCH($H38,""50( ?['fF]([oO]{2})?[tT]?)?( ?[eE][rR]{2}[oO][rR])""),HYPERLINK(""https://www.munzee.com/map/?sandbox=1&amp;lat=""&amp;$D38&amp;""&amp;lon=""&amp;$E38&amp;""&amp;name=""&amp;SUBSTITUTE($A38,""#"",""%23""),""SANDBOX""),HYPERLINK(""htt"&amp;"ps://www.munzee.com/m/""&amp;$H38&amp;""/deploys/0/type/""&amp;IFNA(VLOOKUP($G38,IMPORTRANGE(""https://docs.google.com/spreadsheets/d/1DliIGyDywdzxhd4svtjaewR0p9Y5UBTMNMQ2PcXsqss"",""type data!E2:F""),2,FALSE),$G38)&amp;""/"",$H38)),""""))"),"geomatrix/6734")</f>
        <v>geomatrix/6734</v>
      </c>
      <c r="L38" s="19" t="b">
        <v>1</v>
      </c>
      <c r="M38" s="12">
        <f t="shared" si="1"/>
        <v>3</v>
      </c>
      <c r="N38" s="24"/>
      <c r="O38" s="24"/>
      <c r="P38" s="15"/>
    </row>
    <row r="39">
      <c r="A39" s="15" t="s">
        <v>80</v>
      </c>
      <c r="B39" s="16">
        <v>3.0</v>
      </c>
      <c r="C39" s="16">
        <v>20.0</v>
      </c>
      <c r="D39" s="17">
        <v>44.865787121416</v>
      </c>
      <c r="E39" s="17">
        <v>-93.333005546175</v>
      </c>
      <c r="F39" s="16" t="s">
        <v>41</v>
      </c>
      <c r="G39" s="16" t="s">
        <v>17</v>
      </c>
      <c r="H39" s="18" t="s">
        <v>72</v>
      </c>
      <c r="I39" s="19">
        <v>5397.0</v>
      </c>
      <c r="J39" s="27"/>
      <c r="K39" s="11" t="str">
        <f>IFERROR(__xludf.DUMMYFUNCTION("IF(AND(REGEXMATCH($H39,""50( ?['fF]([oO]{2})?[tT]?)?( ?[eE][rR]{2}[oO][rR])"")=FALSE,$H39&lt;&gt;"""",$I39&lt;&gt;""""),HYPERLINK(""https://www.munzee.com/m/""&amp;$H39&amp;""/""&amp;$I39&amp;""/map/?lat=""&amp;$D39&amp;""&amp;lon=""&amp;$E39&amp;""&amp;type=""&amp;$G39&amp;""&amp;name=""&amp;SUBSTITUTE($A39,""#"",""%23"""&amp;"),$H39&amp;""/""&amp;$I39),IF($H39&lt;&gt;"""",IF(REGEXMATCH($H39,""50( ?['fF]([oO]{2})?[tT]?)?( ?[eE][rR]{2}[oO][rR])""),HYPERLINK(""https://www.munzee.com/map/?sandbox=1&amp;lat=""&amp;$D39&amp;""&amp;lon=""&amp;$E39&amp;""&amp;name=""&amp;SUBSTITUTE($A39,""#"",""%23""),""SANDBOX""),HYPERLINK(""htt"&amp;"ps://www.munzee.com/m/""&amp;$H39&amp;""/deploys/0/type/""&amp;IFNA(VLOOKUP($G39,IMPORTRANGE(""https://docs.google.com/spreadsheets/d/1DliIGyDywdzxhd4svtjaewR0p9Y5UBTMNMQ2PcXsqss"",""type data!E2:F""),2,FALSE),$G39)&amp;""/"",$H39)),""""))"),"fisherwoman/5397")</f>
        <v>fisherwoman/5397</v>
      </c>
      <c r="L39" s="19" t="b">
        <v>1</v>
      </c>
      <c r="M39" s="12">
        <f t="shared" si="1"/>
        <v>3</v>
      </c>
      <c r="N39" s="13"/>
      <c r="O39" s="13"/>
      <c r="P39" s="15"/>
    </row>
    <row r="40">
      <c r="A40" s="15" t="s">
        <v>81</v>
      </c>
      <c r="B40" s="16">
        <v>3.0</v>
      </c>
      <c r="C40" s="16">
        <v>21.0</v>
      </c>
      <c r="D40" s="17">
        <v>44.865787121237</v>
      </c>
      <c r="E40" s="17">
        <v>-93.332802755102</v>
      </c>
      <c r="F40" s="16" t="s">
        <v>16</v>
      </c>
      <c r="G40" s="16" t="s">
        <v>17</v>
      </c>
      <c r="H40" s="18" t="s">
        <v>47</v>
      </c>
      <c r="I40" s="19">
        <v>3275.0</v>
      </c>
      <c r="J40" s="20"/>
      <c r="K40" s="11" t="str">
        <f>IFERROR(__xludf.DUMMYFUNCTION("IF(AND(REGEXMATCH($H40,""50( ?['fF]([oO]{2})?[tT]?)?( ?[eE][rR]{2}[oO][rR])"")=FALSE,$H40&lt;&gt;"""",$I40&lt;&gt;""""),HYPERLINK(""https://www.munzee.com/m/""&amp;$H40&amp;""/""&amp;$I40&amp;""/map/?lat=""&amp;$D40&amp;""&amp;lon=""&amp;$E40&amp;""&amp;type=""&amp;$G40&amp;""&amp;name=""&amp;SUBSTITUTE($A40,""#"",""%23"""&amp;"),$H40&amp;""/""&amp;$I40),IF($H40&lt;&gt;"""",IF(REGEXMATCH($H40,""50( ?['fF]([oO]{2})?[tT]?)?( ?[eE][rR]{2}[oO][rR])""),HYPERLINK(""https://www.munzee.com/map/?sandbox=1&amp;lat=""&amp;$D40&amp;""&amp;lon=""&amp;$E40&amp;""&amp;name=""&amp;SUBSTITUTE($A40,""#"",""%23""),""SANDBOX""),HYPERLINK(""htt"&amp;"ps://www.munzee.com/m/""&amp;$H40&amp;""/deploys/0/type/""&amp;IFNA(VLOOKUP($G40,IMPORTRANGE(""https://docs.google.com/spreadsheets/d/1DliIGyDywdzxhd4svtjaewR0p9Y5UBTMNMQ2PcXsqss"",""type data!E2:F""),2,FALSE),$G40)&amp;""/"",$H40)),""""))"),"Qdog/3275")</f>
        <v>Qdog/3275</v>
      </c>
      <c r="L40" s="19" t="b">
        <v>1</v>
      </c>
      <c r="M40" s="12">
        <f t="shared" si="1"/>
        <v>5</v>
      </c>
      <c r="N40" s="13"/>
      <c r="O40" s="13"/>
      <c r="P40" s="15"/>
    </row>
    <row r="41">
      <c r="A41" s="15" t="s">
        <v>82</v>
      </c>
      <c r="B41" s="16">
        <v>4.0</v>
      </c>
      <c r="C41" s="16">
        <v>6.0</v>
      </c>
      <c r="D41" s="17">
        <v>44.865643393483</v>
      </c>
      <c r="E41" s="17">
        <v>-93.335844631827</v>
      </c>
      <c r="F41" s="16" t="s">
        <v>16</v>
      </c>
      <c r="G41" s="16" t="s">
        <v>17</v>
      </c>
      <c r="H41" s="18" t="s">
        <v>14</v>
      </c>
      <c r="I41" s="19">
        <v>1970.0</v>
      </c>
      <c r="J41" s="20"/>
      <c r="K41" s="11" t="str">
        <f>IFERROR(__xludf.DUMMYFUNCTION("IF(AND(REGEXMATCH($H41,""50( ?['fF]([oO]{2})?[tT]?)?( ?[eE][rR]{2}[oO][rR])"")=FALSE,$H41&lt;&gt;"""",$I41&lt;&gt;""""),HYPERLINK(""https://www.munzee.com/m/""&amp;$H41&amp;""/""&amp;$I41&amp;""/map/?lat=""&amp;$D41&amp;""&amp;lon=""&amp;$E41&amp;""&amp;type=""&amp;$G41&amp;""&amp;name=""&amp;SUBSTITUTE($A41,""#"",""%23"""&amp;"),$H41&amp;""/""&amp;$I41),IF($H41&lt;&gt;"""",IF(REGEXMATCH($H41,""50( ?['fF]([oO]{2})?[tT]?)?( ?[eE][rR]{2}[oO][rR])""),HYPERLINK(""https://www.munzee.com/map/?sandbox=1&amp;lat=""&amp;$D41&amp;""&amp;lon=""&amp;$E41&amp;""&amp;name=""&amp;SUBSTITUTE($A41,""#"",""%23""),""SANDBOX""),HYPERLINK(""htt"&amp;"ps://www.munzee.com/m/""&amp;$H41&amp;""/deploys/0/type/""&amp;IFNA(VLOOKUP($G41,IMPORTRANGE(""https://docs.google.com/spreadsheets/d/1DliIGyDywdzxhd4svtjaewR0p9Y5UBTMNMQ2PcXsqss"",""type data!E2:F""),2,FALSE),$G41)&amp;""/"",$H41)),""""))"),"JABIE28/1970")</f>
        <v>JABIE28/1970</v>
      </c>
      <c r="L41" s="19" t="b">
        <v>1</v>
      </c>
      <c r="M41" s="12">
        <f t="shared" si="1"/>
        <v>85</v>
      </c>
      <c r="N41" s="13"/>
      <c r="O41" s="13"/>
      <c r="P41" s="15"/>
    </row>
    <row r="42">
      <c r="A42" s="15" t="s">
        <v>83</v>
      </c>
      <c r="B42" s="16">
        <v>4.0</v>
      </c>
      <c r="C42" s="16">
        <v>7.0</v>
      </c>
      <c r="D42" s="17">
        <v>44.865643393304</v>
      </c>
      <c r="E42" s="17">
        <v>-93.335641841261</v>
      </c>
      <c r="F42" s="16" t="s">
        <v>16</v>
      </c>
      <c r="G42" s="16" t="s">
        <v>17</v>
      </c>
      <c r="H42" s="18" t="s">
        <v>84</v>
      </c>
      <c r="I42" s="19">
        <v>3445.0</v>
      </c>
      <c r="J42" s="20"/>
      <c r="K42" s="11" t="str">
        <f>IFERROR(__xludf.DUMMYFUNCTION("IF(AND(REGEXMATCH($H42,""50( ?['fF]([oO]{2})?[tT]?)?( ?[eE][rR]{2}[oO][rR])"")=FALSE,$H42&lt;&gt;"""",$I42&lt;&gt;""""),HYPERLINK(""https://www.munzee.com/m/""&amp;$H42&amp;""/""&amp;$I42&amp;""/map/?lat=""&amp;$D42&amp;""&amp;lon=""&amp;$E42&amp;""&amp;type=""&amp;$G42&amp;""&amp;name=""&amp;SUBSTITUTE($A42,""#"",""%23"""&amp;"),$H42&amp;""/""&amp;$I42),IF($H42&lt;&gt;"""",IF(REGEXMATCH($H42,""50( ?['fF]([oO]{2})?[tT]?)?( ?[eE][rR]{2}[oO][rR])""),HYPERLINK(""https://www.munzee.com/map/?sandbox=1&amp;lat=""&amp;$D42&amp;""&amp;lon=""&amp;$E42&amp;""&amp;name=""&amp;SUBSTITUTE($A42,""#"",""%23""),""SANDBOX""),HYPERLINK(""htt"&amp;"ps://www.munzee.com/m/""&amp;$H42&amp;""/deploys/0/type/""&amp;IFNA(VLOOKUP($G42,IMPORTRANGE(""https://docs.google.com/spreadsheets/d/1DliIGyDywdzxhd4svtjaewR0p9Y5UBTMNMQ2PcXsqss"",""type data!E2:F""),2,FALSE),$G42)&amp;""/"",$H42)),""""))"),"LFC21/3445")</f>
        <v>LFC21/3445</v>
      </c>
      <c r="L42" s="19" t="b">
        <v>1</v>
      </c>
      <c r="M42" s="12">
        <f t="shared" si="1"/>
        <v>1</v>
      </c>
      <c r="N42" s="13"/>
      <c r="O42" s="13"/>
      <c r="P42" s="15"/>
    </row>
    <row r="43">
      <c r="A43" s="15" t="s">
        <v>85</v>
      </c>
      <c r="B43" s="16">
        <v>4.0</v>
      </c>
      <c r="C43" s="16">
        <v>8.0</v>
      </c>
      <c r="D43" s="17">
        <v>44.865643393124</v>
      </c>
      <c r="E43" s="17">
        <v>-93.335439050694</v>
      </c>
      <c r="F43" s="16" t="s">
        <v>41</v>
      </c>
      <c r="G43" s="16" t="s">
        <v>17</v>
      </c>
      <c r="H43" s="18" t="s">
        <v>86</v>
      </c>
      <c r="I43" s="19">
        <v>1297.0</v>
      </c>
      <c r="J43" s="20"/>
      <c r="K43" s="11" t="str">
        <f>IFERROR(__xludf.DUMMYFUNCTION("IF(AND(REGEXMATCH($H43,""50( ?['fF]([oO]{2})?[tT]?)?( ?[eE][rR]{2}[oO][rR])"")=FALSE,$H43&lt;&gt;"""",$I43&lt;&gt;""""),HYPERLINK(""https://www.munzee.com/m/""&amp;$H43&amp;""/""&amp;$I43&amp;""/map/?lat=""&amp;$D43&amp;""&amp;lon=""&amp;$E43&amp;""&amp;type=""&amp;$G43&amp;""&amp;name=""&amp;SUBSTITUTE($A43,""#"",""%23"""&amp;"),$H43&amp;""/""&amp;$I43),IF($H43&lt;&gt;"""",IF(REGEXMATCH($H43,""50( ?['fF]([oO]{2})?[tT]?)?( ?[eE][rR]{2}[oO][rR])""),HYPERLINK(""https://www.munzee.com/map/?sandbox=1&amp;lat=""&amp;$D43&amp;""&amp;lon=""&amp;$E43&amp;""&amp;name=""&amp;SUBSTITUTE($A43,""#"",""%23""),""SANDBOX""),HYPERLINK(""htt"&amp;"ps://www.munzee.com/m/""&amp;$H43&amp;""/deploys/0/type/""&amp;IFNA(VLOOKUP($G43,IMPORTRANGE(""https://docs.google.com/spreadsheets/d/1DliIGyDywdzxhd4svtjaewR0p9Y5UBTMNMQ2PcXsqss"",""type data!E2:F""),2,FALSE),$G43)&amp;""/"",$H43)),""""))"),"Buffalo113/1297")</f>
        <v>Buffalo113/1297</v>
      </c>
      <c r="L43" s="19" t="b">
        <v>1</v>
      </c>
      <c r="M43" s="12">
        <f t="shared" si="1"/>
        <v>5</v>
      </c>
      <c r="N43" s="13"/>
      <c r="O43" s="13"/>
      <c r="P43" s="15"/>
    </row>
    <row r="44">
      <c r="A44" s="15" t="s">
        <v>87</v>
      </c>
      <c r="B44" s="16">
        <v>4.0</v>
      </c>
      <c r="C44" s="16">
        <v>9.0</v>
      </c>
      <c r="D44" s="17">
        <v>44.865643392945</v>
      </c>
      <c r="E44" s="17">
        <v>-93.335236260128</v>
      </c>
      <c r="F44" s="16" t="s">
        <v>41</v>
      </c>
      <c r="G44" s="16" t="s">
        <v>17</v>
      </c>
      <c r="H44" s="18" t="s">
        <v>14</v>
      </c>
      <c r="I44" s="19">
        <v>889.0</v>
      </c>
      <c r="J44" s="20"/>
      <c r="K44" s="11" t="str">
        <f>IFERROR(__xludf.DUMMYFUNCTION("IF(AND(REGEXMATCH($H44,""50( ?['fF]([oO]{2})?[tT]?)?( ?[eE][rR]{2}[oO][rR])"")=FALSE,$H44&lt;&gt;"""",$I44&lt;&gt;""""),HYPERLINK(""https://www.munzee.com/m/""&amp;$H44&amp;""/""&amp;$I44&amp;""/map/?lat=""&amp;$D44&amp;""&amp;lon=""&amp;$E44&amp;""&amp;type=""&amp;$G44&amp;""&amp;name=""&amp;SUBSTITUTE($A44,""#"",""%23"""&amp;"),$H44&amp;""/""&amp;$I44),IF($H44&lt;&gt;"""",IF(REGEXMATCH($H44,""50( ?['fF]([oO]{2})?[tT]?)?( ?[eE][rR]{2}[oO][rR])""),HYPERLINK(""https://www.munzee.com/map/?sandbox=1&amp;lat=""&amp;$D44&amp;""&amp;lon=""&amp;$E44&amp;""&amp;name=""&amp;SUBSTITUTE($A44,""#"",""%23""),""SANDBOX""),HYPERLINK(""htt"&amp;"ps://www.munzee.com/m/""&amp;$H44&amp;""/deploys/0/type/""&amp;IFNA(VLOOKUP($G44,IMPORTRANGE(""https://docs.google.com/spreadsheets/d/1DliIGyDywdzxhd4svtjaewR0p9Y5UBTMNMQ2PcXsqss"",""type data!E2:F""),2,FALSE),$G44)&amp;""/"",$H44)),""""))"),"JABIE28/889")</f>
        <v>JABIE28/889</v>
      </c>
      <c r="L44" s="19" t="b">
        <v>1</v>
      </c>
      <c r="M44" s="12">
        <f t="shared" si="1"/>
        <v>85</v>
      </c>
      <c r="N44" s="13"/>
      <c r="O44" s="13"/>
      <c r="P44" s="15"/>
    </row>
    <row r="45">
      <c r="A45" s="15" t="s">
        <v>88</v>
      </c>
      <c r="B45" s="16">
        <v>4.0</v>
      </c>
      <c r="C45" s="16">
        <v>10.0</v>
      </c>
      <c r="D45" s="17">
        <v>44.865643392765</v>
      </c>
      <c r="E45" s="17">
        <v>-93.335033469561</v>
      </c>
      <c r="F45" s="16" t="s">
        <v>41</v>
      </c>
      <c r="G45" s="16" t="s">
        <v>17</v>
      </c>
      <c r="H45" s="18" t="s">
        <v>76</v>
      </c>
      <c r="I45" s="19">
        <v>2872.0</v>
      </c>
      <c r="J45" s="21"/>
      <c r="K45" s="11" t="str">
        <f>IFERROR(__xludf.DUMMYFUNCTION("IF(AND(REGEXMATCH($H45,""50( ?['fF]([oO]{2})?[tT]?)?( ?[eE][rR]{2}[oO][rR])"")=FALSE,$H45&lt;&gt;"""",$I45&lt;&gt;""""),HYPERLINK(""https://www.munzee.com/m/""&amp;$H45&amp;""/""&amp;$I45&amp;""/map/?lat=""&amp;$D45&amp;""&amp;lon=""&amp;$E45&amp;""&amp;type=""&amp;$G45&amp;""&amp;name=""&amp;SUBSTITUTE($A45,""#"",""%23"""&amp;"),$H45&amp;""/""&amp;$I45),IF($H45&lt;&gt;"""",IF(REGEXMATCH($H45,""50( ?['fF]([oO]{2})?[tT]?)?( ?[eE][rR]{2}[oO][rR])""),HYPERLINK(""https://www.munzee.com/map/?sandbox=1&amp;lat=""&amp;$D45&amp;""&amp;lon=""&amp;$E45&amp;""&amp;name=""&amp;SUBSTITUTE($A45,""#"",""%23""),""SANDBOX""),HYPERLINK(""htt"&amp;"ps://www.munzee.com/m/""&amp;$H45&amp;""/deploys/0/type/""&amp;IFNA(VLOOKUP($G45,IMPORTRANGE(""https://docs.google.com/spreadsheets/d/1DliIGyDywdzxhd4svtjaewR0p9Y5UBTMNMQ2PcXsqss"",""type data!E2:F""),2,FALSE),$G45)&amp;""/"",$H45)),""""))"),"valsey/2872")</f>
        <v>valsey/2872</v>
      </c>
      <c r="L45" s="19" t="b">
        <v>1</v>
      </c>
      <c r="M45" s="12">
        <f t="shared" si="1"/>
        <v>7</v>
      </c>
      <c r="N45" s="13"/>
      <c r="O45" s="13"/>
      <c r="P45" s="15"/>
    </row>
    <row r="46">
      <c r="A46" s="15" t="s">
        <v>89</v>
      </c>
      <c r="B46" s="16">
        <v>4.0</v>
      </c>
      <c r="C46" s="16">
        <v>11.0</v>
      </c>
      <c r="D46" s="17">
        <v>44.865643392586</v>
      </c>
      <c r="E46" s="17">
        <v>-93.334830678995</v>
      </c>
      <c r="F46" s="16" t="s">
        <v>41</v>
      </c>
      <c r="G46" s="16" t="s">
        <v>17</v>
      </c>
      <c r="H46" s="18" t="s">
        <v>86</v>
      </c>
      <c r="I46" s="19">
        <v>1337.0</v>
      </c>
      <c r="J46" s="20"/>
      <c r="K46" s="11" t="str">
        <f>IFERROR(__xludf.DUMMYFUNCTION("IF(AND(REGEXMATCH($H46,""50( ?['fF]([oO]{2})?[tT]?)?( ?[eE][rR]{2}[oO][rR])"")=FALSE,$H46&lt;&gt;"""",$I46&lt;&gt;""""),HYPERLINK(""https://www.munzee.com/m/""&amp;$H46&amp;""/""&amp;$I46&amp;""/map/?lat=""&amp;$D46&amp;""&amp;lon=""&amp;$E46&amp;""&amp;type=""&amp;$G46&amp;""&amp;name=""&amp;SUBSTITUTE($A46,""#"",""%23"""&amp;"),$H46&amp;""/""&amp;$I46),IF($H46&lt;&gt;"""",IF(REGEXMATCH($H46,""50( ?['fF]([oO]{2})?[tT]?)?( ?[eE][rR]{2}[oO][rR])""),HYPERLINK(""https://www.munzee.com/map/?sandbox=1&amp;lat=""&amp;$D46&amp;""&amp;lon=""&amp;$E46&amp;""&amp;name=""&amp;SUBSTITUTE($A46,""#"",""%23""),""SANDBOX""),HYPERLINK(""htt"&amp;"ps://www.munzee.com/m/""&amp;$H46&amp;""/deploys/0/type/""&amp;IFNA(VLOOKUP($G46,IMPORTRANGE(""https://docs.google.com/spreadsheets/d/1DliIGyDywdzxhd4svtjaewR0p9Y5UBTMNMQ2PcXsqss"",""type data!E2:F""),2,FALSE),$G46)&amp;""/"",$H46)),""""))"),"Buffalo113/1337")</f>
        <v>Buffalo113/1337</v>
      </c>
      <c r="L46" s="19" t="b">
        <v>1</v>
      </c>
      <c r="M46" s="12">
        <f t="shared" si="1"/>
        <v>5</v>
      </c>
      <c r="N46" s="13"/>
      <c r="O46" s="13"/>
      <c r="P46" s="15"/>
    </row>
    <row r="47">
      <c r="A47" s="15" t="s">
        <v>90</v>
      </c>
      <c r="B47" s="16">
        <v>4.0</v>
      </c>
      <c r="C47" s="16">
        <v>12.0</v>
      </c>
      <c r="D47" s="17">
        <v>44.865643392406</v>
      </c>
      <c r="E47" s="17">
        <v>-93.334627888428</v>
      </c>
      <c r="F47" s="16" t="s">
        <v>41</v>
      </c>
      <c r="G47" s="16" t="s">
        <v>17</v>
      </c>
      <c r="H47" s="18" t="s">
        <v>14</v>
      </c>
      <c r="I47" s="19">
        <v>856.0</v>
      </c>
      <c r="J47" s="20"/>
      <c r="K47" s="11" t="str">
        <f>IFERROR(__xludf.DUMMYFUNCTION("IF(AND(REGEXMATCH($H47,""50( ?['fF]([oO]{2})?[tT]?)?( ?[eE][rR]{2}[oO][rR])"")=FALSE,$H47&lt;&gt;"""",$I47&lt;&gt;""""),HYPERLINK(""https://www.munzee.com/m/""&amp;$H47&amp;""/""&amp;$I47&amp;""/map/?lat=""&amp;$D47&amp;""&amp;lon=""&amp;$E47&amp;""&amp;type=""&amp;$G47&amp;""&amp;name=""&amp;SUBSTITUTE($A47,""#"",""%23"""&amp;"),$H47&amp;""/""&amp;$I47),IF($H47&lt;&gt;"""",IF(REGEXMATCH($H47,""50( ?['fF]([oO]{2})?[tT]?)?( ?[eE][rR]{2}[oO][rR])""),HYPERLINK(""https://www.munzee.com/map/?sandbox=1&amp;lat=""&amp;$D47&amp;""&amp;lon=""&amp;$E47&amp;""&amp;name=""&amp;SUBSTITUTE($A47,""#"",""%23""),""SANDBOX""),HYPERLINK(""htt"&amp;"ps://www.munzee.com/m/""&amp;$H47&amp;""/deploys/0/type/""&amp;IFNA(VLOOKUP($G47,IMPORTRANGE(""https://docs.google.com/spreadsheets/d/1DliIGyDywdzxhd4svtjaewR0p9Y5UBTMNMQ2PcXsqss"",""type data!E2:F""),2,FALSE),$G47)&amp;""/"",$H47)),""""))"),"JABIE28/856")</f>
        <v>JABIE28/856</v>
      </c>
      <c r="L47" s="19" t="b">
        <v>1</v>
      </c>
      <c r="M47" s="12">
        <f t="shared" si="1"/>
        <v>85</v>
      </c>
      <c r="N47" s="13"/>
      <c r="O47" s="13"/>
      <c r="P47" s="15"/>
    </row>
    <row r="48">
      <c r="A48" s="15" t="s">
        <v>91</v>
      </c>
      <c r="B48" s="16">
        <v>4.0</v>
      </c>
      <c r="C48" s="16">
        <v>13.0</v>
      </c>
      <c r="D48" s="17">
        <v>44.865643392227</v>
      </c>
      <c r="E48" s="17">
        <v>-93.334425097862</v>
      </c>
      <c r="F48" s="16" t="s">
        <v>41</v>
      </c>
      <c r="G48" s="16" t="s">
        <v>17</v>
      </c>
      <c r="H48" s="18" t="s">
        <v>76</v>
      </c>
      <c r="I48" s="19">
        <v>2868.0</v>
      </c>
      <c r="J48" s="21"/>
      <c r="K48" s="11" t="str">
        <f>IFERROR(__xludf.DUMMYFUNCTION("IF(AND(REGEXMATCH($H48,""50( ?['fF]([oO]{2})?[tT]?)?( ?[eE][rR]{2}[oO][rR])"")=FALSE,$H48&lt;&gt;"""",$I48&lt;&gt;""""),HYPERLINK(""https://www.munzee.com/m/""&amp;$H48&amp;""/""&amp;$I48&amp;""/map/?lat=""&amp;$D48&amp;""&amp;lon=""&amp;$E48&amp;""&amp;type=""&amp;$G48&amp;""&amp;name=""&amp;SUBSTITUTE($A48,""#"",""%23"""&amp;"),$H48&amp;""/""&amp;$I48),IF($H48&lt;&gt;"""",IF(REGEXMATCH($H48,""50( ?['fF]([oO]{2})?[tT]?)?( ?[eE][rR]{2}[oO][rR])""),HYPERLINK(""https://www.munzee.com/map/?sandbox=1&amp;lat=""&amp;$D48&amp;""&amp;lon=""&amp;$E48&amp;""&amp;name=""&amp;SUBSTITUTE($A48,""#"",""%23""),""SANDBOX""),HYPERLINK(""htt"&amp;"ps://www.munzee.com/m/""&amp;$H48&amp;""/deploys/0/type/""&amp;IFNA(VLOOKUP($G48,IMPORTRANGE(""https://docs.google.com/spreadsheets/d/1DliIGyDywdzxhd4svtjaewR0p9Y5UBTMNMQ2PcXsqss"",""type data!E2:F""),2,FALSE),$G48)&amp;""/"",$H48)),""""))"),"valsey/2868")</f>
        <v>valsey/2868</v>
      </c>
      <c r="L48" s="19" t="b">
        <v>1</v>
      </c>
      <c r="M48" s="12">
        <f t="shared" si="1"/>
        <v>7</v>
      </c>
      <c r="N48" s="13"/>
      <c r="O48" s="13"/>
      <c r="P48" s="15"/>
    </row>
    <row r="49">
      <c r="A49" s="15" t="s">
        <v>92</v>
      </c>
      <c r="B49" s="16">
        <v>4.0</v>
      </c>
      <c r="C49" s="16">
        <v>14.0</v>
      </c>
      <c r="D49" s="17">
        <v>44.865643392048</v>
      </c>
      <c r="E49" s="17">
        <v>-93.334222307295</v>
      </c>
      <c r="F49" s="16" t="s">
        <v>41</v>
      </c>
      <c r="G49" s="16" t="s">
        <v>17</v>
      </c>
      <c r="H49" s="18" t="s">
        <v>86</v>
      </c>
      <c r="I49" s="19">
        <v>1338.0</v>
      </c>
      <c r="J49" s="27"/>
      <c r="K49" s="11" t="str">
        <f>IFERROR(__xludf.DUMMYFUNCTION("IF(AND(REGEXMATCH($H49,""50( ?['fF]([oO]{2})?[tT]?)?( ?[eE][rR]{2}[oO][rR])"")=FALSE,$H49&lt;&gt;"""",$I49&lt;&gt;""""),HYPERLINK(""https://www.munzee.com/m/""&amp;$H49&amp;""/""&amp;$I49&amp;""/map/?lat=""&amp;$D49&amp;""&amp;lon=""&amp;$E49&amp;""&amp;type=""&amp;$G49&amp;""&amp;name=""&amp;SUBSTITUTE($A49,""#"",""%23"""&amp;"),$H49&amp;""/""&amp;$I49),IF($H49&lt;&gt;"""",IF(REGEXMATCH($H49,""50( ?['fF]([oO]{2})?[tT]?)?( ?[eE][rR]{2}[oO][rR])""),HYPERLINK(""https://www.munzee.com/map/?sandbox=1&amp;lat=""&amp;$D49&amp;""&amp;lon=""&amp;$E49&amp;""&amp;name=""&amp;SUBSTITUTE($A49,""#"",""%23""),""SANDBOX""),HYPERLINK(""htt"&amp;"ps://www.munzee.com/m/""&amp;$H49&amp;""/deploys/0/type/""&amp;IFNA(VLOOKUP($G49,IMPORTRANGE(""https://docs.google.com/spreadsheets/d/1DliIGyDywdzxhd4svtjaewR0p9Y5UBTMNMQ2PcXsqss"",""type data!E2:F""),2,FALSE),$G49)&amp;""/"",$H49)),""""))"),"Buffalo113/1338")</f>
        <v>Buffalo113/1338</v>
      </c>
      <c r="L49" s="19" t="b">
        <v>1</v>
      </c>
      <c r="M49" s="12">
        <f t="shared" si="1"/>
        <v>5</v>
      </c>
      <c r="N49" s="13"/>
      <c r="O49" s="13"/>
      <c r="P49" s="15"/>
    </row>
    <row r="50">
      <c r="A50" s="15" t="s">
        <v>93</v>
      </c>
      <c r="B50" s="16">
        <v>4.0</v>
      </c>
      <c r="C50" s="16">
        <v>15.0</v>
      </c>
      <c r="D50" s="17">
        <v>44.865643391868</v>
      </c>
      <c r="E50" s="17">
        <v>-93.334019516729</v>
      </c>
      <c r="F50" s="16" t="s">
        <v>41</v>
      </c>
      <c r="G50" s="16" t="s">
        <v>17</v>
      </c>
      <c r="H50" s="18" t="s">
        <v>14</v>
      </c>
      <c r="I50" s="19">
        <v>851.0</v>
      </c>
      <c r="J50" s="20"/>
      <c r="K50" s="11" t="str">
        <f>IFERROR(__xludf.DUMMYFUNCTION("IF(AND(REGEXMATCH($H50,""50( ?['fF]([oO]{2})?[tT]?)?( ?[eE][rR]{2}[oO][rR])"")=FALSE,$H50&lt;&gt;"""",$I50&lt;&gt;""""),HYPERLINK(""https://www.munzee.com/m/""&amp;$H50&amp;""/""&amp;$I50&amp;""/map/?lat=""&amp;$D50&amp;""&amp;lon=""&amp;$E50&amp;""&amp;type=""&amp;$G50&amp;""&amp;name=""&amp;SUBSTITUTE($A50,""#"",""%23"""&amp;"),$H50&amp;""/""&amp;$I50),IF($H50&lt;&gt;"""",IF(REGEXMATCH($H50,""50( ?['fF]([oO]{2})?[tT]?)?( ?[eE][rR]{2}[oO][rR])""),HYPERLINK(""https://www.munzee.com/map/?sandbox=1&amp;lat=""&amp;$D50&amp;""&amp;lon=""&amp;$E50&amp;""&amp;name=""&amp;SUBSTITUTE($A50,""#"",""%23""),""SANDBOX""),HYPERLINK(""htt"&amp;"ps://www.munzee.com/m/""&amp;$H50&amp;""/deploys/0/type/""&amp;IFNA(VLOOKUP($G50,IMPORTRANGE(""https://docs.google.com/spreadsheets/d/1DliIGyDywdzxhd4svtjaewR0p9Y5UBTMNMQ2PcXsqss"",""type data!E2:F""),2,FALSE),$G50)&amp;""/"",$H50)),""""))"),"JABIE28/851")</f>
        <v>JABIE28/851</v>
      </c>
      <c r="L50" s="19" t="b">
        <v>1</v>
      </c>
      <c r="M50" s="12">
        <f t="shared" si="1"/>
        <v>85</v>
      </c>
      <c r="N50" s="13"/>
      <c r="O50" s="13"/>
      <c r="P50" s="15"/>
    </row>
    <row r="51">
      <c r="A51" s="15" t="s">
        <v>94</v>
      </c>
      <c r="B51" s="16">
        <v>4.0</v>
      </c>
      <c r="C51" s="16">
        <v>16.0</v>
      </c>
      <c r="D51" s="17">
        <v>44.865643391689</v>
      </c>
      <c r="E51" s="17">
        <v>-93.333816726162</v>
      </c>
      <c r="F51" s="16" t="s">
        <v>41</v>
      </c>
      <c r="G51" s="16" t="s">
        <v>17</v>
      </c>
      <c r="H51" s="18" t="s">
        <v>95</v>
      </c>
      <c r="I51" s="19">
        <v>1666.0</v>
      </c>
      <c r="J51" s="21"/>
      <c r="K51" s="11" t="str">
        <f>IFERROR(__xludf.DUMMYFUNCTION("IF(AND(REGEXMATCH($H51,""50( ?['fF]([oO]{2})?[tT]?)?( ?[eE][rR]{2}[oO][rR])"")=FALSE,$H51&lt;&gt;"""",$I51&lt;&gt;""""),HYPERLINK(""https://www.munzee.com/m/""&amp;$H51&amp;""/""&amp;$I51&amp;""/map/?lat=""&amp;$D51&amp;""&amp;lon=""&amp;$E51&amp;""&amp;type=""&amp;$G51&amp;""&amp;name=""&amp;SUBSTITUTE($A51,""#"",""%23"""&amp;"),$H51&amp;""/""&amp;$I51),IF($H51&lt;&gt;"""",IF(REGEXMATCH($H51,""50( ?['fF]([oO]{2})?[tT]?)?( ?[eE][rR]{2}[oO][rR])""),HYPERLINK(""https://www.munzee.com/map/?sandbox=1&amp;lat=""&amp;$D51&amp;""&amp;lon=""&amp;$E51&amp;""&amp;name=""&amp;SUBSTITUTE($A51,""#"",""%23""),""SANDBOX""),HYPERLINK(""htt"&amp;"ps://www.munzee.com/m/""&amp;$H51&amp;""/deploys/0/type/""&amp;IFNA(VLOOKUP($G51,IMPORTRANGE(""https://docs.google.com/spreadsheets/d/1DliIGyDywdzxhd4svtjaewR0p9Y5UBTMNMQ2PcXsqss"",""type data!E2:F""),2,FALSE),$G51)&amp;""/"",$H51)),""""))"),"munzeepa/1666")</f>
        <v>munzeepa/1666</v>
      </c>
      <c r="L51" s="19" t="b">
        <v>1</v>
      </c>
      <c r="M51" s="12">
        <f t="shared" si="1"/>
        <v>20</v>
      </c>
      <c r="N51" s="13"/>
      <c r="O51" s="13"/>
      <c r="P51" s="15"/>
    </row>
    <row r="52">
      <c r="A52" s="15" t="s">
        <v>96</v>
      </c>
      <c r="B52" s="16">
        <v>4.0</v>
      </c>
      <c r="C52" s="16">
        <v>17.0</v>
      </c>
      <c r="D52" s="17">
        <v>44.865643391509</v>
      </c>
      <c r="E52" s="17">
        <v>-93.333613935596</v>
      </c>
      <c r="F52" s="16" t="s">
        <v>41</v>
      </c>
      <c r="G52" s="16" t="s">
        <v>17</v>
      </c>
      <c r="H52" s="18" t="s">
        <v>86</v>
      </c>
      <c r="I52" s="19">
        <v>1412.0</v>
      </c>
      <c r="J52" s="20"/>
      <c r="K52" s="11" t="str">
        <f>IFERROR(__xludf.DUMMYFUNCTION("IF(AND(REGEXMATCH($H52,""50( ?['fF]([oO]{2})?[tT]?)?( ?[eE][rR]{2}[oO][rR])"")=FALSE,$H52&lt;&gt;"""",$I52&lt;&gt;""""),HYPERLINK(""https://www.munzee.com/m/""&amp;$H52&amp;""/""&amp;$I52&amp;""/map/?lat=""&amp;$D52&amp;""&amp;lon=""&amp;$E52&amp;""&amp;type=""&amp;$G52&amp;""&amp;name=""&amp;SUBSTITUTE($A52,""#"",""%23"""&amp;"),$H52&amp;""/""&amp;$I52),IF($H52&lt;&gt;"""",IF(REGEXMATCH($H52,""50( ?['fF]([oO]{2})?[tT]?)?( ?[eE][rR]{2}[oO][rR])""),HYPERLINK(""https://www.munzee.com/map/?sandbox=1&amp;lat=""&amp;$D52&amp;""&amp;lon=""&amp;$E52&amp;""&amp;name=""&amp;SUBSTITUTE($A52,""#"",""%23""),""SANDBOX""),HYPERLINK(""htt"&amp;"ps://www.munzee.com/m/""&amp;$H52&amp;""/deploys/0/type/""&amp;IFNA(VLOOKUP($G52,IMPORTRANGE(""https://docs.google.com/spreadsheets/d/1DliIGyDywdzxhd4svtjaewR0p9Y5UBTMNMQ2PcXsqss"",""type data!E2:F""),2,FALSE),$G52)&amp;""/"",$H52)),""""))"),"Buffalo113/1412")</f>
        <v>Buffalo113/1412</v>
      </c>
      <c r="L52" s="19" t="b">
        <v>1</v>
      </c>
      <c r="M52" s="12">
        <f t="shared" si="1"/>
        <v>5</v>
      </c>
      <c r="N52" s="13"/>
      <c r="O52" s="13"/>
      <c r="P52" s="15"/>
    </row>
    <row r="53">
      <c r="A53" s="15" t="s">
        <v>97</v>
      </c>
      <c r="B53" s="16">
        <v>4.0</v>
      </c>
      <c r="C53" s="16">
        <v>18.0</v>
      </c>
      <c r="D53" s="17">
        <v>44.86564339133</v>
      </c>
      <c r="E53" s="17">
        <v>-93.333411145029</v>
      </c>
      <c r="F53" s="16" t="s">
        <v>41</v>
      </c>
      <c r="G53" s="16" t="s">
        <v>17</v>
      </c>
      <c r="H53" s="18" t="s">
        <v>14</v>
      </c>
      <c r="I53" s="19">
        <v>808.0</v>
      </c>
      <c r="J53" s="20"/>
      <c r="K53" s="11" t="str">
        <f>IFERROR(__xludf.DUMMYFUNCTION("IF(AND(REGEXMATCH($H53,""50( ?['fF]([oO]{2})?[tT]?)?( ?[eE][rR]{2}[oO][rR])"")=FALSE,$H53&lt;&gt;"""",$I53&lt;&gt;""""),HYPERLINK(""https://www.munzee.com/m/""&amp;$H53&amp;""/""&amp;$I53&amp;""/map/?lat=""&amp;$D53&amp;""&amp;lon=""&amp;$E53&amp;""&amp;type=""&amp;$G53&amp;""&amp;name=""&amp;SUBSTITUTE($A53,""#"",""%23"""&amp;"),$H53&amp;""/""&amp;$I53),IF($H53&lt;&gt;"""",IF(REGEXMATCH($H53,""50( ?['fF]([oO]{2})?[tT]?)?( ?[eE][rR]{2}[oO][rR])""),HYPERLINK(""https://www.munzee.com/map/?sandbox=1&amp;lat=""&amp;$D53&amp;""&amp;lon=""&amp;$E53&amp;""&amp;name=""&amp;SUBSTITUTE($A53,""#"",""%23""),""SANDBOX""),HYPERLINK(""htt"&amp;"ps://www.munzee.com/m/""&amp;$H53&amp;""/deploys/0/type/""&amp;IFNA(VLOOKUP($G53,IMPORTRANGE(""https://docs.google.com/spreadsheets/d/1DliIGyDywdzxhd4svtjaewR0p9Y5UBTMNMQ2PcXsqss"",""type data!E2:F""),2,FALSE),$G53)&amp;""/"",$H53)),""""))"),"JABIE28/808")</f>
        <v>JABIE28/808</v>
      </c>
      <c r="L53" s="19" t="b">
        <v>1</v>
      </c>
      <c r="M53" s="12">
        <f t="shared" si="1"/>
        <v>85</v>
      </c>
      <c r="N53" s="13"/>
      <c r="O53" s="13"/>
      <c r="P53" s="15"/>
    </row>
    <row r="54">
      <c r="A54" s="15" t="s">
        <v>98</v>
      </c>
      <c r="B54" s="16">
        <v>4.0</v>
      </c>
      <c r="C54" s="16">
        <v>19.0</v>
      </c>
      <c r="D54" s="17">
        <v>44.86564339115</v>
      </c>
      <c r="E54" s="17">
        <v>-93.333208354463</v>
      </c>
      <c r="F54" s="16" t="s">
        <v>41</v>
      </c>
      <c r="G54" s="16" t="s">
        <v>17</v>
      </c>
      <c r="H54" s="18" t="s">
        <v>99</v>
      </c>
      <c r="I54" s="19">
        <v>1356.0</v>
      </c>
      <c r="J54" s="28"/>
      <c r="K54" s="11" t="str">
        <f>IFERROR(__xludf.DUMMYFUNCTION("IF(AND(REGEXMATCH($H54,""50( ?['fF]([oO]{2})?[tT]?)?( ?[eE][rR]{2}[oO][rR])"")=FALSE,$H54&lt;&gt;"""",$I54&lt;&gt;""""),HYPERLINK(""https://www.munzee.com/m/""&amp;$H54&amp;""/""&amp;$I54&amp;""/map/?lat=""&amp;$D54&amp;""&amp;lon=""&amp;$E54&amp;""&amp;type=""&amp;$G54&amp;""&amp;name=""&amp;SUBSTITUTE($A54,""#"",""%23"""&amp;"),$H54&amp;""/""&amp;$I54),IF($H54&lt;&gt;"""",IF(REGEXMATCH($H54,""50( ?['fF]([oO]{2})?[tT]?)?( ?[eE][rR]{2}[oO][rR])""),HYPERLINK(""https://www.munzee.com/map/?sandbox=1&amp;lat=""&amp;$D54&amp;""&amp;lon=""&amp;$E54&amp;""&amp;name=""&amp;SUBSTITUTE($A54,""#"",""%23""),""SANDBOX""),HYPERLINK(""htt"&amp;"ps://www.munzee.com/m/""&amp;$H54&amp;""/deploys/0/type/""&amp;IFNA(VLOOKUP($G54,IMPORTRANGE(""https://docs.google.com/spreadsheets/d/1DliIGyDywdzxhd4svtjaewR0p9Y5UBTMNMQ2PcXsqss"",""type data!E2:F""),2,FALSE),$G54)&amp;""/"",$H54)),""""))"),"jsamundson/1356")</f>
        <v>jsamundson/1356</v>
      </c>
      <c r="L54" s="19" t="b">
        <v>1</v>
      </c>
      <c r="M54" s="12">
        <f t="shared" si="1"/>
        <v>20</v>
      </c>
      <c r="N54" s="13"/>
      <c r="O54" s="13"/>
      <c r="P54" s="15"/>
    </row>
    <row r="55">
      <c r="A55" s="15" t="s">
        <v>100</v>
      </c>
      <c r="B55" s="16">
        <v>4.0</v>
      </c>
      <c r="C55" s="16">
        <v>20.0</v>
      </c>
      <c r="D55" s="17">
        <v>44.865643390971</v>
      </c>
      <c r="E55" s="17">
        <v>-93.333005563896</v>
      </c>
      <c r="F55" s="16" t="s">
        <v>41</v>
      </c>
      <c r="G55" s="16" t="s">
        <v>17</v>
      </c>
      <c r="H55" s="18" t="s">
        <v>86</v>
      </c>
      <c r="I55" s="19">
        <v>1413.0</v>
      </c>
      <c r="J55" s="20"/>
      <c r="K55" s="11" t="str">
        <f>IFERROR(__xludf.DUMMYFUNCTION("IF(AND(REGEXMATCH($H55,""50( ?['fF]([oO]{2})?[tT]?)?( ?[eE][rR]{2}[oO][rR])"")=FALSE,$H55&lt;&gt;"""",$I55&lt;&gt;""""),HYPERLINK(""https://www.munzee.com/m/""&amp;$H55&amp;""/""&amp;$I55&amp;""/map/?lat=""&amp;$D55&amp;""&amp;lon=""&amp;$E55&amp;""&amp;type=""&amp;$G55&amp;""&amp;name=""&amp;SUBSTITUTE($A55,""#"",""%23"""&amp;"),$H55&amp;""/""&amp;$I55),IF($H55&lt;&gt;"""",IF(REGEXMATCH($H55,""50( ?['fF]([oO]{2})?[tT]?)?( ?[eE][rR]{2}[oO][rR])""),HYPERLINK(""https://www.munzee.com/map/?sandbox=1&amp;lat=""&amp;$D55&amp;""&amp;lon=""&amp;$E55&amp;""&amp;name=""&amp;SUBSTITUTE($A55,""#"",""%23""),""SANDBOX""),HYPERLINK(""htt"&amp;"ps://www.munzee.com/m/""&amp;$H55&amp;""/deploys/0/type/""&amp;IFNA(VLOOKUP($G55,IMPORTRANGE(""https://docs.google.com/spreadsheets/d/1DliIGyDywdzxhd4svtjaewR0p9Y5UBTMNMQ2PcXsqss"",""type data!E2:F""),2,FALSE),$G55)&amp;""/"",$H55)),""""))"),"Buffalo113/1413")</f>
        <v>Buffalo113/1413</v>
      </c>
      <c r="L55" s="19" t="b">
        <v>1</v>
      </c>
      <c r="M55" s="12">
        <f t="shared" si="1"/>
        <v>5</v>
      </c>
      <c r="N55" s="13"/>
      <c r="O55" s="13"/>
      <c r="P55" s="15"/>
    </row>
    <row r="56">
      <c r="A56" s="15" t="s">
        <v>101</v>
      </c>
      <c r="B56" s="16">
        <v>4.0</v>
      </c>
      <c r="C56" s="16">
        <v>21.0</v>
      </c>
      <c r="D56" s="17">
        <v>44.865643390791</v>
      </c>
      <c r="E56" s="17">
        <v>-93.33280277333</v>
      </c>
      <c r="F56" s="16" t="s">
        <v>41</v>
      </c>
      <c r="G56" s="16" t="s">
        <v>17</v>
      </c>
      <c r="H56" s="18" t="s">
        <v>14</v>
      </c>
      <c r="I56" s="19">
        <v>807.0</v>
      </c>
      <c r="J56" s="20"/>
      <c r="K56" s="11" t="str">
        <f>IFERROR(__xludf.DUMMYFUNCTION("IF(AND(REGEXMATCH($H56,""50( ?['fF]([oO]{2})?[tT]?)?( ?[eE][rR]{2}[oO][rR])"")=FALSE,$H56&lt;&gt;"""",$I56&lt;&gt;""""),HYPERLINK(""https://www.munzee.com/m/""&amp;$H56&amp;""/""&amp;$I56&amp;""/map/?lat=""&amp;$D56&amp;""&amp;lon=""&amp;$E56&amp;""&amp;type=""&amp;$G56&amp;""&amp;name=""&amp;SUBSTITUTE($A56,""#"",""%23"""&amp;"),$H56&amp;""/""&amp;$I56),IF($H56&lt;&gt;"""",IF(REGEXMATCH($H56,""50( ?['fF]([oO]{2})?[tT]?)?( ?[eE][rR]{2}[oO][rR])""),HYPERLINK(""https://www.munzee.com/map/?sandbox=1&amp;lat=""&amp;$D56&amp;""&amp;lon=""&amp;$E56&amp;""&amp;name=""&amp;SUBSTITUTE($A56,""#"",""%23""),""SANDBOX""),HYPERLINK(""htt"&amp;"ps://www.munzee.com/m/""&amp;$H56&amp;""/deploys/0/type/""&amp;IFNA(VLOOKUP($G56,IMPORTRANGE(""https://docs.google.com/spreadsheets/d/1DliIGyDywdzxhd4svtjaewR0p9Y5UBTMNMQ2PcXsqss"",""type data!E2:F""),2,FALSE),$G56)&amp;""/"",$H56)),""""))"),"JABIE28/807")</f>
        <v>JABIE28/807</v>
      </c>
      <c r="L56" s="19" t="b">
        <v>1</v>
      </c>
      <c r="M56" s="12">
        <f t="shared" si="1"/>
        <v>85</v>
      </c>
      <c r="N56" s="13"/>
      <c r="O56" s="13"/>
      <c r="P56" s="15"/>
    </row>
    <row r="57">
      <c r="A57" s="15" t="s">
        <v>102</v>
      </c>
      <c r="B57" s="16">
        <v>4.0</v>
      </c>
      <c r="C57" s="16">
        <v>22.0</v>
      </c>
      <c r="D57" s="17">
        <v>44.865643390612</v>
      </c>
      <c r="E57" s="17">
        <v>-93.332599982763</v>
      </c>
      <c r="F57" s="16" t="s">
        <v>16</v>
      </c>
      <c r="G57" s="16" t="s">
        <v>17</v>
      </c>
      <c r="H57" s="18" t="s">
        <v>103</v>
      </c>
      <c r="I57" s="19">
        <v>5760.0</v>
      </c>
      <c r="J57" s="20"/>
      <c r="K57" s="11" t="str">
        <f>IFERROR(__xludf.DUMMYFUNCTION("IF(AND(REGEXMATCH($H57,""50( ?['fF]([oO]{2})?[tT]?)?( ?[eE][rR]{2}[oO][rR])"")=FALSE,$H57&lt;&gt;"""",$I57&lt;&gt;""""),HYPERLINK(""https://www.munzee.com/m/""&amp;$H57&amp;""/""&amp;$I57&amp;""/map/?lat=""&amp;$D57&amp;""&amp;lon=""&amp;$E57&amp;""&amp;type=""&amp;$G57&amp;""&amp;name=""&amp;SUBSTITUTE($A57,""#"",""%23"""&amp;"),$H57&amp;""/""&amp;$I57),IF($H57&lt;&gt;"""",IF(REGEXMATCH($H57,""50( ?['fF]([oO]{2})?[tT]?)?( ?[eE][rR]{2}[oO][rR])""),HYPERLINK(""https://www.munzee.com/map/?sandbox=1&amp;lat=""&amp;$D57&amp;""&amp;lon=""&amp;$E57&amp;""&amp;name=""&amp;SUBSTITUTE($A57,""#"",""%23""),""SANDBOX""),HYPERLINK(""htt"&amp;"ps://www.munzee.com/m/""&amp;$H57&amp;""/deploys/0/type/""&amp;IFNA(VLOOKUP($G57,IMPORTRANGE(""https://docs.google.com/spreadsheets/d/1DliIGyDywdzxhd4svtjaewR0p9Y5UBTMNMQ2PcXsqss"",""type data!E2:F""),2,FALSE),$G57)&amp;""/"",$H57)),""""))"),"MrsCB/5760")</f>
        <v>MrsCB/5760</v>
      </c>
      <c r="L57" s="19" t="b">
        <v>1</v>
      </c>
      <c r="M57" s="12">
        <f t="shared" si="1"/>
        <v>1</v>
      </c>
      <c r="N57" s="13"/>
      <c r="O57" s="13"/>
      <c r="P57" s="15"/>
    </row>
    <row r="58">
      <c r="A58" s="15" t="s">
        <v>104</v>
      </c>
      <c r="B58" s="16">
        <v>4.0</v>
      </c>
      <c r="C58" s="16">
        <v>23.0</v>
      </c>
      <c r="D58" s="17">
        <v>44.865643390433</v>
      </c>
      <c r="E58" s="17">
        <v>-93.332397192197</v>
      </c>
      <c r="F58" s="16" t="s">
        <v>16</v>
      </c>
      <c r="G58" s="16" t="s">
        <v>17</v>
      </c>
      <c r="H58" s="18" t="s">
        <v>72</v>
      </c>
      <c r="I58" s="19">
        <v>5398.0</v>
      </c>
      <c r="J58" s="27"/>
      <c r="K58" s="11" t="str">
        <f>IFERROR(__xludf.DUMMYFUNCTION("IF(AND(REGEXMATCH($H58,""50( ?['fF]([oO]{2})?[tT]?)?( ?[eE][rR]{2}[oO][rR])"")=FALSE,$H58&lt;&gt;"""",$I58&lt;&gt;""""),HYPERLINK(""https://www.munzee.com/m/""&amp;$H58&amp;""/""&amp;$I58&amp;""/map/?lat=""&amp;$D58&amp;""&amp;lon=""&amp;$E58&amp;""&amp;type=""&amp;$G58&amp;""&amp;name=""&amp;SUBSTITUTE($A58,""#"",""%23"""&amp;"),$H58&amp;""/""&amp;$I58),IF($H58&lt;&gt;"""",IF(REGEXMATCH($H58,""50( ?['fF]([oO]{2})?[tT]?)?( ?[eE][rR]{2}[oO][rR])""),HYPERLINK(""https://www.munzee.com/map/?sandbox=1&amp;lat=""&amp;$D58&amp;""&amp;lon=""&amp;$E58&amp;""&amp;name=""&amp;SUBSTITUTE($A58,""#"",""%23""),""SANDBOX""),HYPERLINK(""htt"&amp;"ps://www.munzee.com/m/""&amp;$H58&amp;""/deploys/0/type/""&amp;IFNA(VLOOKUP($G58,IMPORTRANGE(""https://docs.google.com/spreadsheets/d/1DliIGyDywdzxhd4svtjaewR0p9Y5UBTMNMQ2PcXsqss"",""type data!E2:F""),2,FALSE),$G58)&amp;""/"",$H58)),""""))"),"fisherwoman/5398")</f>
        <v>fisherwoman/5398</v>
      </c>
      <c r="L58" s="19" t="b">
        <v>1</v>
      </c>
      <c r="M58" s="12">
        <f t="shared" si="1"/>
        <v>3</v>
      </c>
      <c r="N58" s="13"/>
      <c r="O58" s="13"/>
      <c r="P58" s="15"/>
    </row>
    <row r="59">
      <c r="A59" s="15" t="s">
        <v>105</v>
      </c>
      <c r="B59" s="16">
        <v>5.0</v>
      </c>
      <c r="C59" s="16">
        <v>6.0</v>
      </c>
      <c r="D59" s="17">
        <v>44.865499663038</v>
      </c>
      <c r="E59" s="17">
        <v>-93.33584464246</v>
      </c>
      <c r="F59" s="16" t="s">
        <v>16</v>
      </c>
      <c r="G59" s="16" t="s">
        <v>17</v>
      </c>
      <c r="H59" s="18" t="s">
        <v>58</v>
      </c>
      <c r="I59" s="19">
        <v>703.0</v>
      </c>
      <c r="J59" s="20"/>
      <c r="K59" s="11" t="str">
        <f>IFERROR(__xludf.DUMMYFUNCTION("IF(AND(REGEXMATCH($H59,""50( ?['fF]([oO]{2})?[tT]?)?( ?[eE][rR]{2}[oO][rR])"")=FALSE,$H59&lt;&gt;"""",$I59&lt;&gt;""""),HYPERLINK(""https://www.munzee.com/m/""&amp;$H59&amp;""/""&amp;$I59&amp;""/map/?lat=""&amp;$D59&amp;""&amp;lon=""&amp;$E59&amp;""&amp;type=""&amp;$G59&amp;""&amp;name=""&amp;SUBSTITUTE($A59,""#"",""%23"""&amp;"),$H59&amp;""/""&amp;$I59),IF($H59&lt;&gt;"""",IF(REGEXMATCH($H59,""50( ?['fF]([oO]{2})?[tT]?)?( ?[eE][rR]{2}[oO][rR])""),HYPERLINK(""https://www.munzee.com/map/?sandbox=1&amp;lat=""&amp;$D59&amp;""&amp;lon=""&amp;$E59&amp;""&amp;name=""&amp;SUBSTITUTE($A59,""#"",""%23""),""SANDBOX""),HYPERLINK(""htt"&amp;"ps://www.munzee.com/m/""&amp;$H59&amp;""/deploys/0/type/""&amp;IFNA(VLOOKUP($G59,IMPORTRANGE(""https://docs.google.com/spreadsheets/d/1DliIGyDywdzxhd4svtjaewR0p9Y5UBTMNMQ2PcXsqss"",""type data!E2:F""),2,FALSE),$G59)&amp;""/"",$H59)),""""))"),"cdwilliams1/703")</f>
        <v>cdwilliams1/703</v>
      </c>
      <c r="L59" s="19" t="b">
        <v>1</v>
      </c>
      <c r="M59" s="12">
        <f t="shared" si="1"/>
        <v>10</v>
      </c>
      <c r="N59" s="13"/>
      <c r="O59" s="13"/>
      <c r="P59" s="15"/>
    </row>
    <row r="60">
      <c r="A60" s="15" t="s">
        <v>106</v>
      </c>
      <c r="B60" s="16">
        <v>5.0</v>
      </c>
      <c r="C60" s="16">
        <v>7.0</v>
      </c>
      <c r="D60" s="17">
        <v>44.865499662858</v>
      </c>
      <c r="E60" s="17">
        <v>-93.3356418524</v>
      </c>
      <c r="F60" s="16" t="s">
        <v>41</v>
      </c>
      <c r="G60" s="16" t="s">
        <v>17</v>
      </c>
      <c r="H60" s="18" t="s">
        <v>107</v>
      </c>
      <c r="I60" s="19">
        <v>3523.0</v>
      </c>
      <c r="J60" s="20"/>
      <c r="K60" s="11" t="str">
        <f>IFERROR(__xludf.DUMMYFUNCTION("IF(AND(REGEXMATCH($H60,""50( ?['fF]([oO]{2})?[tT]?)?( ?[eE][rR]{2}[oO][rR])"")=FALSE,$H60&lt;&gt;"""",$I60&lt;&gt;""""),HYPERLINK(""https://www.munzee.com/m/""&amp;$H60&amp;""/""&amp;$I60&amp;""/map/?lat=""&amp;$D60&amp;""&amp;lon=""&amp;$E60&amp;""&amp;type=""&amp;$G60&amp;""&amp;name=""&amp;SUBSTITUTE($A60,""#"",""%23"""&amp;"),$H60&amp;""/""&amp;$I60),IF($H60&lt;&gt;"""",IF(REGEXMATCH($H60,""50( ?['fF]([oO]{2})?[tT]?)?( ?[eE][rR]{2}[oO][rR])""),HYPERLINK(""https://www.munzee.com/map/?sandbox=1&amp;lat=""&amp;$D60&amp;""&amp;lon=""&amp;$E60&amp;""&amp;name=""&amp;SUBSTITUTE($A60,""#"",""%23""),""SANDBOX""),HYPERLINK(""htt"&amp;"ps://www.munzee.com/m/""&amp;$H60&amp;""/deploys/0/type/""&amp;IFNA(VLOOKUP($G60,IMPORTRANGE(""https://docs.google.com/spreadsheets/d/1DliIGyDywdzxhd4svtjaewR0p9Y5UBTMNMQ2PcXsqss"",""type data!E2:F""),2,FALSE),$G60)&amp;""/"",$H60)),""""))"),"Valj519 /3523")</f>
        <v>Valj519 /3523</v>
      </c>
      <c r="L60" s="19" t="b">
        <v>1</v>
      </c>
      <c r="M60" s="12">
        <f t="shared" si="1"/>
        <v>1</v>
      </c>
      <c r="N60" s="13"/>
      <c r="O60" s="13"/>
      <c r="P60" s="15"/>
    </row>
    <row r="61">
      <c r="A61" s="15" t="s">
        <v>108</v>
      </c>
      <c r="B61" s="16">
        <v>5.0</v>
      </c>
      <c r="C61" s="16">
        <v>8.0</v>
      </c>
      <c r="D61" s="17">
        <v>44.865499662679</v>
      </c>
      <c r="E61" s="17">
        <v>-93.33543906234</v>
      </c>
      <c r="F61" s="16" t="s">
        <v>41</v>
      </c>
      <c r="G61" s="16" t="s">
        <v>17</v>
      </c>
      <c r="H61" s="18" t="s">
        <v>109</v>
      </c>
      <c r="I61" s="19">
        <v>16088.0</v>
      </c>
      <c r="J61" s="21"/>
      <c r="K61" s="11" t="str">
        <f>IFERROR(__xludf.DUMMYFUNCTION("IF(AND(REGEXMATCH($H61,""50( ?['fF]([oO]{2})?[tT]?)?( ?[eE][rR]{2}[oO][rR])"")=FALSE,$H61&lt;&gt;"""",$I61&lt;&gt;""""),HYPERLINK(""https://www.munzee.com/m/""&amp;$H61&amp;""/""&amp;$I61&amp;""/map/?lat=""&amp;$D61&amp;""&amp;lon=""&amp;$E61&amp;""&amp;type=""&amp;$G61&amp;""&amp;name=""&amp;SUBSTITUTE($A61,""#"",""%23"""&amp;"),$H61&amp;""/""&amp;$I61),IF($H61&lt;&gt;"""",IF(REGEXMATCH($H61,""50( ?['fF]([oO]{2})?[tT]?)?( ?[eE][rR]{2}[oO][rR])""),HYPERLINK(""https://www.munzee.com/map/?sandbox=1&amp;lat=""&amp;$D61&amp;""&amp;lon=""&amp;$E61&amp;""&amp;name=""&amp;SUBSTITUTE($A61,""#"",""%23""),""SANDBOX""),HYPERLINK(""htt"&amp;"ps://www.munzee.com/m/""&amp;$H61&amp;""/deploys/0/type/""&amp;IFNA(VLOOKUP($G61,IMPORTRANGE(""https://docs.google.com/spreadsheets/d/1DliIGyDywdzxhd4svtjaewR0p9Y5UBTMNMQ2PcXsqss"",""type data!E2:F""),2,FALSE),$G61)&amp;""/"",$H61)),""""))"),"Whelen/16088")</f>
        <v>Whelen/16088</v>
      </c>
      <c r="L61" s="19" t="b">
        <v>1</v>
      </c>
      <c r="M61" s="12">
        <f t="shared" si="1"/>
        <v>22</v>
      </c>
      <c r="N61" s="13"/>
      <c r="O61" s="13"/>
      <c r="P61" s="15"/>
    </row>
    <row r="62">
      <c r="A62" s="15" t="s">
        <v>110</v>
      </c>
      <c r="B62" s="16">
        <v>5.0</v>
      </c>
      <c r="C62" s="16">
        <v>9.0</v>
      </c>
      <c r="D62" s="17">
        <v>44.865499662499</v>
      </c>
      <c r="E62" s="17">
        <v>-93.33523627228</v>
      </c>
      <c r="F62" s="16" t="s">
        <v>41</v>
      </c>
      <c r="G62" s="16" t="s">
        <v>17</v>
      </c>
      <c r="H62" s="18" t="s">
        <v>111</v>
      </c>
      <c r="I62" s="19">
        <v>1417.0</v>
      </c>
      <c r="J62" s="20"/>
      <c r="K62" s="11" t="str">
        <f>IFERROR(__xludf.DUMMYFUNCTION("IF(AND(REGEXMATCH($H62,""50( ?['fF]([oO]{2})?[tT]?)?( ?[eE][rR]{2}[oO][rR])"")=FALSE,$H62&lt;&gt;"""",$I62&lt;&gt;""""),HYPERLINK(""https://www.munzee.com/m/""&amp;$H62&amp;""/""&amp;$I62&amp;""/map/?lat=""&amp;$D62&amp;""&amp;lon=""&amp;$E62&amp;""&amp;type=""&amp;$G62&amp;""&amp;name=""&amp;SUBSTITUTE($A62,""#"",""%23"""&amp;"),$H62&amp;""/""&amp;$I62),IF($H62&lt;&gt;"""",IF(REGEXMATCH($H62,""50( ?['fF]([oO]{2})?[tT]?)?( ?[eE][rR]{2}[oO][rR])""),HYPERLINK(""https://www.munzee.com/map/?sandbox=1&amp;lat=""&amp;$D62&amp;""&amp;lon=""&amp;$E62&amp;""&amp;name=""&amp;SUBSTITUTE($A62,""#"",""%23""),""SANDBOX""),HYPERLINK(""htt"&amp;"ps://www.munzee.com/m/""&amp;$H62&amp;""/deploys/0/type/""&amp;IFNA(VLOOKUP($G62,IMPORTRANGE(""https://docs.google.com/spreadsheets/d/1DliIGyDywdzxhd4svtjaewR0p9Y5UBTMNMQ2PcXsqss"",""type data!E2:F""),2,FALSE),$G62)&amp;""/"",$H62)),""""))"),"zip61348/1417")</f>
        <v>zip61348/1417</v>
      </c>
      <c r="L62" s="19" t="b">
        <v>1</v>
      </c>
      <c r="M62" s="12">
        <f t="shared" si="1"/>
        <v>1</v>
      </c>
      <c r="N62" s="13"/>
      <c r="O62" s="13"/>
      <c r="P62" s="15"/>
    </row>
    <row r="63">
      <c r="A63" s="15" t="s">
        <v>112</v>
      </c>
      <c r="B63" s="16">
        <v>5.0</v>
      </c>
      <c r="C63" s="16">
        <v>10.0</v>
      </c>
      <c r="D63" s="17">
        <v>44.86549966232</v>
      </c>
      <c r="E63" s="17">
        <v>-93.33503348222</v>
      </c>
      <c r="F63" s="16" t="s">
        <v>41</v>
      </c>
      <c r="G63" s="16" t="s">
        <v>17</v>
      </c>
      <c r="H63" s="18" t="s">
        <v>113</v>
      </c>
      <c r="I63" s="19">
        <v>1349.0</v>
      </c>
      <c r="J63" s="20"/>
      <c r="K63" s="11" t="str">
        <f>IFERROR(__xludf.DUMMYFUNCTION("IF(AND(REGEXMATCH($H63,""50( ?['fF]([oO]{2})?[tT]?)?( ?[eE][rR]{2}[oO][rR])"")=FALSE,$H63&lt;&gt;"""",$I63&lt;&gt;""""),HYPERLINK(""https://www.munzee.com/m/""&amp;$H63&amp;""/""&amp;$I63&amp;""/map/?lat=""&amp;$D63&amp;""&amp;lon=""&amp;$E63&amp;""&amp;type=""&amp;$G63&amp;""&amp;name=""&amp;SUBSTITUTE($A63,""#"",""%23"""&amp;"),$H63&amp;""/""&amp;$I63),IF($H63&lt;&gt;"""",IF(REGEXMATCH($H63,""50( ?['fF]([oO]{2})?[tT]?)?( ?[eE][rR]{2}[oO][rR])""),HYPERLINK(""https://www.munzee.com/map/?sandbox=1&amp;lat=""&amp;$D63&amp;""&amp;lon=""&amp;$E63&amp;""&amp;name=""&amp;SUBSTITUTE($A63,""#"",""%23""),""SANDBOX""),HYPERLINK(""htt"&amp;"ps://www.munzee.com/m/""&amp;$H63&amp;""/deploys/0/type/""&amp;IFNA(VLOOKUP($G63,IMPORTRANGE(""https://docs.google.com/spreadsheets/d/1DliIGyDywdzxhd4svtjaewR0p9Y5UBTMNMQ2PcXsqss"",""type data!E2:F""),2,FALSE),$G63)&amp;""/"",$H63)),""""))"),"padraig/1349")</f>
        <v>padraig/1349</v>
      </c>
      <c r="L63" s="19" t="b">
        <v>1</v>
      </c>
      <c r="M63" s="12">
        <f t="shared" si="1"/>
        <v>2</v>
      </c>
      <c r="N63" s="13"/>
      <c r="O63" s="13"/>
      <c r="P63" s="15"/>
    </row>
    <row r="64">
      <c r="A64" s="15" t="s">
        <v>114</v>
      </c>
      <c r="B64" s="16">
        <v>5.0</v>
      </c>
      <c r="C64" s="16">
        <v>11.0</v>
      </c>
      <c r="D64" s="17">
        <v>44.86549966214</v>
      </c>
      <c r="E64" s="17">
        <v>-93.33483069216</v>
      </c>
      <c r="F64" s="16" t="s">
        <v>41</v>
      </c>
      <c r="G64" s="16" t="s">
        <v>17</v>
      </c>
      <c r="H64" s="18" t="s">
        <v>109</v>
      </c>
      <c r="I64" s="19">
        <v>16087.0</v>
      </c>
      <c r="J64" s="21"/>
      <c r="K64" s="11" t="str">
        <f>IFERROR(__xludf.DUMMYFUNCTION("IF(AND(REGEXMATCH($H64,""50( ?['fF]([oO]{2})?[tT]?)?( ?[eE][rR]{2}[oO][rR])"")=FALSE,$H64&lt;&gt;"""",$I64&lt;&gt;""""),HYPERLINK(""https://www.munzee.com/m/""&amp;$H64&amp;""/""&amp;$I64&amp;""/map/?lat=""&amp;$D64&amp;""&amp;lon=""&amp;$E64&amp;""&amp;type=""&amp;$G64&amp;""&amp;name=""&amp;SUBSTITUTE($A64,""#"",""%23"""&amp;"),$H64&amp;""/""&amp;$I64),IF($H64&lt;&gt;"""",IF(REGEXMATCH($H64,""50( ?['fF]([oO]{2})?[tT]?)?( ?[eE][rR]{2}[oO][rR])""),HYPERLINK(""https://www.munzee.com/map/?sandbox=1&amp;lat=""&amp;$D64&amp;""&amp;lon=""&amp;$E64&amp;""&amp;name=""&amp;SUBSTITUTE($A64,""#"",""%23""),""SANDBOX""),HYPERLINK(""htt"&amp;"ps://www.munzee.com/m/""&amp;$H64&amp;""/deploys/0/type/""&amp;IFNA(VLOOKUP($G64,IMPORTRANGE(""https://docs.google.com/spreadsheets/d/1DliIGyDywdzxhd4svtjaewR0p9Y5UBTMNMQ2PcXsqss"",""type data!E2:F""),2,FALSE),$G64)&amp;""/"",$H64)),""""))"),"Whelen/16087")</f>
        <v>Whelen/16087</v>
      </c>
      <c r="L64" s="19" t="b">
        <v>1</v>
      </c>
      <c r="M64" s="12">
        <f t="shared" si="1"/>
        <v>22</v>
      </c>
      <c r="N64" s="13"/>
      <c r="O64" s="13"/>
      <c r="P64" s="15"/>
    </row>
    <row r="65">
      <c r="A65" s="15" t="s">
        <v>115</v>
      </c>
      <c r="B65" s="16">
        <v>5.0</v>
      </c>
      <c r="C65" s="16">
        <v>12.0</v>
      </c>
      <c r="D65" s="17">
        <v>44.865499661961</v>
      </c>
      <c r="E65" s="17">
        <v>-93.334627902099</v>
      </c>
      <c r="F65" s="16" t="s">
        <v>41</v>
      </c>
      <c r="G65" s="16" t="s">
        <v>17</v>
      </c>
      <c r="H65" s="18" t="s">
        <v>39</v>
      </c>
      <c r="I65" s="19">
        <v>8969.0</v>
      </c>
      <c r="J65" s="20"/>
      <c r="K65" s="11" t="str">
        <f>IFERROR(__xludf.DUMMYFUNCTION("IF(AND(REGEXMATCH($H65,""50( ?['fF]([oO]{2})?[tT]?)?( ?[eE][rR]{2}[oO][rR])"")=FALSE,$H65&lt;&gt;"""",$I65&lt;&gt;""""),HYPERLINK(""https://www.munzee.com/m/""&amp;$H65&amp;""/""&amp;$I65&amp;""/map/?lat=""&amp;$D65&amp;""&amp;lon=""&amp;$E65&amp;""&amp;type=""&amp;$G65&amp;""&amp;name=""&amp;SUBSTITUTE($A65,""#"",""%23"""&amp;"),$H65&amp;""/""&amp;$I65),IF($H65&lt;&gt;"""",IF(REGEXMATCH($H65,""50( ?['fF]([oO]{2})?[tT]?)?( ?[eE][rR]{2}[oO][rR])""),HYPERLINK(""https://www.munzee.com/map/?sandbox=1&amp;lat=""&amp;$D65&amp;""&amp;lon=""&amp;$E65&amp;""&amp;name=""&amp;SUBSTITUTE($A65,""#"",""%23""),""SANDBOX""),HYPERLINK(""htt"&amp;"ps://www.munzee.com/m/""&amp;$H65&amp;""/deploys/0/type/""&amp;IFNA(VLOOKUP($G65,IMPORTRANGE(""https://docs.google.com/spreadsheets/d/1DliIGyDywdzxhd4svtjaewR0p9Y5UBTMNMQ2PcXsqss"",""type data!E2:F""),2,FALSE),$G65)&amp;""/"",$H65)),""""))"),"danielle41101/8969")</f>
        <v>danielle41101/8969</v>
      </c>
      <c r="L65" s="19" t="b">
        <v>1</v>
      </c>
      <c r="M65" s="12">
        <f t="shared" si="1"/>
        <v>10</v>
      </c>
      <c r="N65" s="13"/>
      <c r="O65" s="13"/>
      <c r="P65" s="15"/>
    </row>
    <row r="66">
      <c r="A66" s="15" t="s">
        <v>116</v>
      </c>
      <c r="B66" s="16">
        <v>5.0</v>
      </c>
      <c r="C66" s="16">
        <v>13.0</v>
      </c>
      <c r="D66" s="17">
        <v>44.865499661782</v>
      </c>
      <c r="E66" s="17">
        <v>-93.334425112039</v>
      </c>
      <c r="F66" s="16" t="s">
        <v>41</v>
      </c>
      <c r="G66" s="16" t="s">
        <v>17</v>
      </c>
      <c r="H66" s="18" t="s">
        <v>117</v>
      </c>
      <c r="I66" s="19">
        <v>815.0</v>
      </c>
      <c r="J66" s="28"/>
      <c r="K66" s="11" t="str">
        <f>IFERROR(__xludf.DUMMYFUNCTION("IF(AND(REGEXMATCH($H66,""50( ?['fF]([oO]{2})?[tT]?)?( ?[eE][rR]{2}[oO][rR])"")=FALSE,$H66&lt;&gt;"""",$I66&lt;&gt;""""),HYPERLINK(""https://www.munzee.com/m/""&amp;$H66&amp;""/""&amp;$I66&amp;""/map/?lat=""&amp;$D66&amp;""&amp;lon=""&amp;$E66&amp;""&amp;type=""&amp;$G66&amp;""&amp;name=""&amp;SUBSTITUTE($A66,""#"",""%23"""&amp;"),$H66&amp;""/""&amp;$I66),IF($H66&lt;&gt;"""",IF(REGEXMATCH($H66,""50( ?['fF]([oO]{2})?[tT]?)?( ?[eE][rR]{2}[oO][rR])""),HYPERLINK(""https://www.munzee.com/map/?sandbox=1&amp;lat=""&amp;$D66&amp;""&amp;lon=""&amp;$E66&amp;""&amp;name=""&amp;SUBSTITUTE($A66,""#"",""%23""),""SANDBOX""),HYPERLINK(""htt"&amp;"ps://www.munzee.com/m/""&amp;$H66&amp;""/deploys/0/type/""&amp;IFNA(VLOOKUP($G66,IMPORTRANGE(""https://docs.google.com/spreadsheets/d/1DliIGyDywdzxhd4svtjaewR0p9Y5UBTMNMQ2PcXsqss"",""type data!E2:F""),2,FALSE),$G66)&amp;""/"",$H66)),""""))"),"Andremelb/815")</f>
        <v>Andremelb/815</v>
      </c>
      <c r="L66" s="19" t="b">
        <v>1</v>
      </c>
      <c r="M66" s="12">
        <f t="shared" si="1"/>
        <v>5</v>
      </c>
      <c r="N66" s="13"/>
      <c r="O66" s="13"/>
      <c r="P66" s="15"/>
    </row>
    <row r="67">
      <c r="A67" s="15" t="s">
        <v>118</v>
      </c>
      <c r="B67" s="16">
        <v>5.0</v>
      </c>
      <c r="C67" s="16">
        <v>14.0</v>
      </c>
      <c r="D67" s="17">
        <v>44.865499661602</v>
      </c>
      <c r="E67" s="17">
        <v>-93.334222321979</v>
      </c>
      <c r="F67" s="16" t="s">
        <v>41</v>
      </c>
      <c r="G67" s="16" t="s">
        <v>17</v>
      </c>
      <c r="H67" s="18" t="s">
        <v>109</v>
      </c>
      <c r="I67" s="19">
        <v>16056.0</v>
      </c>
      <c r="J67" s="21"/>
      <c r="K67" s="11" t="str">
        <f>IFERROR(__xludf.DUMMYFUNCTION("IF(AND(REGEXMATCH($H67,""50( ?['fF]([oO]{2})?[tT]?)?( ?[eE][rR]{2}[oO][rR])"")=FALSE,$H67&lt;&gt;"""",$I67&lt;&gt;""""),HYPERLINK(""https://www.munzee.com/m/""&amp;$H67&amp;""/""&amp;$I67&amp;""/map/?lat=""&amp;$D67&amp;""&amp;lon=""&amp;$E67&amp;""&amp;type=""&amp;$G67&amp;""&amp;name=""&amp;SUBSTITUTE($A67,""#"",""%23"""&amp;"),$H67&amp;""/""&amp;$I67),IF($H67&lt;&gt;"""",IF(REGEXMATCH($H67,""50( ?['fF]([oO]{2})?[tT]?)?( ?[eE][rR]{2}[oO][rR])""),HYPERLINK(""https://www.munzee.com/map/?sandbox=1&amp;lat=""&amp;$D67&amp;""&amp;lon=""&amp;$E67&amp;""&amp;name=""&amp;SUBSTITUTE($A67,""#"",""%23""),""SANDBOX""),HYPERLINK(""htt"&amp;"ps://www.munzee.com/m/""&amp;$H67&amp;""/deploys/0/type/""&amp;IFNA(VLOOKUP($G67,IMPORTRANGE(""https://docs.google.com/spreadsheets/d/1DliIGyDywdzxhd4svtjaewR0p9Y5UBTMNMQ2PcXsqss"",""type data!E2:F""),2,FALSE),$G67)&amp;""/"",$H67)),""""))"),"Whelen/16056")</f>
        <v>Whelen/16056</v>
      </c>
      <c r="L67" s="19" t="b">
        <v>1</v>
      </c>
      <c r="M67" s="12">
        <f t="shared" si="1"/>
        <v>22</v>
      </c>
      <c r="N67" s="13"/>
      <c r="O67" s="13"/>
      <c r="P67" s="15"/>
    </row>
    <row r="68">
      <c r="A68" s="15" t="s">
        <v>119</v>
      </c>
      <c r="B68" s="16">
        <v>5.0</v>
      </c>
      <c r="C68" s="16">
        <v>15.0</v>
      </c>
      <c r="D68" s="17">
        <v>44.865499661423</v>
      </c>
      <c r="E68" s="17">
        <v>-93.334019531919</v>
      </c>
      <c r="F68" s="16" t="s">
        <v>41</v>
      </c>
      <c r="G68" s="16" t="s">
        <v>17</v>
      </c>
      <c r="H68" s="18" t="s">
        <v>39</v>
      </c>
      <c r="I68" s="19">
        <v>8966.0</v>
      </c>
      <c r="J68" s="20"/>
      <c r="K68" s="11" t="str">
        <f>IFERROR(__xludf.DUMMYFUNCTION("IF(AND(REGEXMATCH($H68,""50( ?['fF]([oO]{2})?[tT]?)?( ?[eE][rR]{2}[oO][rR])"")=FALSE,$H68&lt;&gt;"""",$I68&lt;&gt;""""),HYPERLINK(""https://www.munzee.com/m/""&amp;$H68&amp;""/""&amp;$I68&amp;""/map/?lat=""&amp;$D68&amp;""&amp;lon=""&amp;$E68&amp;""&amp;type=""&amp;$G68&amp;""&amp;name=""&amp;SUBSTITUTE($A68,""#"",""%23"""&amp;"),$H68&amp;""/""&amp;$I68),IF($H68&lt;&gt;"""",IF(REGEXMATCH($H68,""50( ?['fF]([oO]{2})?[tT]?)?( ?[eE][rR]{2}[oO][rR])""),HYPERLINK(""https://www.munzee.com/map/?sandbox=1&amp;lat=""&amp;$D68&amp;""&amp;lon=""&amp;$E68&amp;""&amp;name=""&amp;SUBSTITUTE($A68,""#"",""%23""),""SANDBOX""),HYPERLINK(""htt"&amp;"ps://www.munzee.com/m/""&amp;$H68&amp;""/deploys/0/type/""&amp;IFNA(VLOOKUP($G68,IMPORTRANGE(""https://docs.google.com/spreadsheets/d/1DliIGyDywdzxhd4svtjaewR0p9Y5UBTMNMQ2PcXsqss"",""type data!E2:F""),2,FALSE),$G68)&amp;""/"",$H68)),""""))"),"danielle41101/8966")</f>
        <v>danielle41101/8966</v>
      </c>
      <c r="L68" s="19" t="b">
        <v>1</v>
      </c>
      <c r="M68" s="12">
        <f t="shared" si="1"/>
        <v>10</v>
      </c>
      <c r="N68" s="13"/>
      <c r="O68" s="13"/>
      <c r="P68" s="15"/>
    </row>
    <row r="69">
      <c r="A69" s="15" t="s">
        <v>120</v>
      </c>
      <c r="B69" s="16">
        <v>5.0</v>
      </c>
      <c r="C69" s="16">
        <v>16.0</v>
      </c>
      <c r="D69" s="17">
        <v>44.865499661243</v>
      </c>
      <c r="E69" s="17">
        <v>-93.333816741859</v>
      </c>
      <c r="F69" s="16" t="s">
        <v>41</v>
      </c>
      <c r="G69" s="16" t="s">
        <v>17</v>
      </c>
      <c r="H69" s="18" t="s">
        <v>121</v>
      </c>
      <c r="I69" s="19">
        <v>2448.0</v>
      </c>
      <c r="J69" s="20"/>
      <c r="K69" s="11" t="str">
        <f>IFERROR(__xludf.DUMMYFUNCTION("IF(AND(REGEXMATCH($H69,""50( ?['fF]([oO]{2})?[tT]?)?( ?[eE][rR]{2}[oO][rR])"")=FALSE,$H69&lt;&gt;"""",$I69&lt;&gt;""""),HYPERLINK(""https://www.munzee.com/m/""&amp;$H69&amp;""/""&amp;$I69&amp;""/map/?lat=""&amp;$D69&amp;""&amp;lon=""&amp;$E69&amp;""&amp;type=""&amp;$G69&amp;""&amp;name=""&amp;SUBSTITUTE($A69,""#"",""%23"""&amp;"),$H69&amp;""/""&amp;$I69),IF($H69&lt;&gt;"""",IF(REGEXMATCH($H69,""50( ?['fF]([oO]{2})?[tT]?)?( ?[eE][rR]{2}[oO][rR])""),HYPERLINK(""https://www.munzee.com/map/?sandbox=1&amp;lat=""&amp;$D69&amp;""&amp;lon=""&amp;$E69&amp;""&amp;name=""&amp;SUBSTITUTE($A69,""#"",""%23""),""SANDBOX""),HYPERLINK(""htt"&amp;"ps://www.munzee.com/m/""&amp;$H69&amp;""/deploys/0/type/""&amp;IFNA(VLOOKUP($G69,IMPORTRANGE(""https://docs.google.com/spreadsheets/d/1DliIGyDywdzxhd4svtjaewR0p9Y5UBTMNMQ2PcXsqss"",""type data!E2:F""),2,FALSE),$G69)&amp;""/"",$H69)),""""))"),"orky99/2448")</f>
        <v>orky99/2448</v>
      </c>
      <c r="L69" s="19" t="b">
        <v>1</v>
      </c>
      <c r="M69" s="12">
        <f t="shared" si="1"/>
        <v>4</v>
      </c>
      <c r="N69" s="13"/>
      <c r="O69" s="13"/>
      <c r="P69" s="15"/>
    </row>
    <row r="70">
      <c r="A70" s="15" t="s">
        <v>122</v>
      </c>
      <c r="B70" s="16">
        <v>5.0</v>
      </c>
      <c r="C70" s="16">
        <v>17.0</v>
      </c>
      <c r="D70" s="17">
        <v>44.865499661064</v>
      </c>
      <c r="E70" s="17">
        <v>-93.333613951799</v>
      </c>
      <c r="F70" s="16" t="s">
        <v>41</v>
      </c>
      <c r="G70" s="16" t="s">
        <v>17</v>
      </c>
      <c r="H70" s="18" t="s">
        <v>109</v>
      </c>
      <c r="I70" s="19">
        <v>16043.0</v>
      </c>
      <c r="J70" s="28"/>
      <c r="K70" s="11" t="str">
        <f>IFERROR(__xludf.DUMMYFUNCTION("IF(AND(REGEXMATCH($H70,""50( ?['fF]([oO]{2})?[tT]?)?( ?[eE][rR]{2}[oO][rR])"")=FALSE,$H70&lt;&gt;"""",$I70&lt;&gt;""""),HYPERLINK(""https://www.munzee.com/m/""&amp;$H70&amp;""/""&amp;$I70&amp;""/map/?lat=""&amp;$D70&amp;""&amp;lon=""&amp;$E70&amp;""&amp;type=""&amp;$G70&amp;""&amp;name=""&amp;SUBSTITUTE($A70,""#"",""%23"""&amp;"),$H70&amp;""/""&amp;$I70),IF($H70&lt;&gt;"""",IF(REGEXMATCH($H70,""50( ?['fF]([oO]{2})?[tT]?)?( ?[eE][rR]{2}[oO][rR])""),HYPERLINK(""https://www.munzee.com/map/?sandbox=1&amp;lat=""&amp;$D70&amp;""&amp;lon=""&amp;$E70&amp;""&amp;name=""&amp;SUBSTITUTE($A70,""#"",""%23""),""SANDBOX""),HYPERLINK(""htt"&amp;"ps://www.munzee.com/m/""&amp;$H70&amp;""/deploys/0/type/""&amp;IFNA(VLOOKUP($G70,IMPORTRANGE(""https://docs.google.com/spreadsheets/d/1DliIGyDywdzxhd4svtjaewR0p9Y5UBTMNMQ2PcXsqss"",""type data!E2:F""),2,FALSE),$G70)&amp;""/"",$H70)),""""))"),"Whelen/16043")</f>
        <v>Whelen/16043</v>
      </c>
      <c r="L70" s="19" t="b">
        <v>1</v>
      </c>
      <c r="M70" s="12">
        <f t="shared" si="1"/>
        <v>22</v>
      </c>
      <c r="N70" s="13"/>
      <c r="O70" s="13"/>
      <c r="P70" s="15"/>
    </row>
    <row r="71">
      <c r="A71" s="15" t="s">
        <v>123</v>
      </c>
      <c r="B71" s="16">
        <v>5.0</v>
      </c>
      <c r="C71" s="16">
        <v>18.0</v>
      </c>
      <c r="D71" s="17">
        <v>44.865499660884</v>
      </c>
      <c r="E71" s="17">
        <v>-93.333411161739</v>
      </c>
      <c r="F71" s="16" t="s">
        <v>41</v>
      </c>
      <c r="G71" s="16" t="s">
        <v>17</v>
      </c>
      <c r="H71" s="18" t="s">
        <v>124</v>
      </c>
      <c r="I71" s="19">
        <v>3064.0</v>
      </c>
      <c r="J71" s="20"/>
      <c r="K71" s="11" t="str">
        <f>IFERROR(__xludf.DUMMYFUNCTION("IF(AND(REGEXMATCH($H71,""50( ?['fF]([oO]{2})?[tT]?)?( ?[eE][rR]{2}[oO][rR])"")=FALSE,$H71&lt;&gt;"""",$I71&lt;&gt;""""),HYPERLINK(""https://www.munzee.com/m/""&amp;$H71&amp;""/""&amp;$I71&amp;""/map/?lat=""&amp;$D71&amp;""&amp;lon=""&amp;$E71&amp;""&amp;type=""&amp;$G71&amp;""&amp;name=""&amp;SUBSTITUTE($A71,""#"",""%23"""&amp;"),$H71&amp;""/""&amp;$I71),IF($H71&lt;&gt;"""",IF(REGEXMATCH($H71,""50( ?['fF]([oO]{2})?[tT]?)?( ?[eE][rR]{2}[oO][rR])""),HYPERLINK(""https://www.munzee.com/map/?sandbox=1&amp;lat=""&amp;$D71&amp;""&amp;lon=""&amp;$E71&amp;""&amp;name=""&amp;SUBSTITUTE($A71,""#"",""%23""),""SANDBOX""),HYPERLINK(""htt"&amp;"ps://www.munzee.com/m/""&amp;$H71&amp;""/deploys/0/type/""&amp;IFNA(VLOOKUP($G71,IMPORTRANGE(""https://docs.google.com/spreadsheets/d/1DliIGyDywdzxhd4svtjaewR0p9Y5UBTMNMQ2PcXsqss"",""type data!E2:F""),2,FALSE),$G71)&amp;""/"",$H71)),""""))"),"Rodico101/3064")</f>
        <v>Rodico101/3064</v>
      </c>
      <c r="L71" s="19" t="b">
        <v>1</v>
      </c>
      <c r="M71" s="12">
        <f t="shared" si="1"/>
        <v>1</v>
      </c>
      <c r="N71" s="13"/>
      <c r="O71" s="13"/>
      <c r="P71" s="15"/>
    </row>
    <row r="72">
      <c r="A72" s="15" t="s">
        <v>125</v>
      </c>
      <c r="B72" s="16">
        <v>5.0</v>
      </c>
      <c r="C72" s="16">
        <v>19.0</v>
      </c>
      <c r="D72" s="17">
        <v>44.865499660705</v>
      </c>
      <c r="E72" s="17">
        <v>-93.333208371678</v>
      </c>
      <c r="F72" s="16" t="s">
        <v>41</v>
      </c>
      <c r="G72" s="16" t="s">
        <v>17</v>
      </c>
      <c r="H72" s="18" t="s">
        <v>39</v>
      </c>
      <c r="I72" s="19">
        <v>8965.0</v>
      </c>
      <c r="J72" s="20"/>
      <c r="K72" s="11" t="str">
        <f>IFERROR(__xludf.DUMMYFUNCTION("IF(AND(REGEXMATCH($H72,""50( ?['fF]([oO]{2})?[tT]?)?( ?[eE][rR]{2}[oO][rR])"")=FALSE,$H72&lt;&gt;"""",$I72&lt;&gt;""""),HYPERLINK(""https://www.munzee.com/m/""&amp;$H72&amp;""/""&amp;$I72&amp;""/map/?lat=""&amp;$D72&amp;""&amp;lon=""&amp;$E72&amp;""&amp;type=""&amp;$G72&amp;""&amp;name=""&amp;SUBSTITUTE($A72,""#"",""%23"""&amp;"),$H72&amp;""/""&amp;$I72),IF($H72&lt;&gt;"""",IF(REGEXMATCH($H72,""50( ?['fF]([oO]{2})?[tT]?)?( ?[eE][rR]{2}[oO][rR])""),HYPERLINK(""https://www.munzee.com/map/?sandbox=1&amp;lat=""&amp;$D72&amp;""&amp;lon=""&amp;$E72&amp;""&amp;name=""&amp;SUBSTITUTE($A72,""#"",""%23""),""SANDBOX""),HYPERLINK(""htt"&amp;"ps://www.munzee.com/m/""&amp;$H72&amp;""/deploys/0/type/""&amp;IFNA(VLOOKUP($G72,IMPORTRANGE(""https://docs.google.com/spreadsheets/d/1DliIGyDywdzxhd4svtjaewR0p9Y5UBTMNMQ2PcXsqss"",""type data!E2:F""),2,FALSE),$G72)&amp;""/"",$H72)),""""))"),"danielle41101/8965")</f>
        <v>danielle41101/8965</v>
      </c>
      <c r="L72" s="19" t="b">
        <v>1</v>
      </c>
      <c r="M72" s="12">
        <f t="shared" si="1"/>
        <v>10</v>
      </c>
      <c r="N72" s="13"/>
      <c r="O72" s="13"/>
      <c r="P72" s="15"/>
    </row>
    <row r="73">
      <c r="A73" s="15" t="s">
        <v>126</v>
      </c>
      <c r="B73" s="16">
        <v>5.0</v>
      </c>
      <c r="C73" s="16">
        <v>20.0</v>
      </c>
      <c r="D73" s="17">
        <v>44.865499660525</v>
      </c>
      <c r="E73" s="17">
        <v>-93.333005581618</v>
      </c>
      <c r="F73" s="16" t="s">
        <v>41</v>
      </c>
      <c r="G73" s="16" t="s">
        <v>17</v>
      </c>
      <c r="H73" s="18" t="s">
        <v>109</v>
      </c>
      <c r="I73" s="19">
        <v>16041.0</v>
      </c>
      <c r="J73" s="21"/>
      <c r="K73" s="11" t="str">
        <f>IFERROR(__xludf.DUMMYFUNCTION("IF(AND(REGEXMATCH($H73,""50( ?['fF]([oO]{2})?[tT]?)?( ?[eE][rR]{2}[oO][rR])"")=FALSE,$H73&lt;&gt;"""",$I73&lt;&gt;""""),HYPERLINK(""https://www.munzee.com/m/""&amp;$H73&amp;""/""&amp;$I73&amp;""/map/?lat=""&amp;$D73&amp;""&amp;lon=""&amp;$E73&amp;""&amp;type=""&amp;$G73&amp;""&amp;name=""&amp;SUBSTITUTE($A73,""#"",""%23"""&amp;"),$H73&amp;""/""&amp;$I73),IF($H73&lt;&gt;"""",IF(REGEXMATCH($H73,""50( ?['fF]([oO]{2})?[tT]?)?( ?[eE][rR]{2}[oO][rR])""),HYPERLINK(""https://www.munzee.com/map/?sandbox=1&amp;lat=""&amp;$D73&amp;""&amp;lon=""&amp;$E73&amp;""&amp;name=""&amp;SUBSTITUTE($A73,""#"",""%23""),""SANDBOX""),HYPERLINK(""htt"&amp;"ps://www.munzee.com/m/""&amp;$H73&amp;""/deploys/0/type/""&amp;IFNA(VLOOKUP($G73,IMPORTRANGE(""https://docs.google.com/spreadsheets/d/1DliIGyDywdzxhd4svtjaewR0p9Y5UBTMNMQ2PcXsqss"",""type data!E2:F""),2,FALSE),$G73)&amp;""/"",$H73)),""""))"),"Whelen/16041")</f>
        <v>Whelen/16041</v>
      </c>
      <c r="L73" s="19" t="b">
        <v>1</v>
      </c>
      <c r="M73" s="12">
        <f t="shared" si="1"/>
        <v>22</v>
      </c>
      <c r="N73" s="13"/>
      <c r="O73" s="13"/>
      <c r="P73" s="15"/>
    </row>
    <row r="74">
      <c r="A74" s="15" t="s">
        <v>127</v>
      </c>
      <c r="B74" s="16">
        <v>5.0</v>
      </c>
      <c r="C74" s="16">
        <v>21.0</v>
      </c>
      <c r="D74" s="17">
        <v>44.865499660346</v>
      </c>
      <c r="E74" s="17">
        <v>-93.332802791558</v>
      </c>
      <c r="F74" s="16" t="s">
        <v>41</v>
      </c>
      <c r="G74" s="16" t="s">
        <v>17</v>
      </c>
      <c r="H74" s="18" t="s">
        <v>21</v>
      </c>
      <c r="I74" s="19">
        <v>1139.0</v>
      </c>
      <c r="J74" s="20"/>
      <c r="K74" s="11" t="str">
        <f>IFERROR(__xludf.DUMMYFUNCTION("IF(AND(REGEXMATCH($H74,""50( ?['fF]([oO]{2})?[tT]?)?( ?[eE][rR]{2}[oO][rR])"")=FALSE,$H74&lt;&gt;"""",$I74&lt;&gt;""""),HYPERLINK(""https://www.munzee.com/m/""&amp;$H74&amp;""/""&amp;$I74&amp;""/map/?lat=""&amp;$D74&amp;""&amp;lon=""&amp;$E74&amp;""&amp;type=""&amp;$G74&amp;""&amp;name=""&amp;SUBSTITUTE($A74,""#"",""%23"""&amp;"),$H74&amp;""/""&amp;$I74),IF($H74&lt;&gt;"""",IF(REGEXMATCH($H74,""50( ?['fF]([oO]{2})?[tT]?)?( ?[eE][rR]{2}[oO][rR])""),HYPERLINK(""https://www.munzee.com/map/?sandbox=1&amp;lat=""&amp;$D74&amp;""&amp;lon=""&amp;$E74&amp;""&amp;name=""&amp;SUBSTITUTE($A74,""#"",""%23""),""SANDBOX""),HYPERLINK(""htt"&amp;"ps://www.munzee.com/m/""&amp;$H74&amp;""/deploys/0/type/""&amp;IFNA(VLOOKUP($G74,IMPORTRANGE(""https://docs.google.com/spreadsheets/d/1DliIGyDywdzxhd4svtjaewR0p9Y5UBTMNMQ2PcXsqss"",""type data!E2:F""),2,FALSE),$G74)&amp;""/"",$H74)),""""))"),"Westmarch/1139")</f>
        <v>Westmarch/1139</v>
      </c>
      <c r="L74" s="19" t="b">
        <v>1</v>
      </c>
      <c r="M74" s="12">
        <f t="shared" si="1"/>
        <v>12</v>
      </c>
      <c r="N74" s="13"/>
      <c r="O74" s="13"/>
      <c r="P74" s="15"/>
    </row>
    <row r="75">
      <c r="A75" s="15" t="s">
        <v>128</v>
      </c>
      <c r="B75" s="16">
        <v>5.0</v>
      </c>
      <c r="C75" s="16">
        <v>22.0</v>
      </c>
      <c r="D75" s="17">
        <v>44.865499660167</v>
      </c>
      <c r="E75" s="17">
        <v>-93.332600001498</v>
      </c>
      <c r="F75" s="16" t="s">
        <v>41</v>
      </c>
      <c r="G75" s="16" t="s">
        <v>17</v>
      </c>
      <c r="H75" s="18" t="s">
        <v>129</v>
      </c>
      <c r="I75" s="19">
        <v>2213.0</v>
      </c>
      <c r="J75" s="20"/>
      <c r="K75" s="11" t="str">
        <f>IFERROR(__xludf.DUMMYFUNCTION("IF(AND(REGEXMATCH($H75,""50( ?['fF]([oO]{2})?[tT]?)?( ?[eE][rR]{2}[oO][rR])"")=FALSE,$H75&lt;&gt;"""",$I75&lt;&gt;""""),HYPERLINK(""https://www.munzee.com/m/""&amp;$H75&amp;""/""&amp;$I75&amp;""/map/?lat=""&amp;$D75&amp;""&amp;lon=""&amp;$E75&amp;""&amp;type=""&amp;$G75&amp;""&amp;name=""&amp;SUBSTITUTE($A75,""#"",""%23"""&amp;"),$H75&amp;""/""&amp;$I75),IF($H75&lt;&gt;"""",IF(REGEXMATCH($H75,""50( ?['fF]([oO]{2})?[tT]?)?( ?[eE][rR]{2}[oO][rR])""),HYPERLINK(""https://www.munzee.com/map/?sandbox=1&amp;lat=""&amp;$D75&amp;""&amp;lon=""&amp;$E75&amp;""&amp;name=""&amp;SUBSTITUTE($A75,""#"",""%23""),""SANDBOX""),HYPERLINK(""htt"&amp;"ps://www.munzee.com/m/""&amp;$H75&amp;""/deploys/0/type/""&amp;IFNA(VLOOKUP($G75,IMPORTRANGE(""https://docs.google.com/spreadsheets/d/1DliIGyDywdzxhd4svtjaewR0p9Y5UBTMNMQ2PcXsqss"",""type data!E2:F""),2,FALSE),$G75)&amp;""/"",$H75)),""""))"),"shingobee23/2213")</f>
        <v>shingobee23/2213</v>
      </c>
      <c r="L75" s="19" t="b">
        <v>1</v>
      </c>
      <c r="M75" s="12">
        <f t="shared" si="1"/>
        <v>4</v>
      </c>
      <c r="N75" s="13"/>
      <c r="O75" s="13"/>
      <c r="P75" s="15"/>
    </row>
    <row r="76">
      <c r="A76" s="15" t="s">
        <v>130</v>
      </c>
      <c r="B76" s="16">
        <v>5.0</v>
      </c>
      <c r="C76" s="16">
        <v>23.0</v>
      </c>
      <c r="D76" s="17">
        <v>44.865499659987</v>
      </c>
      <c r="E76" s="17">
        <v>-93.332397211438</v>
      </c>
      <c r="F76" s="16" t="s">
        <v>16</v>
      </c>
      <c r="G76" s="16" t="s">
        <v>17</v>
      </c>
      <c r="H76" s="18" t="s">
        <v>109</v>
      </c>
      <c r="I76" s="19">
        <v>16040.0</v>
      </c>
      <c r="J76" s="28"/>
      <c r="K76" s="11" t="str">
        <f>IFERROR(__xludf.DUMMYFUNCTION("IF(AND(REGEXMATCH($H76,""50( ?['fF]([oO]{2})?[tT]?)?( ?[eE][rR]{2}[oO][rR])"")=FALSE,$H76&lt;&gt;"""",$I76&lt;&gt;""""),HYPERLINK(""https://www.munzee.com/m/""&amp;$H76&amp;""/""&amp;$I76&amp;""/map/?lat=""&amp;$D76&amp;""&amp;lon=""&amp;$E76&amp;""&amp;type=""&amp;$G76&amp;""&amp;name=""&amp;SUBSTITUTE($A76,""#"",""%23"""&amp;"),$H76&amp;""/""&amp;$I76),IF($H76&lt;&gt;"""",IF(REGEXMATCH($H76,""50( ?['fF]([oO]{2})?[tT]?)?( ?[eE][rR]{2}[oO][rR])""),HYPERLINK(""https://www.munzee.com/map/?sandbox=1&amp;lat=""&amp;$D76&amp;""&amp;lon=""&amp;$E76&amp;""&amp;name=""&amp;SUBSTITUTE($A76,""#"",""%23""),""SANDBOX""),HYPERLINK(""htt"&amp;"ps://www.munzee.com/m/""&amp;$H76&amp;""/deploys/0/type/""&amp;IFNA(VLOOKUP($G76,IMPORTRANGE(""https://docs.google.com/spreadsheets/d/1DliIGyDywdzxhd4svtjaewR0p9Y5UBTMNMQ2PcXsqss"",""type data!E2:F""),2,FALSE),$G76)&amp;""/"",$H76)),""""))"),"Whelen/16040")</f>
        <v>Whelen/16040</v>
      </c>
      <c r="L76" s="19" t="b">
        <v>1</v>
      </c>
      <c r="M76" s="12">
        <f t="shared" si="1"/>
        <v>22</v>
      </c>
      <c r="N76" s="13"/>
      <c r="O76" s="13"/>
      <c r="P76" s="15"/>
    </row>
    <row r="77">
      <c r="A77" s="15" t="s">
        <v>131</v>
      </c>
      <c r="B77" s="16">
        <v>6.0</v>
      </c>
      <c r="C77" s="16">
        <v>6.0</v>
      </c>
      <c r="D77" s="17">
        <v>44.865355932592</v>
      </c>
      <c r="E77" s="17">
        <v>-93.335844653093</v>
      </c>
      <c r="F77" s="16" t="s">
        <v>16</v>
      </c>
      <c r="G77" s="16" t="s">
        <v>17</v>
      </c>
      <c r="H77" s="18" t="s">
        <v>117</v>
      </c>
      <c r="I77" s="19">
        <v>937.0</v>
      </c>
      <c r="J77" s="21"/>
      <c r="K77" s="11" t="str">
        <f>IFERROR(__xludf.DUMMYFUNCTION("IF(AND(REGEXMATCH($H77,""50( ?['fF]([oO]{2})?[tT]?)?( ?[eE][rR]{2}[oO][rR])"")=FALSE,$H77&lt;&gt;"""",$I77&lt;&gt;""""),HYPERLINK(""https://www.munzee.com/m/""&amp;$H77&amp;""/""&amp;$I77&amp;""/map/?lat=""&amp;$D77&amp;""&amp;lon=""&amp;$E77&amp;""&amp;type=""&amp;$G77&amp;""&amp;name=""&amp;SUBSTITUTE($A77,""#"",""%23"""&amp;"),$H77&amp;""/""&amp;$I77),IF($H77&lt;&gt;"""",IF(REGEXMATCH($H77,""50( ?['fF]([oO]{2})?[tT]?)?( ?[eE][rR]{2}[oO][rR])""),HYPERLINK(""https://www.munzee.com/map/?sandbox=1&amp;lat=""&amp;$D77&amp;""&amp;lon=""&amp;$E77&amp;""&amp;name=""&amp;SUBSTITUTE($A77,""#"",""%23""),""SANDBOX""),HYPERLINK(""htt"&amp;"ps://www.munzee.com/m/""&amp;$H77&amp;""/deploys/0/type/""&amp;IFNA(VLOOKUP($G77,IMPORTRANGE(""https://docs.google.com/spreadsheets/d/1DliIGyDywdzxhd4svtjaewR0p9Y5UBTMNMQ2PcXsqss"",""type data!E2:F""),2,FALSE),$G77)&amp;""/"",$H77)),""""))"),"Andremelb/937")</f>
        <v>Andremelb/937</v>
      </c>
      <c r="L77" s="19" t="b">
        <v>1</v>
      </c>
      <c r="M77" s="12">
        <f t="shared" si="1"/>
        <v>5</v>
      </c>
      <c r="N77" s="13"/>
      <c r="O77" s="13"/>
      <c r="P77" s="15"/>
    </row>
    <row r="78">
      <c r="A78" s="15" t="s">
        <v>132</v>
      </c>
      <c r="B78" s="16">
        <v>6.0</v>
      </c>
      <c r="C78" s="16">
        <v>7.0</v>
      </c>
      <c r="D78" s="17">
        <v>44.865355932413</v>
      </c>
      <c r="E78" s="17">
        <v>-93.335641863539</v>
      </c>
      <c r="F78" s="16" t="s">
        <v>41</v>
      </c>
      <c r="G78" s="16" t="s">
        <v>17</v>
      </c>
      <c r="H78" s="18" t="s">
        <v>133</v>
      </c>
      <c r="I78" s="19">
        <v>993.0</v>
      </c>
      <c r="J78" s="20"/>
      <c r="K78" s="11" t="str">
        <f>IFERROR(__xludf.DUMMYFUNCTION("IF(AND(REGEXMATCH($H78,""50( ?['fF]([oO]{2})?[tT]?)?( ?[eE][rR]{2}[oO][rR])"")=FALSE,$H78&lt;&gt;"""",$I78&lt;&gt;""""),HYPERLINK(""https://www.munzee.com/m/""&amp;$H78&amp;""/""&amp;$I78&amp;""/map/?lat=""&amp;$D78&amp;""&amp;lon=""&amp;$E78&amp;""&amp;type=""&amp;$G78&amp;""&amp;name=""&amp;SUBSTITUTE($A78,""#"",""%23"""&amp;"),$H78&amp;""/""&amp;$I78),IF($H78&lt;&gt;"""",IF(REGEXMATCH($H78,""50( ?['fF]([oO]{2})?[tT]?)?( ?[eE][rR]{2}[oO][rR])""),HYPERLINK(""https://www.munzee.com/map/?sandbox=1&amp;lat=""&amp;$D78&amp;""&amp;lon=""&amp;$E78&amp;""&amp;name=""&amp;SUBSTITUTE($A78,""#"",""%23""),""SANDBOX""),HYPERLINK(""htt"&amp;"ps://www.munzee.com/m/""&amp;$H78&amp;""/deploys/0/type/""&amp;IFNA(VLOOKUP($G78,IMPORTRANGE(""https://docs.google.com/spreadsheets/d/1DliIGyDywdzxhd4svtjaewR0p9Y5UBTMNMQ2PcXsqss"",""type data!E2:F""),2,FALSE),$G78)&amp;""/"",$H78)),""""))"),"easterb/993")</f>
        <v>easterb/993</v>
      </c>
      <c r="L78" s="19" t="b">
        <v>1</v>
      </c>
      <c r="M78" s="12">
        <f t="shared" si="1"/>
        <v>1</v>
      </c>
      <c r="N78" s="13"/>
      <c r="O78" s="13"/>
      <c r="P78" s="15"/>
    </row>
    <row r="79">
      <c r="A79" s="15" t="s">
        <v>134</v>
      </c>
      <c r="B79" s="16">
        <v>6.0</v>
      </c>
      <c r="C79" s="16">
        <v>8.0</v>
      </c>
      <c r="D79" s="17">
        <v>44.865355932233</v>
      </c>
      <c r="E79" s="17">
        <v>-93.335439073985</v>
      </c>
      <c r="F79" s="16" t="s">
        <v>41</v>
      </c>
      <c r="G79" s="16" t="s">
        <v>17</v>
      </c>
      <c r="H79" s="18" t="s">
        <v>95</v>
      </c>
      <c r="I79" s="19">
        <v>1482.0</v>
      </c>
      <c r="J79" s="21"/>
      <c r="K79" s="11" t="str">
        <f>IFERROR(__xludf.DUMMYFUNCTION("IF(AND(REGEXMATCH($H79,""50( ?['fF]([oO]{2})?[tT]?)?( ?[eE][rR]{2}[oO][rR])"")=FALSE,$H79&lt;&gt;"""",$I79&lt;&gt;""""),HYPERLINK(""https://www.munzee.com/m/""&amp;$H79&amp;""/""&amp;$I79&amp;""/map/?lat=""&amp;$D79&amp;""&amp;lon=""&amp;$E79&amp;""&amp;type=""&amp;$G79&amp;""&amp;name=""&amp;SUBSTITUTE($A79,""#"",""%23"""&amp;"),$H79&amp;""/""&amp;$I79),IF($H79&lt;&gt;"""",IF(REGEXMATCH($H79,""50( ?['fF]([oO]{2})?[tT]?)?( ?[eE][rR]{2}[oO][rR])""),HYPERLINK(""https://www.munzee.com/map/?sandbox=1&amp;lat=""&amp;$D79&amp;""&amp;lon=""&amp;$E79&amp;""&amp;name=""&amp;SUBSTITUTE($A79,""#"",""%23""),""SANDBOX""),HYPERLINK(""htt"&amp;"ps://www.munzee.com/m/""&amp;$H79&amp;""/deploys/0/type/""&amp;IFNA(VLOOKUP($G79,IMPORTRANGE(""https://docs.google.com/spreadsheets/d/1DliIGyDywdzxhd4svtjaewR0p9Y5UBTMNMQ2PcXsqss"",""type data!E2:F""),2,FALSE),$G79)&amp;""/"",$H79)),""""))"),"munzeepa/1482")</f>
        <v>munzeepa/1482</v>
      </c>
      <c r="L79" s="19" t="b">
        <v>1</v>
      </c>
      <c r="M79" s="12">
        <f t="shared" si="1"/>
        <v>20</v>
      </c>
      <c r="N79" s="13"/>
      <c r="O79" s="13"/>
      <c r="P79" s="15"/>
    </row>
    <row r="80">
      <c r="A80" s="15" t="s">
        <v>135</v>
      </c>
      <c r="B80" s="16">
        <v>6.0</v>
      </c>
      <c r="C80" s="16">
        <v>9.0</v>
      </c>
      <c r="D80" s="17">
        <v>44.865355932054</v>
      </c>
      <c r="E80" s="17">
        <v>-93.335236284432</v>
      </c>
      <c r="F80" s="16" t="s">
        <v>41</v>
      </c>
      <c r="G80" s="16" t="s">
        <v>17</v>
      </c>
      <c r="H80" s="18" t="s">
        <v>19</v>
      </c>
      <c r="I80" s="19">
        <v>224.0</v>
      </c>
      <c r="J80" s="20"/>
      <c r="K80" s="11" t="str">
        <f>IFERROR(__xludf.DUMMYFUNCTION("IF(AND(REGEXMATCH($H80,""50( ?['fF]([oO]{2})?[tT]?)?( ?[eE][rR]{2}[oO][rR])"")=FALSE,$H80&lt;&gt;"""",$I80&lt;&gt;""""),HYPERLINK(""https://www.munzee.com/m/""&amp;$H80&amp;""/""&amp;$I80&amp;""/map/?lat=""&amp;$D80&amp;""&amp;lon=""&amp;$E80&amp;""&amp;type=""&amp;$G80&amp;""&amp;name=""&amp;SUBSTITUTE($A80,""#"",""%23"""&amp;"),$H80&amp;""/""&amp;$I80),IF($H80&lt;&gt;"""",IF(REGEXMATCH($H80,""50( ?['fF]([oO]{2})?[tT]?)?( ?[eE][rR]{2}[oO][rR])""),HYPERLINK(""https://www.munzee.com/map/?sandbox=1&amp;lat=""&amp;$D80&amp;""&amp;lon=""&amp;$E80&amp;""&amp;name=""&amp;SUBSTITUTE($A80,""#"",""%23""),""SANDBOX""),HYPERLINK(""htt"&amp;"ps://www.munzee.com/m/""&amp;$H80&amp;""/deploys/0/type/""&amp;IFNA(VLOOKUP($G80,IMPORTRANGE(""https://docs.google.com/spreadsheets/d/1DliIGyDywdzxhd4svtjaewR0p9Y5UBTMNMQ2PcXsqss"",""type data!E2:F""),2,FALSE),$G80)&amp;""/"",$H80)),""""))"),"MSgtUSMC/224")</f>
        <v>MSgtUSMC/224</v>
      </c>
      <c r="L80" s="19" t="b">
        <v>1</v>
      </c>
      <c r="M80" s="12">
        <f t="shared" si="1"/>
        <v>2</v>
      </c>
      <c r="N80" s="13"/>
      <c r="O80" s="13"/>
      <c r="P80" s="15"/>
    </row>
    <row r="81">
      <c r="A81" s="15" t="s">
        <v>136</v>
      </c>
      <c r="B81" s="16">
        <v>6.0</v>
      </c>
      <c r="C81" s="16">
        <v>10.0</v>
      </c>
      <c r="D81" s="17">
        <v>44.865355931874</v>
      </c>
      <c r="E81" s="17">
        <v>-93.335033494878</v>
      </c>
      <c r="F81" s="16" t="s">
        <v>41</v>
      </c>
      <c r="G81" s="16" t="s">
        <v>17</v>
      </c>
      <c r="H81" s="18" t="s">
        <v>117</v>
      </c>
      <c r="I81" s="19">
        <v>1098.0</v>
      </c>
      <c r="J81" s="21"/>
      <c r="K81" s="11" t="str">
        <f>IFERROR(__xludf.DUMMYFUNCTION("IF(AND(REGEXMATCH($H81,""50( ?['fF]([oO]{2})?[tT]?)?( ?[eE][rR]{2}[oO][rR])"")=FALSE,$H81&lt;&gt;"""",$I81&lt;&gt;""""),HYPERLINK(""https://www.munzee.com/m/""&amp;$H81&amp;""/""&amp;$I81&amp;""/map/?lat=""&amp;$D81&amp;""&amp;lon=""&amp;$E81&amp;""&amp;type=""&amp;$G81&amp;""&amp;name=""&amp;SUBSTITUTE($A81,""#"",""%23"""&amp;"),$H81&amp;""/""&amp;$I81),IF($H81&lt;&gt;"""",IF(REGEXMATCH($H81,""50( ?['fF]([oO]{2})?[tT]?)?( ?[eE][rR]{2}[oO][rR])""),HYPERLINK(""https://www.munzee.com/map/?sandbox=1&amp;lat=""&amp;$D81&amp;""&amp;lon=""&amp;$E81&amp;""&amp;name=""&amp;SUBSTITUTE($A81,""#"",""%23""),""SANDBOX""),HYPERLINK(""htt"&amp;"ps://www.munzee.com/m/""&amp;$H81&amp;""/deploys/0/type/""&amp;IFNA(VLOOKUP($G81,IMPORTRANGE(""https://docs.google.com/spreadsheets/d/1DliIGyDywdzxhd4svtjaewR0p9Y5UBTMNMQ2PcXsqss"",""type data!E2:F""),2,FALSE),$G81)&amp;""/"",$H81)),""""))"),"Andremelb/1098")</f>
        <v>Andremelb/1098</v>
      </c>
      <c r="L81" s="19" t="b">
        <v>1</v>
      </c>
      <c r="M81" s="12">
        <f t="shared" si="1"/>
        <v>5</v>
      </c>
      <c r="N81" s="13"/>
      <c r="O81" s="13"/>
      <c r="P81" s="15"/>
    </row>
    <row r="82">
      <c r="A82" s="15" t="s">
        <v>137</v>
      </c>
      <c r="B82" s="16">
        <v>6.0</v>
      </c>
      <c r="C82" s="16">
        <v>11.0</v>
      </c>
      <c r="D82" s="17">
        <v>44.865355931695</v>
      </c>
      <c r="E82" s="17">
        <v>-93.334830705324</v>
      </c>
      <c r="F82" s="16" t="s">
        <v>41</v>
      </c>
      <c r="G82" s="16" t="s">
        <v>17</v>
      </c>
      <c r="H82" s="18" t="s">
        <v>138</v>
      </c>
      <c r="I82" s="19">
        <v>3804.0</v>
      </c>
      <c r="J82" s="20"/>
      <c r="K82" s="11" t="str">
        <f>IFERROR(__xludf.DUMMYFUNCTION("IF(AND(REGEXMATCH($H82,""50( ?['fF]([oO]{2})?[tT]?)?( ?[eE][rR]{2}[oO][rR])"")=FALSE,$H82&lt;&gt;"""",$I82&lt;&gt;""""),HYPERLINK(""https://www.munzee.com/m/""&amp;$H82&amp;""/""&amp;$I82&amp;""/map/?lat=""&amp;$D82&amp;""&amp;lon=""&amp;$E82&amp;""&amp;type=""&amp;$G82&amp;""&amp;name=""&amp;SUBSTITUTE($A82,""#"",""%23"""&amp;"),$H82&amp;""/""&amp;$I82),IF($H82&lt;&gt;"""",IF(REGEXMATCH($H82,""50( ?['fF]([oO]{2})?[tT]?)?( ?[eE][rR]{2}[oO][rR])""),HYPERLINK(""https://www.munzee.com/map/?sandbox=1&amp;lat=""&amp;$D82&amp;""&amp;lon=""&amp;$E82&amp;""&amp;name=""&amp;SUBSTITUTE($A82,""#"",""%23""),""SANDBOX""),HYPERLINK(""htt"&amp;"ps://www.munzee.com/m/""&amp;$H82&amp;""/deploys/0/type/""&amp;IFNA(VLOOKUP($G82,IMPORTRANGE(""https://docs.google.com/spreadsheets/d/1DliIGyDywdzxhd4svtjaewR0p9Y5UBTMNMQ2PcXsqss"",""type data!E2:F""),2,FALSE),$G82)&amp;""/"",$H82)),""""))"),"Tornado/3804")</f>
        <v>Tornado/3804</v>
      </c>
      <c r="L82" s="19" t="b">
        <v>1</v>
      </c>
      <c r="M82" s="12">
        <f t="shared" si="1"/>
        <v>2</v>
      </c>
      <c r="N82" s="13"/>
      <c r="O82" s="13"/>
      <c r="P82" s="15"/>
    </row>
    <row r="83">
      <c r="A83" s="15" t="s">
        <v>139</v>
      </c>
      <c r="B83" s="16">
        <v>6.0</v>
      </c>
      <c r="C83" s="16">
        <v>12.0</v>
      </c>
      <c r="D83" s="17">
        <v>44.865355931516</v>
      </c>
      <c r="E83" s="17">
        <v>-93.33462791577</v>
      </c>
      <c r="F83" s="16" t="s">
        <v>41</v>
      </c>
      <c r="G83" s="16" t="s">
        <v>17</v>
      </c>
      <c r="H83" s="18" t="s">
        <v>140</v>
      </c>
      <c r="I83" s="19">
        <v>1687.0</v>
      </c>
      <c r="J83" s="27"/>
      <c r="K83" s="11" t="str">
        <f>IFERROR(__xludf.DUMMYFUNCTION("IF(AND(REGEXMATCH($H83,""50( ?['fF]([oO]{2})?[tT]?)?( ?[eE][rR]{2}[oO][rR])"")=FALSE,$H83&lt;&gt;"""",$I83&lt;&gt;""""),HYPERLINK(""https://www.munzee.com/m/""&amp;$H83&amp;""/""&amp;$I83&amp;""/map/?lat=""&amp;$D83&amp;""&amp;lon=""&amp;$E83&amp;""&amp;type=""&amp;$G83&amp;""&amp;name=""&amp;SUBSTITUTE($A83,""#"",""%23"""&amp;"),$H83&amp;""/""&amp;$I83),IF($H83&lt;&gt;"""",IF(REGEXMATCH($H83,""50( ?['fF]([oO]{2})?[tT]?)?( ?[eE][rR]{2}[oO][rR])""),HYPERLINK(""https://www.munzee.com/map/?sandbox=1&amp;lat=""&amp;$D83&amp;""&amp;lon=""&amp;$E83&amp;""&amp;name=""&amp;SUBSTITUTE($A83,""#"",""%23""),""SANDBOX""),HYPERLINK(""htt"&amp;"ps://www.munzee.com/m/""&amp;$H83&amp;""/deploys/0/type/""&amp;IFNA(VLOOKUP($G83,IMPORTRANGE(""https://docs.google.com/spreadsheets/d/1DliIGyDywdzxhd4svtjaewR0p9Y5UBTMNMQ2PcXsqss"",""type data!E2:F""),2,FALSE),$G83)&amp;""/"",$H83)),""""))"),"ChandaBelle/1687")</f>
        <v>ChandaBelle/1687</v>
      </c>
      <c r="L83" s="19" t="b">
        <v>1</v>
      </c>
      <c r="M83" s="12">
        <f t="shared" si="1"/>
        <v>2</v>
      </c>
      <c r="N83" s="13"/>
      <c r="O83" s="13"/>
      <c r="P83" s="15"/>
    </row>
    <row r="84">
      <c r="A84" s="15" t="s">
        <v>141</v>
      </c>
      <c r="B84" s="16">
        <v>6.0</v>
      </c>
      <c r="C84" s="16">
        <v>13.0</v>
      </c>
      <c r="D84" s="17">
        <v>44.865355931336</v>
      </c>
      <c r="E84" s="17">
        <v>-93.334425126216</v>
      </c>
      <c r="F84" s="16" t="s">
        <v>41</v>
      </c>
      <c r="G84" s="16" t="s">
        <v>17</v>
      </c>
      <c r="H84" s="18" t="s">
        <v>142</v>
      </c>
      <c r="I84" s="19">
        <v>393.0</v>
      </c>
      <c r="J84" s="27"/>
      <c r="K84" s="11" t="str">
        <f>IFERROR(__xludf.DUMMYFUNCTION("IF(AND(REGEXMATCH($H84,""50( ?['fF]([oO]{2})?[tT]?)?( ?[eE][rR]{2}[oO][rR])"")=FALSE,$H84&lt;&gt;"""",$I84&lt;&gt;""""),HYPERLINK(""https://www.munzee.com/m/""&amp;$H84&amp;""/""&amp;$I84&amp;""/map/?lat=""&amp;$D84&amp;""&amp;lon=""&amp;$E84&amp;""&amp;type=""&amp;$G84&amp;""&amp;name=""&amp;SUBSTITUTE($A84,""#"",""%23"""&amp;"),$H84&amp;""/""&amp;$I84),IF($H84&lt;&gt;"""",IF(REGEXMATCH($H84,""50( ?['fF]([oO]{2})?[tT]?)?( ?[eE][rR]{2}[oO][rR])""),HYPERLINK(""https://www.munzee.com/map/?sandbox=1&amp;lat=""&amp;$D84&amp;""&amp;lon=""&amp;$E84&amp;""&amp;name=""&amp;SUBSTITUTE($A84,""#"",""%23""),""SANDBOX""),HYPERLINK(""htt"&amp;"ps://www.munzee.com/m/""&amp;$H84&amp;""/deploys/0/type/""&amp;IFNA(VLOOKUP($G84,IMPORTRANGE(""https://docs.google.com/spreadsheets/d/1DliIGyDywdzxhd4svtjaewR0p9Y5UBTMNMQ2PcXsqss"",""type data!E2:F""),2,FALSE),$G84)&amp;""/"",$H84)),""""))"),"Belita/393")</f>
        <v>Belita/393</v>
      </c>
      <c r="L84" s="19" t="b">
        <v>1</v>
      </c>
      <c r="M84" s="12">
        <f t="shared" si="1"/>
        <v>1</v>
      </c>
      <c r="N84" s="13"/>
      <c r="O84" s="13"/>
      <c r="P84" s="15"/>
    </row>
    <row r="85">
      <c r="A85" s="15" t="s">
        <v>143</v>
      </c>
      <c r="B85" s="16">
        <v>6.0</v>
      </c>
      <c r="C85" s="16">
        <v>14.0</v>
      </c>
      <c r="D85" s="17">
        <v>44.865355931157</v>
      </c>
      <c r="E85" s="17">
        <v>-93.334222336662</v>
      </c>
      <c r="F85" s="16" t="s">
        <v>41</v>
      </c>
      <c r="G85" s="16" t="s">
        <v>17</v>
      </c>
      <c r="H85" s="18" t="s">
        <v>144</v>
      </c>
      <c r="I85" s="19">
        <v>424.0</v>
      </c>
      <c r="J85" s="27"/>
      <c r="K85" s="11" t="str">
        <f>IFERROR(__xludf.DUMMYFUNCTION("IF(AND(REGEXMATCH($H85,""50( ?['fF]([oO]{2})?[tT]?)?( ?[eE][rR]{2}[oO][rR])"")=FALSE,$H85&lt;&gt;"""",$I85&lt;&gt;""""),HYPERLINK(""https://www.munzee.com/m/""&amp;$H85&amp;""/""&amp;$I85&amp;""/map/?lat=""&amp;$D85&amp;""&amp;lon=""&amp;$E85&amp;""&amp;type=""&amp;$G85&amp;""&amp;name=""&amp;SUBSTITUTE($A85,""#"",""%23"""&amp;"),$H85&amp;""/""&amp;$I85),IF($H85&lt;&gt;"""",IF(REGEXMATCH($H85,""50( ?['fF]([oO]{2})?[tT]?)?( ?[eE][rR]{2}[oO][rR])""),HYPERLINK(""https://www.munzee.com/map/?sandbox=1&amp;lat=""&amp;$D85&amp;""&amp;lon=""&amp;$E85&amp;""&amp;name=""&amp;SUBSTITUTE($A85,""#"",""%23""),""SANDBOX""),HYPERLINK(""htt"&amp;"ps://www.munzee.com/m/""&amp;$H85&amp;""/deploys/0/type/""&amp;IFNA(VLOOKUP($G85,IMPORTRANGE(""https://docs.google.com/spreadsheets/d/1DliIGyDywdzxhd4svtjaewR0p9Y5UBTMNMQ2PcXsqss"",""type data!E2:F""),2,FALSE),$G85)&amp;""/"",$H85)),""""))"),"Belinha/424")</f>
        <v>Belinha/424</v>
      </c>
      <c r="L85" s="19" t="b">
        <v>1</v>
      </c>
      <c r="M85" s="12">
        <f t="shared" si="1"/>
        <v>1</v>
      </c>
      <c r="N85" s="13"/>
      <c r="O85" s="13"/>
      <c r="P85" s="15"/>
    </row>
    <row r="86">
      <c r="A86" s="15" t="s">
        <v>145</v>
      </c>
      <c r="B86" s="16">
        <v>6.0</v>
      </c>
      <c r="C86" s="16">
        <v>15.0</v>
      </c>
      <c r="D86" s="17">
        <v>44.865355930977</v>
      </c>
      <c r="E86" s="17">
        <v>-93.334019547109</v>
      </c>
      <c r="F86" s="16" t="s">
        <v>41</v>
      </c>
      <c r="G86" s="16" t="s">
        <v>17</v>
      </c>
      <c r="H86" s="18" t="s">
        <v>21</v>
      </c>
      <c r="I86" s="19">
        <v>1158.0</v>
      </c>
      <c r="J86" s="20"/>
      <c r="K86" s="11" t="str">
        <f>IFERROR(__xludf.DUMMYFUNCTION("IF(AND(REGEXMATCH($H86,""50( ?['fF]([oO]{2})?[tT]?)?( ?[eE][rR]{2}[oO][rR])"")=FALSE,$H86&lt;&gt;"""",$I86&lt;&gt;""""),HYPERLINK(""https://www.munzee.com/m/""&amp;$H86&amp;""/""&amp;$I86&amp;""/map/?lat=""&amp;$D86&amp;""&amp;lon=""&amp;$E86&amp;""&amp;type=""&amp;$G86&amp;""&amp;name=""&amp;SUBSTITUTE($A86,""#"",""%23"""&amp;"),$H86&amp;""/""&amp;$I86),IF($H86&lt;&gt;"""",IF(REGEXMATCH($H86,""50( ?['fF]([oO]{2})?[tT]?)?( ?[eE][rR]{2}[oO][rR])""),HYPERLINK(""https://www.munzee.com/map/?sandbox=1&amp;lat=""&amp;$D86&amp;""&amp;lon=""&amp;$E86&amp;""&amp;name=""&amp;SUBSTITUTE($A86,""#"",""%23""),""SANDBOX""),HYPERLINK(""htt"&amp;"ps://www.munzee.com/m/""&amp;$H86&amp;""/deploys/0/type/""&amp;IFNA(VLOOKUP($G86,IMPORTRANGE(""https://docs.google.com/spreadsheets/d/1DliIGyDywdzxhd4svtjaewR0p9Y5UBTMNMQ2PcXsqss"",""type data!E2:F""),2,FALSE),$G86)&amp;""/"",$H86)),""""))"),"Westmarch/1158")</f>
        <v>Westmarch/1158</v>
      </c>
      <c r="L86" s="19" t="b">
        <v>1</v>
      </c>
      <c r="M86" s="12">
        <f t="shared" si="1"/>
        <v>12</v>
      </c>
      <c r="N86" s="13"/>
      <c r="O86" s="13"/>
      <c r="P86" s="15"/>
    </row>
    <row r="87">
      <c r="A87" s="15" t="s">
        <v>146</v>
      </c>
      <c r="B87" s="16">
        <v>6.0</v>
      </c>
      <c r="C87" s="16">
        <v>16.0</v>
      </c>
      <c r="D87" s="17">
        <v>44.865355930798</v>
      </c>
      <c r="E87" s="17">
        <v>-93.333816757555</v>
      </c>
      <c r="F87" s="16" t="s">
        <v>41</v>
      </c>
      <c r="G87" s="16" t="s">
        <v>17</v>
      </c>
      <c r="H87" s="18" t="s">
        <v>37</v>
      </c>
      <c r="I87" s="19">
        <v>6215.0</v>
      </c>
      <c r="J87" s="20"/>
      <c r="K87" s="11" t="str">
        <f>IFERROR(__xludf.DUMMYFUNCTION("IF(AND(REGEXMATCH($H87,""50( ?['fF]([oO]{2})?[tT]?)?( ?[eE][rR]{2}[oO][rR])"")=FALSE,$H87&lt;&gt;"""",$I87&lt;&gt;""""),HYPERLINK(""https://www.munzee.com/m/""&amp;$H87&amp;""/""&amp;$I87&amp;""/map/?lat=""&amp;$D87&amp;""&amp;lon=""&amp;$E87&amp;""&amp;type=""&amp;$G87&amp;""&amp;name=""&amp;SUBSTITUTE($A87,""#"",""%23"""&amp;"),$H87&amp;""/""&amp;$I87),IF($H87&lt;&gt;"""",IF(REGEXMATCH($H87,""50( ?['fF]([oO]{2})?[tT]?)?( ?[eE][rR]{2}[oO][rR])""),HYPERLINK(""https://www.munzee.com/map/?sandbox=1&amp;lat=""&amp;$D87&amp;""&amp;lon=""&amp;$E87&amp;""&amp;name=""&amp;SUBSTITUTE($A87,""#"",""%23""),""SANDBOX""),HYPERLINK(""htt"&amp;"ps://www.munzee.com/m/""&amp;$H87&amp;""/deploys/0/type/""&amp;IFNA(VLOOKUP($G87,IMPORTRANGE(""https://docs.google.com/spreadsheets/d/1DliIGyDywdzxhd4svtjaewR0p9Y5UBTMNMQ2PcXsqss"",""type data!E2:F""),2,FALSE),$G87)&amp;""/"",$H87)),""""))"),"MrCB/6215")</f>
        <v>MrCB/6215</v>
      </c>
      <c r="L87" s="19" t="b">
        <v>1</v>
      </c>
      <c r="M87" s="12">
        <f t="shared" si="1"/>
        <v>2</v>
      </c>
      <c r="N87" s="13"/>
      <c r="O87" s="13"/>
      <c r="P87" s="15"/>
    </row>
    <row r="88">
      <c r="A88" s="15" t="s">
        <v>147</v>
      </c>
      <c r="B88" s="16">
        <v>6.0</v>
      </c>
      <c r="C88" s="16">
        <v>17.0</v>
      </c>
      <c r="D88" s="17">
        <v>44.865355930618</v>
      </c>
      <c r="E88" s="17">
        <v>-93.333613968001</v>
      </c>
      <c r="F88" s="16" t="s">
        <v>41</v>
      </c>
      <c r="G88" s="16" t="s">
        <v>17</v>
      </c>
      <c r="H88" s="18" t="s">
        <v>117</v>
      </c>
      <c r="I88" s="19">
        <v>1119.0</v>
      </c>
      <c r="J88" s="20"/>
      <c r="K88" s="11" t="str">
        <f>IFERROR(__xludf.DUMMYFUNCTION("IF(AND(REGEXMATCH($H88,""50( ?['fF]([oO]{2})?[tT]?)?( ?[eE][rR]{2}[oO][rR])"")=FALSE,$H88&lt;&gt;"""",$I88&lt;&gt;""""),HYPERLINK(""https://www.munzee.com/m/""&amp;$H88&amp;""/""&amp;$I88&amp;""/map/?lat=""&amp;$D88&amp;""&amp;lon=""&amp;$E88&amp;""&amp;type=""&amp;$G88&amp;""&amp;name=""&amp;SUBSTITUTE($A88,""#"",""%23"""&amp;"),$H88&amp;""/""&amp;$I88),IF($H88&lt;&gt;"""",IF(REGEXMATCH($H88,""50( ?['fF]([oO]{2})?[tT]?)?( ?[eE][rR]{2}[oO][rR])""),HYPERLINK(""https://www.munzee.com/map/?sandbox=1&amp;lat=""&amp;$D88&amp;""&amp;lon=""&amp;$E88&amp;""&amp;name=""&amp;SUBSTITUTE($A88,""#"",""%23""),""SANDBOX""),HYPERLINK(""htt"&amp;"ps://www.munzee.com/m/""&amp;$H88&amp;""/deploys/0/type/""&amp;IFNA(VLOOKUP($G88,IMPORTRANGE(""https://docs.google.com/spreadsheets/d/1DliIGyDywdzxhd4svtjaewR0p9Y5UBTMNMQ2PcXsqss"",""type data!E2:F""),2,FALSE),$G88)&amp;""/"",$H88)),""""))"),"Andremelb/1119")</f>
        <v>Andremelb/1119</v>
      </c>
      <c r="L88" s="19" t="b">
        <v>1</v>
      </c>
      <c r="M88" s="12">
        <f t="shared" si="1"/>
        <v>5</v>
      </c>
      <c r="N88" s="13"/>
      <c r="O88" s="13"/>
      <c r="P88" s="15"/>
    </row>
    <row r="89">
      <c r="A89" s="15" t="s">
        <v>148</v>
      </c>
      <c r="B89" s="16">
        <v>6.0</v>
      </c>
      <c r="C89" s="16">
        <v>18.0</v>
      </c>
      <c r="D89" s="17">
        <v>44.865355930439</v>
      </c>
      <c r="E89" s="17">
        <v>-93.333411178447</v>
      </c>
      <c r="F89" s="16" t="s">
        <v>41</v>
      </c>
      <c r="G89" s="16" t="s">
        <v>17</v>
      </c>
      <c r="H89" s="18" t="s">
        <v>140</v>
      </c>
      <c r="I89" s="19">
        <v>1686.0</v>
      </c>
      <c r="J89" s="27"/>
      <c r="K89" s="11" t="str">
        <f>IFERROR(__xludf.DUMMYFUNCTION("IF(AND(REGEXMATCH($H89,""50( ?['fF]([oO]{2})?[tT]?)?( ?[eE][rR]{2}[oO][rR])"")=FALSE,$H89&lt;&gt;"""",$I89&lt;&gt;""""),HYPERLINK(""https://www.munzee.com/m/""&amp;$H89&amp;""/""&amp;$I89&amp;""/map/?lat=""&amp;$D89&amp;""&amp;lon=""&amp;$E89&amp;""&amp;type=""&amp;$G89&amp;""&amp;name=""&amp;SUBSTITUTE($A89,""#"",""%23"""&amp;"),$H89&amp;""/""&amp;$I89),IF($H89&lt;&gt;"""",IF(REGEXMATCH($H89,""50( ?['fF]([oO]{2})?[tT]?)?( ?[eE][rR]{2}[oO][rR])""),HYPERLINK(""https://www.munzee.com/map/?sandbox=1&amp;lat=""&amp;$D89&amp;""&amp;lon=""&amp;$E89&amp;""&amp;name=""&amp;SUBSTITUTE($A89,""#"",""%23""),""SANDBOX""),HYPERLINK(""htt"&amp;"ps://www.munzee.com/m/""&amp;$H89&amp;""/deploys/0/type/""&amp;IFNA(VLOOKUP($G89,IMPORTRANGE(""https://docs.google.com/spreadsheets/d/1DliIGyDywdzxhd4svtjaewR0p9Y5UBTMNMQ2PcXsqss"",""type data!E2:F""),2,FALSE),$G89)&amp;""/"",$H89)),""""))"),"ChandaBelle/1686")</f>
        <v>ChandaBelle/1686</v>
      </c>
      <c r="L89" s="19" t="b">
        <v>1</v>
      </c>
      <c r="M89" s="12">
        <f t="shared" si="1"/>
        <v>2</v>
      </c>
      <c r="N89" s="13"/>
      <c r="O89" s="13"/>
      <c r="P89" s="29"/>
    </row>
    <row r="90">
      <c r="A90" s="15" t="s">
        <v>149</v>
      </c>
      <c r="B90" s="16">
        <v>6.0</v>
      </c>
      <c r="C90" s="16">
        <v>19.0</v>
      </c>
      <c r="D90" s="17">
        <v>44.865355930259</v>
      </c>
      <c r="E90" s="17">
        <v>-93.333208388893</v>
      </c>
      <c r="F90" s="16" t="s">
        <v>41</v>
      </c>
      <c r="G90" s="16" t="s">
        <v>17</v>
      </c>
      <c r="H90" s="18" t="s">
        <v>79</v>
      </c>
      <c r="I90" s="19">
        <v>7429.0</v>
      </c>
      <c r="J90" s="20"/>
      <c r="K90" s="11" t="str">
        <f>IFERROR(__xludf.DUMMYFUNCTION("IF(AND(REGEXMATCH($H90,""50( ?['fF]([oO]{2})?[tT]?)?( ?[eE][rR]{2}[oO][rR])"")=FALSE,$H90&lt;&gt;"""",$I90&lt;&gt;""""),HYPERLINK(""https://www.munzee.com/m/""&amp;$H90&amp;""/""&amp;$I90&amp;""/map/?lat=""&amp;$D90&amp;""&amp;lon=""&amp;$E90&amp;""&amp;type=""&amp;$G90&amp;""&amp;name=""&amp;SUBSTITUTE($A90,""#"",""%23"""&amp;"),$H90&amp;""/""&amp;$I90),IF($H90&lt;&gt;"""",IF(REGEXMATCH($H90,""50( ?['fF]([oO]{2})?[tT]?)?( ?[eE][rR]{2}[oO][rR])""),HYPERLINK(""https://www.munzee.com/map/?sandbox=1&amp;lat=""&amp;$D90&amp;""&amp;lon=""&amp;$E90&amp;""&amp;name=""&amp;SUBSTITUTE($A90,""#"",""%23""),""SANDBOX""),HYPERLINK(""htt"&amp;"ps://www.munzee.com/m/""&amp;$H90&amp;""/deploys/0/type/""&amp;IFNA(VLOOKUP($G90,IMPORTRANGE(""https://docs.google.com/spreadsheets/d/1DliIGyDywdzxhd4svtjaewR0p9Y5UBTMNMQ2PcXsqss"",""type data!E2:F""),2,FALSE),$G90)&amp;""/"",$H90)),""""))"),"geomatrix/7429")</f>
        <v>geomatrix/7429</v>
      </c>
      <c r="L90" s="19" t="b">
        <v>1</v>
      </c>
      <c r="M90" s="12">
        <f t="shared" si="1"/>
        <v>3</v>
      </c>
      <c r="N90" s="13"/>
      <c r="O90" s="13"/>
      <c r="P90" s="15"/>
    </row>
    <row r="91">
      <c r="A91" s="15" t="s">
        <v>150</v>
      </c>
      <c r="B91" s="16">
        <v>6.0</v>
      </c>
      <c r="C91" s="16">
        <v>20.0</v>
      </c>
      <c r="D91" s="17">
        <v>44.86535593008</v>
      </c>
      <c r="E91" s="17">
        <v>-93.33300559934</v>
      </c>
      <c r="F91" s="16" t="s">
        <v>41</v>
      </c>
      <c r="G91" s="16" t="s">
        <v>17</v>
      </c>
      <c r="H91" s="18" t="s">
        <v>151</v>
      </c>
      <c r="I91" s="19">
        <v>1881.0</v>
      </c>
      <c r="J91" s="20"/>
      <c r="K91" s="11" t="str">
        <f>IFERROR(__xludf.DUMMYFUNCTION("IF(AND(REGEXMATCH($H91,""50( ?['fF]([oO]{2})?[tT]?)?( ?[eE][rR]{2}[oO][rR])"")=FALSE,$H91&lt;&gt;"""",$I91&lt;&gt;""""),HYPERLINK(""https://www.munzee.com/m/""&amp;$H91&amp;""/""&amp;$I91&amp;""/map/?lat=""&amp;$D91&amp;""&amp;lon=""&amp;$E91&amp;""&amp;type=""&amp;$G91&amp;""&amp;name=""&amp;SUBSTITUTE($A91,""#"",""%23"""&amp;"),$H91&amp;""/""&amp;$I91),IF($H91&lt;&gt;"""",IF(REGEXMATCH($H91,""50( ?['fF]([oO]{2})?[tT]?)?( ?[eE][rR]{2}[oO][rR])""),HYPERLINK(""https://www.munzee.com/map/?sandbox=1&amp;lat=""&amp;$D91&amp;""&amp;lon=""&amp;$E91&amp;""&amp;name=""&amp;SUBSTITUTE($A91,""#"",""%23""),""SANDBOX""),HYPERLINK(""htt"&amp;"ps://www.munzee.com/m/""&amp;$H91&amp;""/deploys/0/type/""&amp;IFNA(VLOOKUP($G91,IMPORTRANGE(""https://docs.google.com/spreadsheets/d/1DliIGyDywdzxhd4svtjaewR0p9Y5UBTMNMQ2PcXsqss"",""type data!E2:F""),2,FALSE),$G91)&amp;""/"",$H91)),""""))"),"Kyrandia/1881")</f>
        <v>Kyrandia/1881</v>
      </c>
      <c r="L91" s="19" t="b">
        <v>1</v>
      </c>
      <c r="M91" s="12">
        <f t="shared" si="1"/>
        <v>1</v>
      </c>
      <c r="N91" s="13"/>
      <c r="O91" s="13"/>
      <c r="P91" s="15"/>
    </row>
    <row r="92">
      <c r="A92" s="15" t="s">
        <v>152</v>
      </c>
      <c r="B92" s="16">
        <v>6.0</v>
      </c>
      <c r="C92" s="16">
        <v>21.0</v>
      </c>
      <c r="D92" s="17">
        <v>44.865355929901</v>
      </c>
      <c r="E92" s="17">
        <v>-93.332802809786</v>
      </c>
      <c r="F92" s="16" t="s">
        <v>41</v>
      </c>
      <c r="G92" s="16" t="s">
        <v>17</v>
      </c>
      <c r="H92" s="18" t="s">
        <v>117</v>
      </c>
      <c r="I92" s="19">
        <v>1126.0</v>
      </c>
      <c r="J92" s="21"/>
      <c r="K92" s="11" t="str">
        <f>IFERROR(__xludf.DUMMYFUNCTION("IF(AND(REGEXMATCH($H92,""50( ?['fF]([oO]{2})?[tT]?)?( ?[eE][rR]{2}[oO][rR])"")=FALSE,$H92&lt;&gt;"""",$I92&lt;&gt;""""),HYPERLINK(""https://www.munzee.com/m/""&amp;$H92&amp;""/""&amp;$I92&amp;""/map/?lat=""&amp;$D92&amp;""&amp;lon=""&amp;$E92&amp;""&amp;type=""&amp;$G92&amp;""&amp;name=""&amp;SUBSTITUTE($A92,""#"",""%23"""&amp;"),$H92&amp;""/""&amp;$I92),IF($H92&lt;&gt;"""",IF(REGEXMATCH($H92,""50( ?['fF]([oO]{2})?[tT]?)?( ?[eE][rR]{2}[oO][rR])""),HYPERLINK(""https://www.munzee.com/map/?sandbox=1&amp;lat=""&amp;$D92&amp;""&amp;lon=""&amp;$E92&amp;""&amp;name=""&amp;SUBSTITUTE($A92,""#"",""%23""),""SANDBOX""),HYPERLINK(""htt"&amp;"ps://www.munzee.com/m/""&amp;$H92&amp;""/deploys/0/type/""&amp;IFNA(VLOOKUP($G92,IMPORTRANGE(""https://docs.google.com/spreadsheets/d/1DliIGyDywdzxhd4svtjaewR0p9Y5UBTMNMQ2PcXsqss"",""type data!E2:F""),2,FALSE),$G92)&amp;""/"",$H92)),""""))"),"Andremelb/1126")</f>
        <v>Andremelb/1126</v>
      </c>
      <c r="L92" s="19" t="b">
        <v>1</v>
      </c>
      <c r="M92" s="12">
        <f t="shared" si="1"/>
        <v>5</v>
      </c>
      <c r="N92" s="13"/>
      <c r="O92" s="13"/>
      <c r="P92" s="29"/>
    </row>
    <row r="93">
      <c r="A93" s="15" t="s">
        <v>153</v>
      </c>
      <c r="B93" s="16">
        <v>6.0</v>
      </c>
      <c r="C93" s="16">
        <v>22.0</v>
      </c>
      <c r="D93" s="17">
        <v>44.865355929721</v>
      </c>
      <c r="E93" s="17">
        <v>-93.332600020232</v>
      </c>
      <c r="F93" s="16" t="s">
        <v>41</v>
      </c>
      <c r="G93" s="16" t="s">
        <v>17</v>
      </c>
      <c r="H93" s="18" t="s">
        <v>154</v>
      </c>
      <c r="I93" s="19">
        <v>7680.0</v>
      </c>
      <c r="J93" s="20"/>
      <c r="K93" s="11" t="str">
        <f>IFERROR(__xludf.DUMMYFUNCTION("IF(AND(REGEXMATCH($H93,""50( ?['fF]([oO]{2})?[tT]?)?( ?[eE][rR]{2}[oO][rR])"")=FALSE,$H93&lt;&gt;"""",$I93&lt;&gt;""""),HYPERLINK(""https://www.munzee.com/m/""&amp;$H93&amp;""/""&amp;$I93&amp;""/map/?lat=""&amp;$D93&amp;""&amp;lon=""&amp;$E93&amp;""&amp;type=""&amp;$G93&amp;""&amp;name=""&amp;SUBSTITUTE($A93,""#"",""%23"""&amp;"),$H93&amp;""/""&amp;$I93),IF($H93&lt;&gt;"""",IF(REGEXMATCH($H93,""50( ?['fF]([oO]{2})?[tT]?)?( ?[eE][rR]{2}[oO][rR])""),HYPERLINK(""https://www.munzee.com/map/?sandbox=1&amp;lat=""&amp;$D93&amp;""&amp;lon=""&amp;$E93&amp;""&amp;name=""&amp;SUBSTITUTE($A93,""#"",""%23""),""SANDBOX""),HYPERLINK(""htt"&amp;"ps://www.munzee.com/m/""&amp;$H93&amp;""/deploys/0/type/""&amp;IFNA(VLOOKUP($G93,IMPORTRANGE(""https://docs.google.com/spreadsheets/d/1DliIGyDywdzxhd4svtjaewR0p9Y5UBTMNMQ2PcXsqss"",""type data!E2:F""),2,FALSE),$G93)&amp;""/"",$H93)),""""))"),"geomatrix /7680")</f>
        <v>geomatrix /7680</v>
      </c>
      <c r="L93" s="19" t="b">
        <v>1</v>
      </c>
      <c r="M93" s="12">
        <f t="shared" si="1"/>
        <v>5</v>
      </c>
      <c r="N93" s="13"/>
      <c r="O93" s="13"/>
      <c r="P93" s="29"/>
    </row>
    <row r="94">
      <c r="A94" s="15" t="s">
        <v>155</v>
      </c>
      <c r="B94" s="16">
        <v>6.0</v>
      </c>
      <c r="C94" s="16">
        <v>23.0</v>
      </c>
      <c r="D94" s="17">
        <v>44.865355929542</v>
      </c>
      <c r="E94" s="17">
        <v>-93.332397230678</v>
      </c>
      <c r="F94" s="16" t="s">
        <v>16</v>
      </c>
      <c r="G94" s="16" t="s">
        <v>17</v>
      </c>
      <c r="H94" s="18" t="s">
        <v>58</v>
      </c>
      <c r="I94" s="19">
        <v>663.0</v>
      </c>
      <c r="J94" s="20"/>
      <c r="K94" s="11" t="str">
        <f>IFERROR(__xludf.DUMMYFUNCTION("IF(AND(REGEXMATCH($H94,""50( ?['fF]([oO]{2})?[tT]?)?( ?[eE][rR]{2}[oO][rR])"")=FALSE,$H94&lt;&gt;"""",$I94&lt;&gt;""""),HYPERLINK(""https://www.munzee.com/m/""&amp;$H94&amp;""/""&amp;$I94&amp;""/map/?lat=""&amp;$D94&amp;""&amp;lon=""&amp;$E94&amp;""&amp;type=""&amp;$G94&amp;""&amp;name=""&amp;SUBSTITUTE($A94,""#"",""%23"""&amp;"),$H94&amp;""/""&amp;$I94),IF($H94&lt;&gt;"""",IF(REGEXMATCH($H94,""50( ?['fF]([oO]{2})?[tT]?)?( ?[eE][rR]{2}[oO][rR])""),HYPERLINK(""https://www.munzee.com/map/?sandbox=1&amp;lat=""&amp;$D94&amp;""&amp;lon=""&amp;$E94&amp;""&amp;name=""&amp;SUBSTITUTE($A94,""#"",""%23""),""SANDBOX""),HYPERLINK(""htt"&amp;"ps://www.munzee.com/m/""&amp;$H94&amp;""/deploys/0/type/""&amp;IFNA(VLOOKUP($G94,IMPORTRANGE(""https://docs.google.com/spreadsheets/d/1DliIGyDywdzxhd4svtjaewR0p9Y5UBTMNMQ2PcXsqss"",""type data!E2:F""),2,FALSE),$G94)&amp;""/"",$H94)),""""))"),"cdwilliams1/663")</f>
        <v>cdwilliams1/663</v>
      </c>
      <c r="L94" s="19" t="b">
        <v>1</v>
      </c>
      <c r="M94" s="12">
        <f t="shared" si="1"/>
        <v>10</v>
      </c>
      <c r="N94" s="13"/>
      <c r="O94" s="13"/>
      <c r="P94" s="15"/>
    </row>
    <row r="95">
      <c r="A95" s="15" t="s">
        <v>156</v>
      </c>
      <c r="B95" s="16">
        <v>7.0</v>
      </c>
      <c r="C95" s="16">
        <v>6.0</v>
      </c>
      <c r="D95" s="17">
        <v>44.865212202147</v>
      </c>
      <c r="E95" s="17">
        <v>-93.335844663726</v>
      </c>
      <c r="F95" s="16" t="s">
        <v>16</v>
      </c>
      <c r="G95" s="16" t="s">
        <v>17</v>
      </c>
      <c r="H95" s="18" t="s">
        <v>14</v>
      </c>
      <c r="I95" s="19">
        <v>1992.0</v>
      </c>
      <c r="J95" s="20"/>
      <c r="K95" s="11" t="str">
        <f>IFERROR(__xludf.DUMMYFUNCTION("IF(AND(REGEXMATCH($H95,""50( ?['fF]([oO]{2})?[tT]?)?( ?[eE][rR]{2}[oO][rR])"")=FALSE,$H95&lt;&gt;"""",$I95&lt;&gt;""""),HYPERLINK(""https://www.munzee.com/m/""&amp;$H95&amp;""/""&amp;$I95&amp;""/map/?lat=""&amp;$D95&amp;""&amp;lon=""&amp;$E95&amp;""&amp;type=""&amp;$G95&amp;""&amp;name=""&amp;SUBSTITUTE($A95,""#"",""%23"""&amp;"),$H95&amp;""/""&amp;$I95),IF($H95&lt;&gt;"""",IF(REGEXMATCH($H95,""50( ?['fF]([oO]{2})?[tT]?)?( ?[eE][rR]{2}[oO][rR])""),HYPERLINK(""https://www.munzee.com/map/?sandbox=1&amp;lat=""&amp;$D95&amp;""&amp;lon=""&amp;$E95&amp;""&amp;name=""&amp;SUBSTITUTE($A95,""#"",""%23""),""SANDBOX""),HYPERLINK(""htt"&amp;"ps://www.munzee.com/m/""&amp;$H95&amp;""/deploys/0/type/""&amp;IFNA(VLOOKUP($G95,IMPORTRANGE(""https://docs.google.com/spreadsheets/d/1DliIGyDywdzxhd4svtjaewR0p9Y5UBTMNMQ2PcXsqss"",""type data!E2:F""),2,FALSE),$G95)&amp;""/"",$H95)),""""))"),"JABIE28/1992")</f>
        <v>JABIE28/1992</v>
      </c>
      <c r="L95" s="19" t="b">
        <v>1</v>
      </c>
      <c r="M95" s="12">
        <f t="shared" si="1"/>
        <v>85</v>
      </c>
      <c r="N95" s="13"/>
      <c r="O95" s="13"/>
      <c r="P95" s="15"/>
    </row>
    <row r="96">
      <c r="A96" s="15" t="s">
        <v>157</v>
      </c>
      <c r="B96" s="16">
        <v>7.0</v>
      </c>
      <c r="C96" s="16">
        <v>7.0</v>
      </c>
      <c r="D96" s="17">
        <v>44.865212201967</v>
      </c>
      <c r="E96" s="17">
        <v>-93.335641874679</v>
      </c>
      <c r="F96" s="16" t="s">
        <v>41</v>
      </c>
      <c r="G96" s="16" t="s">
        <v>17</v>
      </c>
      <c r="H96" s="18" t="s">
        <v>21</v>
      </c>
      <c r="I96" s="19">
        <v>1141.0</v>
      </c>
      <c r="J96" s="20"/>
      <c r="K96" s="11" t="str">
        <f>IFERROR(__xludf.DUMMYFUNCTION("IF(AND(REGEXMATCH($H96,""50( ?['fF]([oO]{2})?[tT]?)?( ?[eE][rR]{2}[oO][rR])"")=FALSE,$H96&lt;&gt;"""",$I96&lt;&gt;""""),HYPERLINK(""https://www.munzee.com/m/""&amp;$H96&amp;""/""&amp;$I96&amp;""/map/?lat=""&amp;$D96&amp;""&amp;lon=""&amp;$E96&amp;""&amp;type=""&amp;$G96&amp;""&amp;name=""&amp;SUBSTITUTE($A96,""#"",""%23"""&amp;"),$H96&amp;""/""&amp;$I96),IF($H96&lt;&gt;"""",IF(REGEXMATCH($H96,""50( ?['fF]([oO]{2})?[tT]?)?( ?[eE][rR]{2}[oO][rR])""),HYPERLINK(""https://www.munzee.com/map/?sandbox=1&amp;lat=""&amp;$D96&amp;""&amp;lon=""&amp;$E96&amp;""&amp;name=""&amp;SUBSTITUTE($A96,""#"",""%23""),""SANDBOX""),HYPERLINK(""htt"&amp;"ps://www.munzee.com/m/""&amp;$H96&amp;""/deploys/0/type/""&amp;IFNA(VLOOKUP($G96,IMPORTRANGE(""https://docs.google.com/spreadsheets/d/1DliIGyDywdzxhd4svtjaewR0p9Y5UBTMNMQ2PcXsqss"",""type data!E2:F""),2,FALSE),$G96)&amp;""/"",$H96)),""""))"),"Westmarch/1141")</f>
        <v>Westmarch/1141</v>
      </c>
      <c r="L96" s="19" t="b">
        <v>1</v>
      </c>
      <c r="M96" s="12">
        <f t="shared" si="1"/>
        <v>12</v>
      </c>
      <c r="N96" s="13"/>
      <c r="O96" s="13"/>
      <c r="P96" s="15"/>
    </row>
    <row r="97">
      <c r="A97" s="15" t="s">
        <v>158</v>
      </c>
      <c r="B97" s="16">
        <v>7.0</v>
      </c>
      <c r="C97" s="16">
        <v>8.0</v>
      </c>
      <c r="D97" s="17">
        <v>44.865212201788</v>
      </c>
      <c r="E97" s="17">
        <v>-93.335439085631</v>
      </c>
      <c r="F97" s="16" t="s">
        <v>41</v>
      </c>
      <c r="G97" s="16" t="s">
        <v>17</v>
      </c>
      <c r="H97" s="18" t="s">
        <v>159</v>
      </c>
      <c r="I97" s="19">
        <v>816.0</v>
      </c>
      <c r="J97" s="20"/>
      <c r="K97" s="11" t="str">
        <f>IFERROR(__xludf.DUMMYFUNCTION("IF(AND(REGEXMATCH($H97,""50( ?['fF]([oO]{2})?[tT]?)?( ?[eE][rR]{2}[oO][rR])"")=FALSE,$H97&lt;&gt;"""",$I97&lt;&gt;""""),HYPERLINK(""https://www.munzee.com/m/""&amp;$H97&amp;""/""&amp;$I97&amp;""/map/?lat=""&amp;$D97&amp;""&amp;lon=""&amp;$E97&amp;""&amp;type=""&amp;$G97&amp;""&amp;name=""&amp;SUBSTITUTE($A97,""#"",""%23"""&amp;"),$H97&amp;""/""&amp;$I97),IF($H97&lt;&gt;"""",IF(REGEXMATCH($H97,""50( ?['fF]([oO]{2})?[tT]?)?( ?[eE][rR]{2}[oO][rR])""),HYPERLINK(""https://www.munzee.com/map/?sandbox=1&amp;lat=""&amp;$D97&amp;""&amp;lon=""&amp;$E97&amp;""&amp;name=""&amp;SUBSTITUTE($A97,""#"",""%23""),""SANDBOX""),HYPERLINK(""htt"&amp;"ps://www.munzee.com/m/""&amp;$H97&amp;""/deploys/0/type/""&amp;IFNA(VLOOKUP($G97,IMPORTRANGE(""https://docs.google.com/spreadsheets/d/1DliIGyDywdzxhd4svtjaewR0p9Y5UBTMNMQ2PcXsqss"",""type data!E2:F""),2,FALSE),$G97)&amp;""/"",$H97)),""""))"),"leesap/816")</f>
        <v>leesap/816</v>
      </c>
      <c r="L97" s="19" t="b">
        <v>1</v>
      </c>
      <c r="M97" s="12">
        <f t="shared" si="1"/>
        <v>3</v>
      </c>
      <c r="N97" s="13"/>
      <c r="O97" s="13"/>
      <c r="P97" s="15"/>
    </row>
    <row r="98">
      <c r="A98" s="15" t="s">
        <v>160</v>
      </c>
      <c r="B98" s="16">
        <v>7.0</v>
      </c>
      <c r="C98" s="16">
        <v>9.0</v>
      </c>
      <c r="D98" s="17">
        <v>44.865212201608</v>
      </c>
      <c r="E98" s="17">
        <v>-93.335236296584</v>
      </c>
      <c r="F98" s="16" t="s">
        <v>41</v>
      </c>
      <c r="G98" s="16" t="s">
        <v>17</v>
      </c>
      <c r="H98" s="18" t="s">
        <v>14</v>
      </c>
      <c r="I98" s="19">
        <v>1989.0</v>
      </c>
      <c r="J98" s="20"/>
      <c r="K98" s="11" t="str">
        <f>IFERROR(__xludf.DUMMYFUNCTION("IF(AND(REGEXMATCH($H98,""50( ?['fF]([oO]{2})?[tT]?)?( ?[eE][rR]{2}[oO][rR])"")=FALSE,$H98&lt;&gt;"""",$I98&lt;&gt;""""),HYPERLINK(""https://www.munzee.com/m/""&amp;$H98&amp;""/""&amp;$I98&amp;""/map/?lat=""&amp;$D98&amp;""&amp;lon=""&amp;$E98&amp;""&amp;type=""&amp;$G98&amp;""&amp;name=""&amp;SUBSTITUTE($A98,""#"",""%23"""&amp;"),$H98&amp;""/""&amp;$I98),IF($H98&lt;&gt;"""",IF(REGEXMATCH($H98,""50( ?['fF]([oO]{2})?[tT]?)?( ?[eE][rR]{2}[oO][rR])""),HYPERLINK(""https://www.munzee.com/map/?sandbox=1&amp;lat=""&amp;$D98&amp;""&amp;lon=""&amp;$E98&amp;""&amp;name=""&amp;SUBSTITUTE($A98,""#"",""%23""),""SANDBOX""),HYPERLINK(""htt"&amp;"ps://www.munzee.com/m/""&amp;$H98&amp;""/deploys/0/type/""&amp;IFNA(VLOOKUP($G98,IMPORTRANGE(""https://docs.google.com/spreadsheets/d/1DliIGyDywdzxhd4svtjaewR0p9Y5UBTMNMQ2PcXsqss"",""type data!E2:F""),2,FALSE),$G98)&amp;""/"",$H98)),""""))"),"JABIE28/1989")</f>
        <v>JABIE28/1989</v>
      </c>
      <c r="L98" s="19" t="b">
        <v>1</v>
      </c>
      <c r="M98" s="12">
        <f t="shared" si="1"/>
        <v>85</v>
      </c>
      <c r="N98" s="13"/>
      <c r="O98" s="13"/>
      <c r="P98" s="29"/>
    </row>
    <row r="99">
      <c r="A99" s="15" t="s">
        <v>161</v>
      </c>
      <c r="B99" s="16">
        <v>7.0</v>
      </c>
      <c r="C99" s="16">
        <v>10.0</v>
      </c>
      <c r="D99" s="17">
        <v>44.865212201429</v>
      </c>
      <c r="E99" s="17">
        <v>-93.335033507536</v>
      </c>
      <c r="F99" s="16" t="s">
        <v>41</v>
      </c>
      <c r="G99" s="16" t="s">
        <v>17</v>
      </c>
      <c r="H99" s="18" t="s">
        <v>162</v>
      </c>
      <c r="I99" s="19">
        <v>3417.0</v>
      </c>
      <c r="J99" s="20"/>
      <c r="K99" s="11" t="str">
        <f>IFERROR(__xludf.DUMMYFUNCTION("IF(AND(REGEXMATCH($H99,""50( ?['fF]([oO]{2})?[tT]?)?( ?[eE][rR]{2}[oO][rR])"")=FALSE,$H99&lt;&gt;"""",$I99&lt;&gt;""""),HYPERLINK(""https://www.munzee.com/m/""&amp;$H99&amp;""/""&amp;$I99&amp;""/map/?lat=""&amp;$D99&amp;""&amp;lon=""&amp;$E99&amp;""&amp;type=""&amp;$G99&amp;""&amp;name=""&amp;SUBSTITUTE($A99,""#"",""%23"""&amp;"),$H99&amp;""/""&amp;$I99),IF($H99&lt;&gt;"""",IF(REGEXMATCH($H99,""50( ?['fF]([oO]{2})?[tT]?)?( ?[eE][rR]{2}[oO][rR])""),HYPERLINK(""https://www.munzee.com/map/?sandbox=1&amp;lat=""&amp;$D99&amp;""&amp;lon=""&amp;$E99&amp;""&amp;name=""&amp;SUBSTITUTE($A99,""#"",""%23""),""SANDBOX""),HYPERLINK(""htt"&amp;"ps://www.munzee.com/m/""&amp;$H99&amp;""/deploys/0/type/""&amp;IFNA(VLOOKUP($G99,IMPORTRANGE(""https://docs.google.com/spreadsheets/d/1DliIGyDywdzxhd4svtjaewR0p9Y5UBTMNMQ2PcXsqss"",""type data!E2:F""),2,FALSE),$G99)&amp;""/"",$H99)),""""))"),"CoffeeBender/3417")</f>
        <v>CoffeeBender/3417</v>
      </c>
      <c r="L99" s="19" t="b">
        <v>1</v>
      </c>
      <c r="M99" s="12">
        <f t="shared" si="1"/>
        <v>9</v>
      </c>
      <c r="N99" s="13"/>
      <c r="O99" s="13"/>
      <c r="P99" s="29"/>
    </row>
    <row r="100">
      <c r="A100" s="15" t="s">
        <v>163</v>
      </c>
      <c r="B100" s="16">
        <v>7.0</v>
      </c>
      <c r="C100" s="16">
        <v>11.0</v>
      </c>
      <c r="D100" s="17">
        <v>44.865212201249</v>
      </c>
      <c r="E100" s="17">
        <v>-93.334830718489</v>
      </c>
      <c r="F100" s="16" t="s">
        <v>164</v>
      </c>
      <c r="G100" s="16" t="s">
        <v>17</v>
      </c>
      <c r="H100" s="18" t="s">
        <v>21</v>
      </c>
      <c r="I100" s="19">
        <v>915.0</v>
      </c>
      <c r="J100" s="20"/>
      <c r="K100" s="11" t="str">
        <f>IFERROR(__xludf.DUMMYFUNCTION("IF(AND(REGEXMATCH($H100,""50( ?['fF]([oO]{2})?[tT]?)?( ?[eE][rR]{2}[oO][rR])"")=FALSE,$H100&lt;&gt;"""",$I100&lt;&gt;""""),HYPERLINK(""https://www.munzee.com/m/""&amp;$H100&amp;""/""&amp;$I100&amp;""/map/?lat=""&amp;$D100&amp;""&amp;lon=""&amp;$E100&amp;""&amp;type=""&amp;$G100&amp;""&amp;name=""&amp;SUBSTITUTE($A100,""#"&amp;""",""%23""),$H100&amp;""/""&amp;$I100),IF($H100&lt;&gt;"""",IF(REGEXMATCH($H100,""50( ?['fF]([oO]{2})?[tT]?)?( ?[eE][rR]{2}[oO][rR])""),HYPERLINK(""https://www.munzee.com/map/?sandbox=1&amp;lat=""&amp;$D100&amp;""&amp;lon=""&amp;$E100&amp;""&amp;name=""&amp;SUBSTITUTE($A100,""#"",""%23""),""SANDBOX"""&amp;"),HYPERLINK(""https://www.munzee.com/m/""&amp;$H100&amp;""/deploys/0/type/""&amp;IFNA(VLOOKUP($G100,IMPORTRANGE(""https://docs.google.com/spreadsheets/d/1DliIGyDywdzxhd4svtjaewR0p9Y5UBTMNMQ2PcXsqss"",""type data!E2:F""),2,FALSE),$G100)&amp;""/"",$H100)),""""))"),"Westmarch/915")</f>
        <v>Westmarch/915</v>
      </c>
      <c r="L100" s="19" t="b">
        <v>1</v>
      </c>
      <c r="M100" s="12">
        <f t="shared" si="1"/>
        <v>12</v>
      </c>
      <c r="N100" s="13"/>
      <c r="O100" s="13"/>
      <c r="P100" s="15"/>
    </row>
    <row r="101">
      <c r="A101" s="15" t="s">
        <v>165</v>
      </c>
      <c r="B101" s="16">
        <v>7.0</v>
      </c>
      <c r="C101" s="16">
        <v>12.0</v>
      </c>
      <c r="D101" s="17">
        <v>44.86521220107</v>
      </c>
      <c r="E101" s="17">
        <v>-93.334627929441</v>
      </c>
      <c r="F101" s="16" t="s">
        <v>164</v>
      </c>
      <c r="G101" s="16" t="s">
        <v>17</v>
      </c>
      <c r="H101" s="18" t="s">
        <v>14</v>
      </c>
      <c r="I101" s="19">
        <v>1988.0</v>
      </c>
      <c r="J101" s="27"/>
      <c r="K101" s="11" t="str">
        <f>IFERROR(__xludf.DUMMYFUNCTION("IF(AND(REGEXMATCH($H101,""50( ?['fF]([oO]{2})?[tT]?)?( ?[eE][rR]{2}[oO][rR])"")=FALSE,$H101&lt;&gt;"""",$I101&lt;&gt;""""),HYPERLINK(""https://www.munzee.com/m/""&amp;$H101&amp;""/""&amp;$I101&amp;""/map/?lat=""&amp;$D101&amp;""&amp;lon=""&amp;$E101&amp;""&amp;type=""&amp;$G101&amp;""&amp;name=""&amp;SUBSTITUTE($A101,""#"&amp;""",""%23""),$H101&amp;""/""&amp;$I101),IF($H101&lt;&gt;"""",IF(REGEXMATCH($H101,""50( ?['fF]([oO]{2})?[tT]?)?( ?[eE][rR]{2}[oO][rR])""),HYPERLINK(""https://www.munzee.com/map/?sandbox=1&amp;lat=""&amp;$D101&amp;""&amp;lon=""&amp;$E101&amp;""&amp;name=""&amp;SUBSTITUTE($A101,""#"",""%23""),""SANDBOX"""&amp;"),HYPERLINK(""https://www.munzee.com/m/""&amp;$H101&amp;""/deploys/0/type/""&amp;IFNA(VLOOKUP($G101,IMPORTRANGE(""https://docs.google.com/spreadsheets/d/1DliIGyDywdzxhd4svtjaewR0p9Y5UBTMNMQ2PcXsqss"",""type data!E2:F""),2,FALSE),$G101)&amp;""/"",$H101)),""""))"),"JABIE28/1988")</f>
        <v>JABIE28/1988</v>
      </c>
      <c r="L101" s="19" t="b">
        <v>1</v>
      </c>
      <c r="M101" s="12">
        <f t="shared" si="1"/>
        <v>85</v>
      </c>
      <c r="N101" s="13"/>
      <c r="O101" s="13"/>
      <c r="P101" s="29"/>
    </row>
    <row r="102">
      <c r="A102" s="15" t="s">
        <v>166</v>
      </c>
      <c r="B102" s="16">
        <v>7.0</v>
      </c>
      <c r="C102" s="16">
        <v>13.0</v>
      </c>
      <c r="D102" s="17">
        <v>44.865212200891</v>
      </c>
      <c r="E102" s="17">
        <v>-93.334425140394</v>
      </c>
      <c r="F102" s="16" t="s">
        <v>41</v>
      </c>
      <c r="G102" s="16" t="s">
        <v>17</v>
      </c>
      <c r="H102" s="18" t="s">
        <v>162</v>
      </c>
      <c r="I102" s="19">
        <v>3419.0</v>
      </c>
      <c r="J102" s="20"/>
      <c r="K102" s="11" t="str">
        <f>IFERROR(__xludf.DUMMYFUNCTION("IF(AND(REGEXMATCH($H102,""50( ?['fF]([oO]{2})?[tT]?)?( ?[eE][rR]{2}[oO][rR])"")=FALSE,$H102&lt;&gt;"""",$I102&lt;&gt;""""),HYPERLINK(""https://www.munzee.com/m/""&amp;$H102&amp;""/""&amp;$I102&amp;""/map/?lat=""&amp;$D102&amp;""&amp;lon=""&amp;$E102&amp;""&amp;type=""&amp;$G102&amp;""&amp;name=""&amp;SUBSTITUTE($A102,""#"&amp;""",""%23""),$H102&amp;""/""&amp;$I102),IF($H102&lt;&gt;"""",IF(REGEXMATCH($H102,""50( ?['fF]([oO]{2})?[tT]?)?( ?[eE][rR]{2}[oO][rR])""),HYPERLINK(""https://www.munzee.com/map/?sandbox=1&amp;lat=""&amp;$D102&amp;""&amp;lon=""&amp;$E102&amp;""&amp;name=""&amp;SUBSTITUTE($A102,""#"",""%23""),""SANDBOX"""&amp;"),HYPERLINK(""https://www.munzee.com/m/""&amp;$H102&amp;""/deploys/0/type/""&amp;IFNA(VLOOKUP($G102,IMPORTRANGE(""https://docs.google.com/spreadsheets/d/1DliIGyDywdzxhd4svtjaewR0p9Y5UBTMNMQ2PcXsqss"",""type data!E2:F""),2,FALSE),$G102)&amp;""/"",$H102)),""""))"),"CoffeeBender/3419")</f>
        <v>CoffeeBender/3419</v>
      </c>
      <c r="L102" s="19" t="b">
        <v>1</v>
      </c>
      <c r="M102" s="12">
        <f t="shared" si="1"/>
        <v>9</v>
      </c>
      <c r="N102" s="13"/>
      <c r="O102" s="13"/>
      <c r="P102" s="29"/>
    </row>
    <row r="103">
      <c r="A103" s="15" t="s">
        <v>167</v>
      </c>
      <c r="B103" s="16">
        <v>7.0</v>
      </c>
      <c r="C103" s="16">
        <v>14.0</v>
      </c>
      <c r="D103" s="17">
        <v>44.865212200711</v>
      </c>
      <c r="E103" s="17">
        <v>-93.334222351346</v>
      </c>
      <c r="F103" s="16" t="s">
        <v>41</v>
      </c>
      <c r="G103" s="16" t="s">
        <v>17</v>
      </c>
      <c r="H103" s="18" t="s">
        <v>95</v>
      </c>
      <c r="I103" s="19">
        <v>1665.0</v>
      </c>
      <c r="J103" s="21"/>
      <c r="K103" s="11" t="str">
        <f>IFERROR(__xludf.DUMMYFUNCTION("IF(AND(REGEXMATCH($H103,""50( ?['fF]([oO]{2})?[tT]?)?( ?[eE][rR]{2}[oO][rR])"")=FALSE,$H103&lt;&gt;"""",$I103&lt;&gt;""""),HYPERLINK(""https://www.munzee.com/m/""&amp;$H103&amp;""/""&amp;$I103&amp;""/map/?lat=""&amp;$D103&amp;""&amp;lon=""&amp;$E103&amp;""&amp;type=""&amp;$G103&amp;""&amp;name=""&amp;SUBSTITUTE($A103,""#"&amp;""",""%23""),$H103&amp;""/""&amp;$I103),IF($H103&lt;&gt;"""",IF(REGEXMATCH($H103,""50( ?['fF]([oO]{2})?[tT]?)?( ?[eE][rR]{2}[oO][rR])""),HYPERLINK(""https://www.munzee.com/map/?sandbox=1&amp;lat=""&amp;$D103&amp;""&amp;lon=""&amp;$E103&amp;""&amp;name=""&amp;SUBSTITUTE($A103,""#"",""%23""),""SANDBOX"""&amp;"),HYPERLINK(""https://www.munzee.com/m/""&amp;$H103&amp;""/deploys/0/type/""&amp;IFNA(VLOOKUP($G103,IMPORTRANGE(""https://docs.google.com/spreadsheets/d/1DliIGyDywdzxhd4svtjaewR0p9Y5UBTMNMQ2PcXsqss"",""type data!E2:F""),2,FALSE),$G103)&amp;""/"",$H103)),""""))"),"munzeepa/1665")</f>
        <v>munzeepa/1665</v>
      </c>
      <c r="L103" s="19" t="b">
        <v>1</v>
      </c>
      <c r="M103" s="12">
        <f t="shared" si="1"/>
        <v>20</v>
      </c>
      <c r="N103" s="13"/>
      <c r="O103" s="13"/>
      <c r="P103" s="29"/>
    </row>
    <row r="104">
      <c r="A104" s="15" t="s">
        <v>168</v>
      </c>
      <c r="B104" s="16">
        <v>7.0</v>
      </c>
      <c r="C104" s="16">
        <v>15.0</v>
      </c>
      <c r="D104" s="17">
        <v>44.865212200532</v>
      </c>
      <c r="E104" s="17">
        <v>-93.334019562299</v>
      </c>
      <c r="F104" s="16" t="s">
        <v>41</v>
      </c>
      <c r="G104" s="16" t="s">
        <v>17</v>
      </c>
      <c r="H104" s="18" t="s">
        <v>14</v>
      </c>
      <c r="I104" s="19">
        <v>1999.0</v>
      </c>
      <c r="J104" s="20"/>
      <c r="K104" s="11" t="str">
        <f>IFERROR(__xludf.DUMMYFUNCTION("IF(AND(REGEXMATCH($H104,""50( ?['fF]([oO]{2})?[tT]?)?( ?[eE][rR]{2}[oO][rR])"")=FALSE,$H104&lt;&gt;"""",$I104&lt;&gt;""""),HYPERLINK(""https://www.munzee.com/m/""&amp;$H104&amp;""/""&amp;$I104&amp;""/map/?lat=""&amp;$D104&amp;""&amp;lon=""&amp;$E104&amp;""&amp;type=""&amp;$G104&amp;""&amp;name=""&amp;SUBSTITUTE($A104,""#"&amp;""",""%23""),$H104&amp;""/""&amp;$I104),IF($H104&lt;&gt;"""",IF(REGEXMATCH($H104,""50( ?['fF]([oO]{2})?[tT]?)?( ?[eE][rR]{2}[oO][rR])""),HYPERLINK(""https://www.munzee.com/map/?sandbox=1&amp;lat=""&amp;$D104&amp;""&amp;lon=""&amp;$E104&amp;""&amp;name=""&amp;SUBSTITUTE($A104,""#"",""%23""),""SANDBOX"""&amp;"),HYPERLINK(""https://www.munzee.com/m/""&amp;$H104&amp;""/deploys/0/type/""&amp;IFNA(VLOOKUP($G104,IMPORTRANGE(""https://docs.google.com/spreadsheets/d/1DliIGyDywdzxhd4svtjaewR0p9Y5UBTMNMQ2PcXsqss"",""type data!E2:F""),2,FALSE),$G104)&amp;""/"",$H104)),""""))"),"JABIE28/1999")</f>
        <v>JABIE28/1999</v>
      </c>
      <c r="L104" s="19" t="b">
        <v>1</v>
      </c>
      <c r="M104" s="12">
        <f t="shared" si="1"/>
        <v>85</v>
      </c>
      <c r="N104" s="13"/>
      <c r="O104" s="13"/>
      <c r="P104" s="29"/>
    </row>
    <row r="105">
      <c r="A105" s="15" t="s">
        <v>169</v>
      </c>
      <c r="B105" s="16">
        <v>7.0</v>
      </c>
      <c r="C105" s="16">
        <v>16.0</v>
      </c>
      <c r="D105" s="17">
        <v>44.865212200352</v>
      </c>
      <c r="E105" s="17">
        <v>-93.333816773251</v>
      </c>
      <c r="F105" s="16" t="s">
        <v>41</v>
      </c>
      <c r="G105" s="16" t="s">
        <v>17</v>
      </c>
      <c r="H105" s="18" t="s">
        <v>99</v>
      </c>
      <c r="I105" s="19">
        <v>1656.0</v>
      </c>
      <c r="J105" s="21"/>
      <c r="K105" s="11" t="str">
        <f>IFERROR(__xludf.DUMMYFUNCTION("IF(AND(REGEXMATCH($H105,""50( ?['fF]([oO]{2})?[tT]?)?( ?[eE][rR]{2}[oO][rR])"")=FALSE,$H105&lt;&gt;"""",$I105&lt;&gt;""""),HYPERLINK(""https://www.munzee.com/m/""&amp;$H105&amp;""/""&amp;$I105&amp;""/map/?lat=""&amp;$D105&amp;""&amp;lon=""&amp;$E105&amp;""&amp;type=""&amp;$G105&amp;""&amp;name=""&amp;SUBSTITUTE($A105,""#"&amp;""",""%23""),$H105&amp;""/""&amp;$I105),IF($H105&lt;&gt;"""",IF(REGEXMATCH($H105,""50( ?['fF]([oO]{2})?[tT]?)?( ?[eE][rR]{2}[oO][rR])""),HYPERLINK(""https://www.munzee.com/map/?sandbox=1&amp;lat=""&amp;$D105&amp;""&amp;lon=""&amp;$E105&amp;""&amp;name=""&amp;SUBSTITUTE($A105,""#"",""%23""),""SANDBOX"""&amp;"),HYPERLINK(""https://www.munzee.com/m/""&amp;$H105&amp;""/deploys/0/type/""&amp;IFNA(VLOOKUP($G105,IMPORTRANGE(""https://docs.google.com/spreadsheets/d/1DliIGyDywdzxhd4svtjaewR0p9Y5UBTMNMQ2PcXsqss"",""type data!E2:F""),2,FALSE),$G105)&amp;""/"",$H105)),""""))"),"jsamundson/1656")</f>
        <v>jsamundson/1656</v>
      </c>
      <c r="L105" s="19" t="b">
        <v>1</v>
      </c>
      <c r="M105" s="12">
        <f t="shared" si="1"/>
        <v>20</v>
      </c>
      <c r="N105" s="13"/>
      <c r="O105" s="13"/>
      <c r="P105" s="29"/>
    </row>
    <row r="106">
      <c r="A106" s="15" t="s">
        <v>170</v>
      </c>
      <c r="B106" s="16">
        <v>7.0</v>
      </c>
      <c r="C106" s="16">
        <v>17.0</v>
      </c>
      <c r="D106" s="17">
        <v>44.865212200173</v>
      </c>
      <c r="E106" s="17">
        <v>-93.333613984204</v>
      </c>
      <c r="F106" s="16" t="s">
        <v>164</v>
      </c>
      <c r="G106" s="16" t="s">
        <v>17</v>
      </c>
      <c r="H106" s="18" t="s">
        <v>42</v>
      </c>
      <c r="I106" s="19">
        <v>2461.0</v>
      </c>
      <c r="J106" s="27"/>
      <c r="K106" s="11" t="str">
        <f>IFERROR(__xludf.DUMMYFUNCTION("IF(AND(REGEXMATCH($H106,""50( ?['fF]([oO]{2})?[tT]?)?( ?[eE][rR]{2}[oO][rR])"")=FALSE,$H106&lt;&gt;"""",$I106&lt;&gt;""""),HYPERLINK(""https://www.munzee.com/m/""&amp;$H106&amp;""/""&amp;$I106&amp;""/map/?lat=""&amp;$D106&amp;""&amp;lon=""&amp;$E106&amp;""&amp;type=""&amp;$G106&amp;""&amp;name=""&amp;SUBSTITUTE($A106,""#"&amp;""",""%23""),$H106&amp;""/""&amp;$I106),IF($H106&lt;&gt;"""",IF(REGEXMATCH($H106,""50( ?['fF]([oO]{2})?[tT]?)?( ?[eE][rR]{2}[oO][rR])""),HYPERLINK(""https://www.munzee.com/map/?sandbox=1&amp;lat=""&amp;$D106&amp;""&amp;lon=""&amp;$E106&amp;""&amp;name=""&amp;SUBSTITUTE($A106,""#"",""%23""),""SANDBOX"""&amp;"),HYPERLINK(""https://www.munzee.com/m/""&amp;$H106&amp;""/deploys/0/type/""&amp;IFNA(VLOOKUP($G106,IMPORTRANGE(""https://docs.google.com/spreadsheets/d/1DliIGyDywdzxhd4svtjaewR0p9Y5UBTMNMQ2PcXsqss"",""type data!E2:F""),2,FALSE),$G106)&amp;""/"",$H106)),""""))"),"snakelips/2461")</f>
        <v>snakelips/2461</v>
      </c>
      <c r="L106" s="19" t="b">
        <v>1</v>
      </c>
      <c r="M106" s="12">
        <f t="shared" si="1"/>
        <v>7</v>
      </c>
      <c r="N106" s="13"/>
      <c r="O106" s="13"/>
      <c r="P106" s="15"/>
    </row>
    <row r="107">
      <c r="A107" s="15" t="s">
        <v>171</v>
      </c>
      <c r="B107" s="16">
        <v>7.0</v>
      </c>
      <c r="C107" s="16">
        <v>18.0</v>
      </c>
      <c r="D107" s="17">
        <v>44.865212199993</v>
      </c>
      <c r="E107" s="17">
        <v>-93.333411195156</v>
      </c>
      <c r="F107" s="16" t="s">
        <v>164</v>
      </c>
      <c r="G107" s="16" t="s">
        <v>17</v>
      </c>
      <c r="H107" s="18" t="s">
        <v>14</v>
      </c>
      <c r="I107" s="19">
        <v>2000.0</v>
      </c>
      <c r="J107" s="20"/>
      <c r="K107" s="11" t="str">
        <f>IFERROR(__xludf.DUMMYFUNCTION("IF(AND(REGEXMATCH($H107,""50( ?['fF]([oO]{2})?[tT]?)?( ?[eE][rR]{2}[oO][rR])"")=FALSE,$H107&lt;&gt;"""",$I107&lt;&gt;""""),HYPERLINK(""https://www.munzee.com/m/""&amp;$H107&amp;""/""&amp;$I107&amp;""/map/?lat=""&amp;$D107&amp;""&amp;lon=""&amp;$E107&amp;""&amp;type=""&amp;$G107&amp;""&amp;name=""&amp;SUBSTITUTE($A107,""#"&amp;""",""%23""),$H107&amp;""/""&amp;$I107),IF($H107&lt;&gt;"""",IF(REGEXMATCH($H107,""50( ?['fF]([oO]{2})?[tT]?)?( ?[eE][rR]{2}[oO][rR])""),HYPERLINK(""https://www.munzee.com/map/?sandbox=1&amp;lat=""&amp;$D107&amp;""&amp;lon=""&amp;$E107&amp;""&amp;name=""&amp;SUBSTITUTE($A107,""#"",""%23""),""SANDBOX"""&amp;"),HYPERLINK(""https://www.munzee.com/m/""&amp;$H107&amp;""/deploys/0/type/""&amp;IFNA(VLOOKUP($G107,IMPORTRANGE(""https://docs.google.com/spreadsheets/d/1DliIGyDywdzxhd4svtjaewR0p9Y5UBTMNMQ2PcXsqss"",""type data!E2:F""),2,FALSE),$G107)&amp;""/"",$H107)),""""))"),"JABIE28/2000")</f>
        <v>JABIE28/2000</v>
      </c>
      <c r="L107" s="19" t="b">
        <v>1</v>
      </c>
      <c r="M107" s="12">
        <f t="shared" si="1"/>
        <v>85</v>
      </c>
      <c r="N107" s="13"/>
      <c r="O107" s="13"/>
      <c r="P107" s="29"/>
    </row>
    <row r="108">
      <c r="A108" s="15" t="s">
        <v>172</v>
      </c>
      <c r="B108" s="16">
        <v>7.0</v>
      </c>
      <c r="C108" s="16">
        <v>19.0</v>
      </c>
      <c r="D108" s="17">
        <v>44.865212199814</v>
      </c>
      <c r="E108" s="17">
        <v>-93.333208406109</v>
      </c>
      <c r="F108" s="16" t="s">
        <v>41</v>
      </c>
      <c r="G108" s="16" t="s">
        <v>17</v>
      </c>
      <c r="H108" s="18" t="s">
        <v>76</v>
      </c>
      <c r="I108" s="19">
        <v>2855.0</v>
      </c>
      <c r="J108" s="21"/>
      <c r="K108" s="11" t="str">
        <f>IFERROR(__xludf.DUMMYFUNCTION("IF(AND(REGEXMATCH($H108,""50( ?['fF]([oO]{2})?[tT]?)?( ?[eE][rR]{2}[oO][rR])"")=FALSE,$H108&lt;&gt;"""",$I108&lt;&gt;""""),HYPERLINK(""https://www.munzee.com/m/""&amp;$H108&amp;""/""&amp;$I108&amp;""/map/?lat=""&amp;$D108&amp;""&amp;lon=""&amp;$E108&amp;""&amp;type=""&amp;$G108&amp;""&amp;name=""&amp;SUBSTITUTE($A108,""#"&amp;""",""%23""),$H108&amp;""/""&amp;$I108),IF($H108&lt;&gt;"""",IF(REGEXMATCH($H108,""50( ?['fF]([oO]{2})?[tT]?)?( ?[eE][rR]{2}[oO][rR])""),HYPERLINK(""https://www.munzee.com/map/?sandbox=1&amp;lat=""&amp;$D108&amp;""&amp;lon=""&amp;$E108&amp;""&amp;name=""&amp;SUBSTITUTE($A108,""#"",""%23""),""SANDBOX"""&amp;"),HYPERLINK(""https://www.munzee.com/m/""&amp;$H108&amp;""/deploys/0/type/""&amp;IFNA(VLOOKUP($G108,IMPORTRANGE(""https://docs.google.com/spreadsheets/d/1DliIGyDywdzxhd4svtjaewR0p9Y5UBTMNMQ2PcXsqss"",""type data!E2:F""),2,FALSE),$G108)&amp;""/"",$H108)),""""))"),"valsey/2855")</f>
        <v>valsey/2855</v>
      </c>
      <c r="L108" s="19" t="b">
        <v>1</v>
      </c>
      <c r="M108" s="12">
        <f t="shared" si="1"/>
        <v>7</v>
      </c>
      <c r="N108" s="13"/>
      <c r="O108" s="13"/>
      <c r="P108" s="15"/>
    </row>
    <row r="109">
      <c r="A109" s="15" t="s">
        <v>173</v>
      </c>
      <c r="B109" s="16">
        <v>7.0</v>
      </c>
      <c r="C109" s="16">
        <v>20.0</v>
      </c>
      <c r="D109" s="17">
        <v>44.865212199635</v>
      </c>
      <c r="E109" s="17">
        <v>-93.333005617061</v>
      </c>
      <c r="F109" s="16" t="s">
        <v>41</v>
      </c>
      <c r="G109" s="16" t="s">
        <v>17</v>
      </c>
      <c r="H109" s="18" t="s">
        <v>174</v>
      </c>
      <c r="I109" s="19">
        <v>1823.0</v>
      </c>
      <c r="J109" s="27"/>
      <c r="K109" s="11" t="str">
        <f>IFERROR(__xludf.DUMMYFUNCTION("IF(AND(REGEXMATCH($H109,""50( ?['fF]([oO]{2})?[tT]?)?( ?[eE][rR]{2}[oO][rR])"")=FALSE,$H109&lt;&gt;"""",$I109&lt;&gt;""""),HYPERLINK(""https://www.munzee.com/m/""&amp;$H109&amp;""/""&amp;$I109&amp;""/map/?lat=""&amp;$D109&amp;""&amp;lon=""&amp;$E109&amp;""&amp;type=""&amp;$G109&amp;""&amp;name=""&amp;SUBSTITUTE($A109,""#"&amp;""",""%23""),$H109&amp;""/""&amp;$I109),IF($H109&lt;&gt;"""",IF(REGEXMATCH($H109,""50( ?['fF]([oO]{2})?[tT]?)?( ?[eE][rR]{2}[oO][rR])""),HYPERLINK(""https://www.munzee.com/map/?sandbox=1&amp;lat=""&amp;$D109&amp;""&amp;lon=""&amp;$E109&amp;""&amp;name=""&amp;SUBSTITUTE($A109,""#"",""%23""),""SANDBOX"""&amp;"),HYPERLINK(""https://www.munzee.com/m/""&amp;$H109&amp;""/deploys/0/type/""&amp;IFNA(VLOOKUP($G109,IMPORTRANGE(""https://docs.google.com/spreadsheets/d/1DliIGyDywdzxhd4svtjaewR0p9Y5UBTMNMQ2PcXsqss"",""type data!E2:F""),2,FALSE),$G109)&amp;""/"",$H109)),""""))"),"guido/1823")</f>
        <v>guido/1823</v>
      </c>
      <c r="L109" s="19" t="b">
        <v>1</v>
      </c>
      <c r="M109" s="12">
        <f t="shared" si="1"/>
        <v>4</v>
      </c>
      <c r="N109" s="13"/>
      <c r="O109" s="13"/>
      <c r="P109" s="15"/>
    </row>
    <row r="110">
      <c r="A110" s="15" t="s">
        <v>175</v>
      </c>
      <c r="B110" s="16">
        <v>7.0</v>
      </c>
      <c r="C110" s="16">
        <v>21.0</v>
      </c>
      <c r="D110" s="17">
        <v>44.865212199455</v>
      </c>
      <c r="E110" s="17">
        <v>-93.332802828014</v>
      </c>
      <c r="F110" s="16" t="s">
        <v>41</v>
      </c>
      <c r="G110" s="16" t="s">
        <v>17</v>
      </c>
      <c r="H110" s="18" t="s">
        <v>14</v>
      </c>
      <c r="I110" s="19">
        <v>788.0</v>
      </c>
      <c r="J110" s="20"/>
      <c r="K110" s="11" t="str">
        <f>IFERROR(__xludf.DUMMYFUNCTION("IF(AND(REGEXMATCH($H110,""50( ?['fF]([oO]{2})?[tT]?)?( ?[eE][rR]{2}[oO][rR])"")=FALSE,$H110&lt;&gt;"""",$I110&lt;&gt;""""),HYPERLINK(""https://www.munzee.com/m/""&amp;$H110&amp;""/""&amp;$I110&amp;""/map/?lat=""&amp;$D110&amp;""&amp;lon=""&amp;$E110&amp;""&amp;type=""&amp;$G110&amp;""&amp;name=""&amp;SUBSTITUTE($A110,""#"&amp;""",""%23""),$H110&amp;""/""&amp;$I110),IF($H110&lt;&gt;"""",IF(REGEXMATCH($H110,""50( ?['fF]([oO]{2})?[tT]?)?( ?[eE][rR]{2}[oO][rR])""),HYPERLINK(""https://www.munzee.com/map/?sandbox=1&amp;lat=""&amp;$D110&amp;""&amp;lon=""&amp;$E110&amp;""&amp;name=""&amp;SUBSTITUTE($A110,""#"",""%23""),""SANDBOX"""&amp;"),HYPERLINK(""https://www.munzee.com/m/""&amp;$H110&amp;""/deploys/0/type/""&amp;IFNA(VLOOKUP($G110,IMPORTRANGE(""https://docs.google.com/spreadsheets/d/1DliIGyDywdzxhd4svtjaewR0p9Y5UBTMNMQ2PcXsqss"",""type data!E2:F""),2,FALSE),$G110)&amp;""/"",$H110)),""""))"),"JABIE28/788")</f>
        <v>JABIE28/788</v>
      </c>
      <c r="L110" s="19" t="b">
        <v>1</v>
      </c>
      <c r="M110" s="12">
        <f t="shared" si="1"/>
        <v>85</v>
      </c>
      <c r="N110" s="13"/>
      <c r="O110" s="13"/>
      <c r="P110" s="29"/>
    </row>
    <row r="111">
      <c r="A111" s="15" t="s">
        <v>176</v>
      </c>
      <c r="B111" s="16">
        <v>7.0</v>
      </c>
      <c r="C111" s="16">
        <v>22.0</v>
      </c>
      <c r="D111" s="17">
        <v>44.865212199276</v>
      </c>
      <c r="E111" s="17">
        <v>-93.332600038966</v>
      </c>
      <c r="F111" s="16" t="s">
        <v>41</v>
      </c>
      <c r="G111" s="16" t="s">
        <v>17</v>
      </c>
      <c r="H111" s="18" t="s">
        <v>76</v>
      </c>
      <c r="I111" s="19">
        <v>2856.0</v>
      </c>
      <c r="J111" s="28"/>
      <c r="K111" s="11" t="str">
        <f>IFERROR(__xludf.DUMMYFUNCTION("IF(AND(REGEXMATCH($H111,""50( ?['fF]([oO]{2})?[tT]?)?( ?[eE][rR]{2}[oO][rR])"")=FALSE,$H111&lt;&gt;"""",$I111&lt;&gt;""""),HYPERLINK(""https://www.munzee.com/m/""&amp;$H111&amp;""/""&amp;$I111&amp;""/map/?lat=""&amp;$D111&amp;""&amp;lon=""&amp;$E111&amp;""&amp;type=""&amp;$G111&amp;""&amp;name=""&amp;SUBSTITUTE($A111,""#"&amp;""",""%23""),$H111&amp;""/""&amp;$I111),IF($H111&lt;&gt;"""",IF(REGEXMATCH($H111,""50( ?['fF]([oO]{2})?[tT]?)?( ?[eE][rR]{2}[oO][rR])""),HYPERLINK(""https://www.munzee.com/map/?sandbox=1&amp;lat=""&amp;$D111&amp;""&amp;lon=""&amp;$E111&amp;""&amp;name=""&amp;SUBSTITUTE($A111,""#"",""%23""),""SANDBOX"""&amp;"),HYPERLINK(""https://www.munzee.com/m/""&amp;$H111&amp;""/deploys/0/type/""&amp;IFNA(VLOOKUP($G111,IMPORTRANGE(""https://docs.google.com/spreadsheets/d/1DliIGyDywdzxhd4svtjaewR0p9Y5UBTMNMQ2PcXsqss"",""type data!E2:F""),2,FALSE),$G111)&amp;""/"",$H111)),""""))"),"valsey/2856")</f>
        <v>valsey/2856</v>
      </c>
      <c r="L111" s="19" t="b">
        <v>1</v>
      </c>
      <c r="M111" s="12">
        <f t="shared" si="1"/>
        <v>7</v>
      </c>
      <c r="N111" s="13"/>
      <c r="O111" s="13"/>
      <c r="P111" s="15"/>
    </row>
    <row r="112">
      <c r="A112" s="15" t="s">
        <v>177</v>
      </c>
      <c r="B112" s="16">
        <v>7.0</v>
      </c>
      <c r="C112" s="16">
        <v>23.0</v>
      </c>
      <c r="D112" s="17">
        <v>44.865212199096</v>
      </c>
      <c r="E112" s="17">
        <v>-93.332397249919</v>
      </c>
      <c r="F112" s="16" t="s">
        <v>16</v>
      </c>
      <c r="G112" s="16" t="s">
        <v>17</v>
      </c>
      <c r="H112" s="18" t="s">
        <v>178</v>
      </c>
      <c r="I112" s="19">
        <v>2148.0</v>
      </c>
      <c r="J112" s="20"/>
      <c r="K112" s="11" t="str">
        <f>IFERROR(__xludf.DUMMYFUNCTION("IF(AND(REGEXMATCH($H112,""50( ?['fF]([oO]{2})?[tT]?)?( ?[eE][rR]{2}[oO][rR])"")=FALSE,$H112&lt;&gt;"""",$I112&lt;&gt;""""),HYPERLINK(""https://www.munzee.com/m/""&amp;$H112&amp;""/""&amp;$I112&amp;""/map/?lat=""&amp;$D112&amp;""&amp;lon=""&amp;$E112&amp;""&amp;type=""&amp;$G112&amp;""&amp;name=""&amp;SUBSTITUTE($A112,""#"&amp;""",""%23""),$H112&amp;""/""&amp;$I112),IF($H112&lt;&gt;"""",IF(REGEXMATCH($H112,""50( ?['fF]([oO]{2})?[tT]?)?( ?[eE][rR]{2}[oO][rR])""),HYPERLINK(""https://www.munzee.com/map/?sandbox=1&amp;lat=""&amp;$D112&amp;""&amp;lon=""&amp;$E112&amp;""&amp;name=""&amp;SUBSTITUTE($A112,""#"",""%23""),""SANDBOX"""&amp;"),HYPERLINK(""https://www.munzee.com/m/""&amp;$H112&amp;""/deploys/0/type/""&amp;IFNA(VLOOKUP($G112,IMPORTRANGE(""https://docs.google.com/spreadsheets/d/1DliIGyDywdzxhd4svtjaewR0p9Y5UBTMNMQ2PcXsqss"",""type data!E2:F""),2,FALSE),$G112)&amp;""/"",$H112)),""""))"),"kelkavcvt/2148")</f>
        <v>kelkavcvt/2148</v>
      </c>
      <c r="L112" s="19" t="b">
        <v>1</v>
      </c>
      <c r="M112" s="12">
        <f t="shared" si="1"/>
        <v>1</v>
      </c>
      <c r="N112" s="13"/>
      <c r="O112" s="13"/>
      <c r="P112" s="15"/>
    </row>
    <row r="113">
      <c r="A113" s="15" t="s">
        <v>179</v>
      </c>
      <c r="B113" s="16">
        <v>8.0</v>
      </c>
      <c r="C113" s="16">
        <v>5.0</v>
      </c>
      <c r="D113" s="17">
        <v>44.865068471881</v>
      </c>
      <c r="E113" s="17">
        <v>-93.3360474629</v>
      </c>
      <c r="F113" s="16" t="s">
        <v>16</v>
      </c>
      <c r="G113" s="16" t="s">
        <v>17</v>
      </c>
      <c r="H113" s="18" t="s">
        <v>39</v>
      </c>
      <c r="I113" s="19">
        <v>8961.0</v>
      </c>
      <c r="J113" s="20"/>
      <c r="K113" s="11" t="str">
        <f>IFERROR(__xludf.DUMMYFUNCTION("IF(AND(REGEXMATCH($H113,""50( ?['fF]([oO]{2})?[tT]?)?( ?[eE][rR]{2}[oO][rR])"")=FALSE,$H113&lt;&gt;"""",$I113&lt;&gt;""""),HYPERLINK(""https://www.munzee.com/m/""&amp;$H113&amp;""/""&amp;$I113&amp;""/map/?lat=""&amp;$D113&amp;""&amp;lon=""&amp;$E113&amp;""&amp;type=""&amp;$G113&amp;""&amp;name=""&amp;SUBSTITUTE($A113,""#"&amp;""",""%23""),$H113&amp;""/""&amp;$I113),IF($H113&lt;&gt;"""",IF(REGEXMATCH($H113,""50( ?['fF]([oO]{2})?[tT]?)?( ?[eE][rR]{2}[oO][rR])""),HYPERLINK(""https://www.munzee.com/map/?sandbox=1&amp;lat=""&amp;$D113&amp;""&amp;lon=""&amp;$E113&amp;""&amp;name=""&amp;SUBSTITUTE($A113,""#"",""%23""),""SANDBOX"""&amp;"),HYPERLINK(""https://www.munzee.com/m/""&amp;$H113&amp;""/deploys/0/type/""&amp;IFNA(VLOOKUP($G113,IMPORTRANGE(""https://docs.google.com/spreadsheets/d/1DliIGyDywdzxhd4svtjaewR0p9Y5UBTMNMQ2PcXsqss"",""type data!E2:F""),2,FALSE),$G113)&amp;""/"",$H113)),""""))"),"danielle41101/8961")</f>
        <v>danielle41101/8961</v>
      </c>
      <c r="L113" s="19" t="b">
        <v>1</v>
      </c>
      <c r="M113" s="12">
        <f t="shared" si="1"/>
        <v>10</v>
      </c>
      <c r="N113" s="13"/>
      <c r="O113" s="13"/>
      <c r="P113" s="30"/>
    </row>
    <row r="114">
      <c r="A114" s="15" t="s">
        <v>180</v>
      </c>
      <c r="B114" s="16">
        <v>8.0</v>
      </c>
      <c r="C114" s="16">
        <v>6.0</v>
      </c>
      <c r="D114" s="17">
        <v>44.865068471701</v>
      </c>
      <c r="E114" s="17">
        <v>-93.335844674359</v>
      </c>
      <c r="F114" s="16" t="s">
        <v>41</v>
      </c>
      <c r="G114" s="16" t="s">
        <v>17</v>
      </c>
      <c r="H114" s="18" t="s">
        <v>181</v>
      </c>
      <c r="I114" s="19">
        <v>1553.0</v>
      </c>
      <c r="J114" s="20"/>
      <c r="K114" s="11" t="str">
        <f>IFERROR(__xludf.DUMMYFUNCTION("IF(AND(REGEXMATCH($H114,""50( ?['fF]([oO]{2})?[tT]?)?( ?[eE][rR]{2}[oO][rR])"")=FALSE,$H114&lt;&gt;"""",$I114&lt;&gt;""""),HYPERLINK(""https://www.munzee.com/m/""&amp;$H114&amp;""/""&amp;$I114&amp;""/map/?lat=""&amp;$D114&amp;""&amp;lon=""&amp;$E114&amp;""&amp;type=""&amp;$G114&amp;""&amp;name=""&amp;SUBSTITUTE($A114,""#"&amp;""",""%23""),$H114&amp;""/""&amp;$I114),IF($H114&lt;&gt;"""",IF(REGEXMATCH($H114,""50( ?['fF]([oO]{2})?[tT]?)?( ?[eE][rR]{2}[oO][rR])""),HYPERLINK(""https://www.munzee.com/map/?sandbox=1&amp;lat=""&amp;$D114&amp;""&amp;lon=""&amp;$E114&amp;""&amp;name=""&amp;SUBSTITUTE($A114,""#"",""%23""),""SANDBOX"""&amp;"),HYPERLINK(""https://www.munzee.com/m/""&amp;$H114&amp;""/deploys/0/type/""&amp;IFNA(VLOOKUP($G114,IMPORTRANGE(""https://docs.google.com/spreadsheets/d/1DliIGyDywdzxhd4svtjaewR0p9Y5UBTMNMQ2PcXsqss"",""type data!E2:F""),2,FALSE),$G114)&amp;""/"",$H114)),""""))"),"wheelybarrow/1553")</f>
        <v>wheelybarrow/1553</v>
      </c>
      <c r="L114" s="19" t="b">
        <v>1</v>
      </c>
      <c r="M114" s="12">
        <f t="shared" si="1"/>
        <v>1</v>
      </c>
      <c r="N114" s="13"/>
      <c r="O114" s="13"/>
      <c r="P114" s="15"/>
    </row>
    <row r="115">
      <c r="A115" s="15" t="s">
        <v>182</v>
      </c>
      <c r="B115" s="16">
        <v>8.0</v>
      </c>
      <c r="C115" s="16">
        <v>7.0</v>
      </c>
      <c r="D115" s="17">
        <v>44.865068471522</v>
      </c>
      <c r="E115" s="17">
        <v>-93.335641885818</v>
      </c>
      <c r="F115" s="16" t="s">
        <v>41</v>
      </c>
      <c r="G115" s="16" t="s">
        <v>17</v>
      </c>
      <c r="H115" s="18" t="s">
        <v>183</v>
      </c>
      <c r="I115" s="19">
        <v>2868.0</v>
      </c>
      <c r="J115" s="20"/>
      <c r="K115" s="11" t="str">
        <f>IFERROR(__xludf.DUMMYFUNCTION("IF(AND(REGEXMATCH($H115,""50( ?['fF]([oO]{2})?[tT]?)?( ?[eE][rR]{2}[oO][rR])"")=FALSE,$H115&lt;&gt;"""",$I115&lt;&gt;""""),HYPERLINK(""https://www.munzee.com/m/""&amp;$H115&amp;""/""&amp;$I115&amp;""/map/?lat=""&amp;$D115&amp;""&amp;lon=""&amp;$E115&amp;""&amp;type=""&amp;$G115&amp;""&amp;name=""&amp;SUBSTITUTE($A115,""#"&amp;""",""%23""),$H115&amp;""/""&amp;$I115),IF($H115&lt;&gt;"""",IF(REGEXMATCH($H115,""50( ?['fF]([oO]{2})?[tT]?)?( ?[eE][rR]{2}[oO][rR])""),HYPERLINK(""https://www.munzee.com/map/?sandbox=1&amp;lat=""&amp;$D115&amp;""&amp;lon=""&amp;$E115&amp;""&amp;name=""&amp;SUBSTITUTE($A115,""#"",""%23""),""SANDBOX"""&amp;"),HYPERLINK(""https://www.munzee.com/m/""&amp;$H115&amp;""/deploys/0/type/""&amp;IFNA(VLOOKUP($G115,IMPORTRANGE(""https://docs.google.com/spreadsheets/d/1DliIGyDywdzxhd4svtjaewR0p9Y5UBTMNMQ2PcXsqss"",""type data!E2:F""),2,FALSE),$G115)&amp;""/"",$H115)),""""))"),"thelanes/2868")</f>
        <v>thelanes/2868</v>
      </c>
      <c r="L115" s="19" t="b">
        <v>1</v>
      </c>
      <c r="M115" s="12">
        <f t="shared" si="1"/>
        <v>3</v>
      </c>
      <c r="N115" s="13"/>
      <c r="O115" s="13"/>
      <c r="P115" s="29"/>
    </row>
    <row r="116">
      <c r="A116" s="15" t="s">
        <v>184</v>
      </c>
      <c r="B116" s="16">
        <v>8.0</v>
      </c>
      <c r="C116" s="16">
        <v>8.0</v>
      </c>
      <c r="D116" s="17">
        <v>44.865068471342</v>
      </c>
      <c r="E116" s="17">
        <v>-93.335439097276</v>
      </c>
      <c r="F116" s="16" t="s">
        <v>41</v>
      </c>
      <c r="G116" s="16" t="s">
        <v>17</v>
      </c>
      <c r="H116" s="18" t="s">
        <v>39</v>
      </c>
      <c r="I116" s="19">
        <v>8957.0</v>
      </c>
      <c r="J116" s="20"/>
      <c r="K116" s="11" t="str">
        <f>IFERROR(__xludf.DUMMYFUNCTION("IF(AND(REGEXMATCH($H116,""50( ?['fF]([oO]{2})?[tT]?)?( ?[eE][rR]{2}[oO][rR])"")=FALSE,$H116&lt;&gt;"""",$I116&lt;&gt;""""),HYPERLINK(""https://www.munzee.com/m/""&amp;$H116&amp;""/""&amp;$I116&amp;""/map/?lat=""&amp;$D116&amp;""&amp;lon=""&amp;$E116&amp;""&amp;type=""&amp;$G116&amp;""&amp;name=""&amp;SUBSTITUTE($A116,""#"&amp;""",""%23""),$H116&amp;""/""&amp;$I116),IF($H116&lt;&gt;"""",IF(REGEXMATCH($H116,""50( ?['fF]([oO]{2})?[tT]?)?( ?[eE][rR]{2}[oO][rR])""),HYPERLINK(""https://www.munzee.com/map/?sandbox=1&amp;lat=""&amp;$D116&amp;""&amp;lon=""&amp;$E116&amp;""&amp;name=""&amp;SUBSTITUTE($A116,""#"",""%23""),""SANDBOX"""&amp;"),HYPERLINK(""https://www.munzee.com/m/""&amp;$H116&amp;""/deploys/0/type/""&amp;IFNA(VLOOKUP($G116,IMPORTRANGE(""https://docs.google.com/spreadsheets/d/1DliIGyDywdzxhd4svtjaewR0p9Y5UBTMNMQ2PcXsqss"",""type data!E2:F""),2,FALSE),$G116)&amp;""/"",$H116)),""""))"),"danielle41101/8957")</f>
        <v>danielle41101/8957</v>
      </c>
      <c r="L116" s="19" t="b">
        <v>1</v>
      </c>
      <c r="M116" s="12">
        <f t="shared" si="1"/>
        <v>10</v>
      </c>
      <c r="N116" s="13"/>
      <c r="O116" s="13"/>
      <c r="P116" s="29"/>
    </row>
    <row r="117">
      <c r="A117" s="15" t="s">
        <v>185</v>
      </c>
      <c r="B117" s="16">
        <v>8.0</v>
      </c>
      <c r="C117" s="16">
        <v>9.0</v>
      </c>
      <c r="D117" s="17">
        <v>44.865068471163</v>
      </c>
      <c r="E117" s="17">
        <v>-93.335236308735</v>
      </c>
      <c r="F117" s="16" t="s">
        <v>41</v>
      </c>
      <c r="G117" s="16" t="s">
        <v>17</v>
      </c>
      <c r="H117" s="18" t="s">
        <v>76</v>
      </c>
      <c r="I117" s="19">
        <v>2883.0</v>
      </c>
      <c r="J117" s="21"/>
      <c r="K117" s="11" t="str">
        <f>IFERROR(__xludf.DUMMYFUNCTION("IF(AND(REGEXMATCH($H117,""50( ?['fF]([oO]{2})?[tT]?)?( ?[eE][rR]{2}[oO][rR])"")=FALSE,$H117&lt;&gt;"""",$I117&lt;&gt;""""),HYPERLINK(""https://www.munzee.com/m/""&amp;$H117&amp;""/""&amp;$I117&amp;""/map/?lat=""&amp;$D117&amp;""&amp;lon=""&amp;$E117&amp;""&amp;type=""&amp;$G117&amp;""&amp;name=""&amp;SUBSTITUTE($A117,""#"&amp;""",""%23""),$H117&amp;""/""&amp;$I117),IF($H117&lt;&gt;"""",IF(REGEXMATCH($H117,""50( ?['fF]([oO]{2})?[tT]?)?( ?[eE][rR]{2}[oO][rR])""),HYPERLINK(""https://www.munzee.com/map/?sandbox=1&amp;lat=""&amp;$D117&amp;""&amp;lon=""&amp;$E117&amp;""&amp;name=""&amp;SUBSTITUTE($A117,""#"",""%23""),""SANDBOX"""&amp;"),HYPERLINK(""https://www.munzee.com/m/""&amp;$H117&amp;""/deploys/0/type/""&amp;IFNA(VLOOKUP($G117,IMPORTRANGE(""https://docs.google.com/spreadsheets/d/1DliIGyDywdzxhd4svtjaewR0p9Y5UBTMNMQ2PcXsqss"",""type data!E2:F""),2,FALSE),$G117)&amp;""/"",$H117)),""""))"),"valsey/2883")</f>
        <v>valsey/2883</v>
      </c>
      <c r="L117" s="19" t="b">
        <v>1</v>
      </c>
      <c r="M117" s="12">
        <f t="shared" si="1"/>
        <v>7</v>
      </c>
      <c r="N117" s="13"/>
      <c r="O117" s="13"/>
      <c r="P117" s="15"/>
    </row>
    <row r="118">
      <c r="A118" s="15" t="s">
        <v>186</v>
      </c>
      <c r="B118" s="16">
        <v>8.0</v>
      </c>
      <c r="C118" s="16">
        <v>10.0</v>
      </c>
      <c r="D118" s="17">
        <v>44.865068470983</v>
      </c>
      <c r="E118" s="17">
        <v>-93.335033520194</v>
      </c>
      <c r="F118" s="16" t="s">
        <v>41</v>
      </c>
      <c r="G118" s="16" t="s">
        <v>17</v>
      </c>
      <c r="H118" s="18" t="s">
        <v>183</v>
      </c>
      <c r="I118" s="19">
        <v>2866.0</v>
      </c>
      <c r="J118" s="20"/>
      <c r="K118" s="11" t="str">
        <f>IFERROR(__xludf.DUMMYFUNCTION("IF(AND(REGEXMATCH($H118,""50( ?['fF]([oO]{2})?[tT]?)?( ?[eE][rR]{2}[oO][rR])"")=FALSE,$H118&lt;&gt;"""",$I118&lt;&gt;""""),HYPERLINK(""https://www.munzee.com/m/""&amp;$H118&amp;""/""&amp;$I118&amp;""/map/?lat=""&amp;$D118&amp;""&amp;lon=""&amp;$E118&amp;""&amp;type=""&amp;$G118&amp;""&amp;name=""&amp;SUBSTITUTE($A118,""#"&amp;""",""%23""),$H118&amp;""/""&amp;$I118),IF($H118&lt;&gt;"""",IF(REGEXMATCH($H118,""50( ?['fF]([oO]{2})?[tT]?)?( ?[eE][rR]{2}[oO][rR])""),HYPERLINK(""https://www.munzee.com/map/?sandbox=1&amp;lat=""&amp;$D118&amp;""&amp;lon=""&amp;$E118&amp;""&amp;name=""&amp;SUBSTITUTE($A118,""#"",""%23""),""SANDBOX"""&amp;"),HYPERLINK(""https://www.munzee.com/m/""&amp;$H118&amp;""/deploys/0/type/""&amp;IFNA(VLOOKUP($G118,IMPORTRANGE(""https://docs.google.com/spreadsheets/d/1DliIGyDywdzxhd4svtjaewR0p9Y5UBTMNMQ2PcXsqss"",""type data!E2:F""),2,FALSE),$G118)&amp;""/"",$H118)),""""))"),"thelanes/2866")</f>
        <v>thelanes/2866</v>
      </c>
      <c r="L118" s="19" t="b">
        <v>1</v>
      </c>
      <c r="M118" s="12">
        <f t="shared" si="1"/>
        <v>3</v>
      </c>
      <c r="N118" s="13"/>
      <c r="O118" s="13"/>
      <c r="P118" s="15"/>
    </row>
    <row r="119">
      <c r="A119" s="15" t="s">
        <v>187</v>
      </c>
      <c r="B119" s="16">
        <v>8.0</v>
      </c>
      <c r="C119" s="16">
        <v>11.0</v>
      </c>
      <c r="D119" s="17">
        <v>44.865068470804</v>
      </c>
      <c r="E119" s="17">
        <v>-93.334830731653</v>
      </c>
      <c r="F119" s="16" t="s">
        <v>164</v>
      </c>
      <c r="G119" s="16" t="s">
        <v>17</v>
      </c>
      <c r="H119" s="18" t="s">
        <v>39</v>
      </c>
      <c r="I119" s="19">
        <v>8917.0</v>
      </c>
      <c r="J119" s="20"/>
      <c r="K119" s="11" t="str">
        <f>IFERROR(__xludf.DUMMYFUNCTION("IF(AND(REGEXMATCH($H119,""50( ?['fF]([oO]{2})?[tT]?)?( ?[eE][rR]{2}[oO][rR])"")=FALSE,$H119&lt;&gt;"""",$I119&lt;&gt;""""),HYPERLINK(""https://www.munzee.com/m/""&amp;$H119&amp;""/""&amp;$I119&amp;""/map/?lat=""&amp;$D119&amp;""&amp;lon=""&amp;$E119&amp;""&amp;type=""&amp;$G119&amp;""&amp;name=""&amp;SUBSTITUTE($A119,""#"&amp;""",""%23""),$H119&amp;""/""&amp;$I119),IF($H119&lt;&gt;"""",IF(REGEXMATCH($H119,""50( ?['fF]([oO]{2})?[tT]?)?( ?[eE][rR]{2}[oO][rR])""),HYPERLINK(""https://www.munzee.com/map/?sandbox=1&amp;lat=""&amp;$D119&amp;""&amp;lon=""&amp;$E119&amp;""&amp;name=""&amp;SUBSTITUTE($A119,""#"",""%23""),""SANDBOX"""&amp;"),HYPERLINK(""https://www.munzee.com/m/""&amp;$H119&amp;""/deploys/0/type/""&amp;IFNA(VLOOKUP($G119,IMPORTRANGE(""https://docs.google.com/spreadsheets/d/1DliIGyDywdzxhd4svtjaewR0p9Y5UBTMNMQ2PcXsqss"",""type data!E2:F""),2,FALSE),$G119)&amp;""/"",$H119)),""""))"),"danielle41101/8917")</f>
        <v>danielle41101/8917</v>
      </c>
      <c r="L119" s="19" t="b">
        <v>1</v>
      </c>
      <c r="M119" s="12">
        <f t="shared" si="1"/>
        <v>10</v>
      </c>
      <c r="N119" s="13"/>
      <c r="O119" s="13"/>
      <c r="P119" s="29"/>
    </row>
    <row r="120">
      <c r="A120" s="15" t="s">
        <v>188</v>
      </c>
      <c r="B120" s="16">
        <v>8.0</v>
      </c>
      <c r="C120" s="16">
        <v>12.0</v>
      </c>
      <c r="D120" s="17">
        <v>44.865068470625</v>
      </c>
      <c r="E120" s="17">
        <v>-93.334627943112</v>
      </c>
      <c r="F120" s="16" t="s">
        <v>164</v>
      </c>
      <c r="G120" s="16" t="s">
        <v>17</v>
      </c>
      <c r="H120" s="18" t="s">
        <v>65</v>
      </c>
      <c r="I120" s="19">
        <v>517.0</v>
      </c>
      <c r="J120" s="20"/>
      <c r="K120" s="11" t="str">
        <f>IFERROR(__xludf.DUMMYFUNCTION("IF(AND(REGEXMATCH($H120,""50( ?['fF]([oO]{2})?[tT]?)?( ?[eE][rR]{2}[oO][rR])"")=FALSE,$H120&lt;&gt;"""",$I120&lt;&gt;""""),HYPERLINK(""https://www.munzee.com/m/""&amp;$H120&amp;""/""&amp;$I120&amp;""/map/?lat=""&amp;$D120&amp;""&amp;lon=""&amp;$E120&amp;""&amp;type=""&amp;$G120&amp;""&amp;name=""&amp;SUBSTITUTE($A120,""#"&amp;""",""%23""),$H120&amp;""/""&amp;$I120),IF($H120&lt;&gt;"""",IF(REGEXMATCH($H120,""50( ?['fF]([oO]{2})?[tT]?)?( ?[eE][rR]{2}[oO][rR])""),HYPERLINK(""https://www.munzee.com/map/?sandbox=1&amp;lat=""&amp;$D120&amp;""&amp;lon=""&amp;$E120&amp;""&amp;name=""&amp;SUBSTITUTE($A120,""#"",""%23""),""SANDBOX"""&amp;"),HYPERLINK(""https://www.munzee.com/m/""&amp;$H120&amp;""/deploys/0/type/""&amp;IFNA(VLOOKUP($G120,IMPORTRANGE(""https://docs.google.com/spreadsheets/d/1DliIGyDywdzxhd4svtjaewR0p9Y5UBTMNMQ2PcXsqss"",""type data!E2:F""),2,FALSE),$G120)&amp;""/"",$H120)),""""))"),"PLitewski/517")</f>
        <v>PLitewski/517</v>
      </c>
      <c r="L120" s="19" t="b">
        <v>1</v>
      </c>
      <c r="M120" s="12">
        <f t="shared" si="1"/>
        <v>3</v>
      </c>
      <c r="N120" s="13"/>
      <c r="O120" s="13"/>
      <c r="P120" s="29"/>
    </row>
    <row r="121">
      <c r="A121" s="15" t="s">
        <v>189</v>
      </c>
      <c r="B121" s="16">
        <v>8.0</v>
      </c>
      <c r="C121" s="16">
        <v>13.0</v>
      </c>
      <c r="D121" s="17">
        <v>44.865068470445</v>
      </c>
      <c r="E121" s="17">
        <v>-93.33442515457</v>
      </c>
      <c r="F121" s="16" t="s">
        <v>41</v>
      </c>
      <c r="G121" s="16" t="s">
        <v>17</v>
      </c>
      <c r="H121" s="18" t="s">
        <v>190</v>
      </c>
      <c r="I121" s="19">
        <v>3466.0</v>
      </c>
      <c r="J121" s="31"/>
      <c r="K121" s="11" t="str">
        <f>IFERROR(__xludf.DUMMYFUNCTION("IF(AND(REGEXMATCH($H121,""50( ?['fF]([oO]{2})?[tT]?)?( ?[eE][rR]{2}[oO][rR])"")=FALSE,$H121&lt;&gt;"""",$I121&lt;&gt;""""),HYPERLINK(""https://www.munzee.com/m/""&amp;$H121&amp;""/""&amp;$I121&amp;""/map/?lat=""&amp;$D121&amp;""&amp;lon=""&amp;$E121&amp;""&amp;type=""&amp;$G121&amp;""&amp;name=""&amp;SUBSTITUTE($A121,""#"&amp;""",""%23""),$H121&amp;""/""&amp;$I121),IF($H121&lt;&gt;"""",IF(REGEXMATCH($H121,""50( ?['fF]([oO]{2})?[tT]?)?( ?[eE][rR]{2}[oO][rR])""),HYPERLINK(""https://www.munzee.com/map/?sandbox=1&amp;lat=""&amp;$D121&amp;""&amp;lon=""&amp;$E121&amp;""&amp;name=""&amp;SUBSTITUTE($A121,""#"",""%23""),""SANDBOX"""&amp;"),HYPERLINK(""https://www.munzee.com/m/""&amp;$H121&amp;""/deploys/0/type/""&amp;IFNA(VLOOKUP($G121,IMPORTRANGE(""https://docs.google.com/spreadsheets/d/1DliIGyDywdzxhd4svtjaewR0p9Y5UBTMNMQ2PcXsqss"",""type data!E2:F""),2,FALSE),$G121)&amp;""/"",$H121)),""""))"),"stevenkim/3466")</f>
        <v>stevenkim/3466</v>
      </c>
      <c r="L121" s="19" t="b">
        <v>1</v>
      </c>
      <c r="M121" s="12">
        <f t="shared" si="1"/>
        <v>3</v>
      </c>
      <c r="N121" s="13"/>
      <c r="O121" s="13"/>
      <c r="P121" s="15"/>
    </row>
    <row r="122">
      <c r="A122" s="15" t="s">
        <v>191</v>
      </c>
      <c r="B122" s="16">
        <v>8.0</v>
      </c>
      <c r="C122" s="16">
        <v>14.0</v>
      </c>
      <c r="D122" s="17">
        <v>44.865068470266</v>
      </c>
      <c r="E122" s="17">
        <v>-93.334222366029</v>
      </c>
      <c r="F122" s="16" t="s">
        <v>41</v>
      </c>
      <c r="G122" s="16" t="s">
        <v>17</v>
      </c>
      <c r="H122" s="18" t="s">
        <v>192</v>
      </c>
      <c r="I122" s="19">
        <v>5657.0</v>
      </c>
      <c r="J122" s="32"/>
      <c r="K122" s="11" t="str">
        <f>IFERROR(__xludf.DUMMYFUNCTION("IF(AND(REGEXMATCH($H122,""50( ?['fF]([oO]{2})?[tT]?)?( ?[eE][rR]{2}[oO][rR])"")=FALSE,$H122&lt;&gt;"""",$I122&lt;&gt;""""),HYPERLINK(""https://www.munzee.com/m/""&amp;$H122&amp;""/""&amp;$I122&amp;""/map/?lat=""&amp;$D122&amp;""&amp;lon=""&amp;$E122&amp;""&amp;type=""&amp;$G122&amp;""&amp;name=""&amp;SUBSTITUTE($A122,""#"&amp;""",""%23""),$H122&amp;""/""&amp;$I122),IF($H122&lt;&gt;"""",IF(REGEXMATCH($H122,""50( ?['fF]([oO]{2})?[tT]?)?( ?[eE][rR]{2}[oO][rR])""),HYPERLINK(""https://www.munzee.com/map/?sandbox=1&amp;lat=""&amp;$D122&amp;""&amp;lon=""&amp;$E122&amp;""&amp;name=""&amp;SUBSTITUTE($A122,""#"",""%23""),""SANDBOX"""&amp;"),HYPERLINK(""https://www.munzee.com/m/""&amp;$H122&amp;""/deploys/0/type/""&amp;IFNA(VLOOKUP($G122,IMPORTRANGE(""https://docs.google.com/spreadsheets/d/1DliIGyDywdzxhd4svtjaewR0p9Y5UBTMNMQ2PcXsqss"",""type data!E2:F""),2,FALSE),$G122)&amp;""/"",$H122)),""""))"),"nyisutter/5657")</f>
        <v>nyisutter/5657</v>
      </c>
      <c r="L122" s="19" t="b">
        <v>1</v>
      </c>
      <c r="M122" s="12">
        <f t="shared" si="1"/>
        <v>2</v>
      </c>
      <c r="N122" s="13"/>
      <c r="O122" s="13"/>
      <c r="P122" s="15"/>
    </row>
    <row r="123">
      <c r="A123" s="15" t="s">
        <v>193</v>
      </c>
      <c r="B123" s="16">
        <v>8.0</v>
      </c>
      <c r="C123" s="16">
        <v>15.0</v>
      </c>
      <c r="D123" s="17">
        <v>44.865068470086</v>
      </c>
      <c r="E123" s="17">
        <v>-93.334019577488</v>
      </c>
      <c r="F123" s="16" t="s">
        <v>41</v>
      </c>
      <c r="G123" s="16" t="s">
        <v>17</v>
      </c>
      <c r="H123" s="33" t="s">
        <v>194</v>
      </c>
      <c r="I123" s="19">
        <v>8693.0</v>
      </c>
      <c r="J123" s="20"/>
      <c r="K123" s="11" t="str">
        <f>IFERROR(__xludf.DUMMYFUNCTION("IF(AND(REGEXMATCH($H123,""50( ?['fF]([oO]{2})?[tT]?)?( ?[eE][rR]{2}[oO][rR])"")=FALSE,$H123&lt;&gt;"""",$I123&lt;&gt;""""),HYPERLINK(""https://www.munzee.com/m/""&amp;$H123&amp;""/""&amp;$I123&amp;""/map/?lat=""&amp;$D123&amp;""&amp;lon=""&amp;$E123&amp;""&amp;type=""&amp;$G123&amp;""&amp;name=""&amp;SUBSTITUTE($A123,""#"&amp;""",""%23""),$H123&amp;""/""&amp;$I123),IF($H123&lt;&gt;"""",IF(REGEXMATCH($H123,""50( ?['fF]([oO]{2})?[tT]?)?( ?[eE][rR]{2}[oO][rR])""),HYPERLINK(""https://www.munzee.com/map/?sandbox=1&amp;lat=""&amp;$D123&amp;""&amp;lon=""&amp;$E123&amp;""&amp;name=""&amp;SUBSTITUTE($A123,""#"",""%23""),""SANDBOX"""&amp;"),HYPERLINK(""https://www.munzee.com/m/""&amp;$H123&amp;""/deploys/0/type/""&amp;IFNA(VLOOKUP($G123,IMPORTRANGE(""https://docs.google.com/spreadsheets/d/1DliIGyDywdzxhd4svtjaewR0p9Y5UBTMNMQ2PcXsqss"",""type data!E2:F""),2,FALSE),$G123)&amp;""/"",$H123)),""""))"),"warped6/8693")</f>
        <v>warped6/8693</v>
      </c>
      <c r="L123" s="19" t="b">
        <v>1</v>
      </c>
      <c r="M123" s="12">
        <f t="shared" si="1"/>
        <v>24</v>
      </c>
      <c r="N123" s="13"/>
      <c r="O123" s="13"/>
      <c r="P123" s="15"/>
    </row>
    <row r="124">
      <c r="A124" s="15" t="s">
        <v>195</v>
      </c>
      <c r="B124" s="16">
        <v>8.0</v>
      </c>
      <c r="C124" s="16">
        <v>16.0</v>
      </c>
      <c r="D124" s="17">
        <v>44.865068469907</v>
      </c>
      <c r="E124" s="17">
        <v>-93.333816788947</v>
      </c>
      <c r="F124" s="16" t="s">
        <v>41</v>
      </c>
      <c r="G124" s="16" t="s">
        <v>17</v>
      </c>
      <c r="H124" s="18" t="s">
        <v>183</v>
      </c>
      <c r="I124" s="19">
        <v>2836.0</v>
      </c>
      <c r="J124" s="20"/>
      <c r="K124" s="11" t="str">
        <f>IFERROR(__xludf.DUMMYFUNCTION("IF(AND(REGEXMATCH($H124,""50( ?['fF]([oO]{2})?[tT]?)?( ?[eE][rR]{2}[oO][rR])"")=FALSE,$H124&lt;&gt;"""",$I124&lt;&gt;""""),HYPERLINK(""https://www.munzee.com/m/""&amp;$H124&amp;""/""&amp;$I124&amp;""/map/?lat=""&amp;$D124&amp;""&amp;lon=""&amp;$E124&amp;""&amp;type=""&amp;$G124&amp;""&amp;name=""&amp;SUBSTITUTE($A124,""#"&amp;""",""%23""),$H124&amp;""/""&amp;$I124),IF($H124&lt;&gt;"""",IF(REGEXMATCH($H124,""50( ?['fF]([oO]{2})?[tT]?)?( ?[eE][rR]{2}[oO][rR])""),HYPERLINK(""https://www.munzee.com/map/?sandbox=1&amp;lat=""&amp;$D124&amp;""&amp;lon=""&amp;$E124&amp;""&amp;name=""&amp;SUBSTITUTE($A124,""#"",""%23""),""SANDBOX"""&amp;"),HYPERLINK(""https://www.munzee.com/m/""&amp;$H124&amp;""/deploys/0/type/""&amp;IFNA(VLOOKUP($G124,IMPORTRANGE(""https://docs.google.com/spreadsheets/d/1DliIGyDywdzxhd4svtjaewR0p9Y5UBTMNMQ2PcXsqss"",""type data!E2:F""),2,FALSE),$G124)&amp;""/"",$H124)),""""))"),"thelanes/2836")</f>
        <v>thelanes/2836</v>
      </c>
      <c r="L124" s="19" t="b">
        <v>1</v>
      </c>
      <c r="M124" s="12">
        <f t="shared" si="1"/>
        <v>3</v>
      </c>
      <c r="N124" s="13"/>
      <c r="O124" s="13"/>
      <c r="P124" s="29"/>
    </row>
    <row r="125">
      <c r="A125" s="15" t="s">
        <v>196</v>
      </c>
      <c r="B125" s="16">
        <v>8.0</v>
      </c>
      <c r="C125" s="16">
        <v>17.0</v>
      </c>
      <c r="D125" s="17">
        <v>44.865068469727</v>
      </c>
      <c r="E125" s="17">
        <v>-93.333614000406</v>
      </c>
      <c r="F125" s="16" t="s">
        <v>164</v>
      </c>
      <c r="G125" s="16" t="s">
        <v>17</v>
      </c>
      <c r="H125" s="18" t="s">
        <v>58</v>
      </c>
      <c r="I125" s="19">
        <v>705.0</v>
      </c>
      <c r="J125" s="20"/>
      <c r="K125" s="11" t="str">
        <f>IFERROR(__xludf.DUMMYFUNCTION("IF(AND(REGEXMATCH($H125,""50( ?['fF]([oO]{2})?[tT]?)?( ?[eE][rR]{2}[oO][rR])"")=FALSE,$H125&lt;&gt;"""",$I125&lt;&gt;""""),HYPERLINK(""https://www.munzee.com/m/""&amp;$H125&amp;""/""&amp;$I125&amp;""/map/?lat=""&amp;$D125&amp;""&amp;lon=""&amp;$E125&amp;""&amp;type=""&amp;$G125&amp;""&amp;name=""&amp;SUBSTITUTE($A125,""#"&amp;""",""%23""),$H125&amp;""/""&amp;$I125),IF($H125&lt;&gt;"""",IF(REGEXMATCH($H125,""50( ?['fF]([oO]{2})?[tT]?)?( ?[eE][rR]{2}[oO][rR])""),HYPERLINK(""https://www.munzee.com/map/?sandbox=1&amp;lat=""&amp;$D125&amp;""&amp;lon=""&amp;$E125&amp;""&amp;name=""&amp;SUBSTITUTE($A125,""#"",""%23""),""SANDBOX"""&amp;"),HYPERLINK(""https://www.munzee.com/m/""&amp;$H125&amp;""/deploys/0/type/""&amp;IFNA(VLOOKUP($G125,IMPORTRANGE(""https://docs.google.com/spreadsheets/d/1DliIGyDywdzxhd4svtjaewR0p9Y5UBTMNMQ2PcXsqss"",""type data!E2:F""),2,FALSE),$G125)&amp;""/"",$H125)),""""))"),"cdwilliams1/705")</f>
        <v>cdwilliams1/705</v>
      </c>
      <c r="L125" s="19" t="b">
        <v>1</v>
      </c>
      <c r="M125" s="12">
        <f t="shared" si="1"/>
        <v>10</v>
      </c>
      <c r="N125" s="13"/>
      <c r="O125" s="13"/>
      <c r="P125" s="29"/>
    </row>
    <row r="126">
      <c r="A126" s="15" t="s">
        <v>197</v>
      </c>
      <c r="B126" s="16">
        <v>8.0</v>
      </c>
      <c r="C126" s="16">
        <v>18.0</v>
      </c>
      <c r="D126" s="17">
        <v>44.865068469548</v>
      </c>
      <c r="E126" s="17">
        <v>-93.333411211865</v>
      </c>
      <c r="F126" s="16" t="s">
        <v>164</v>
      </c>
      <c r="G126" s="16" t="s">
        <v>17</v>
      </c>
      <c r="H126" s="18" t="s">
        <v>95</v>
      </c>
      <c r="I126" s="19">
        <v>1278.0</v>
      </c>
      <c r="J126" s="20"/>
      <c r="K126" s="11" t="str">
        <f>IFERROR(__xludf.DUMMYFUNCTION("IF(AND(REGEXMATCH($H126,""50( ?['fF]([oO]{2})?[tT]?)?( ?[eE][rR]{2}[oO][rR])"")=FALSE,$H126&lt;&gt;"""",$I126&lt;&gt;""""),HYPERLINK(""https://www.munzee.com/m/""&amp;$H126&amp;""/""&amp;$I126&amp;""/map/?lat=""&amp;$D126&amp;""&amp;lon=""&amp;$E126&amp;""&amp;type=""&amp;$G126&amp;""&amp;name=""&amp;SUBSTITUTE($A126,""#"&amp;""",""%23""),$H126&amp;""/""&amp;$I126),IF($H126&lt;&gt;"""",IF(REGEXMATCH($H126,""50( ?['fF]([oO]{2})?[tT]?)?( ?[eE][rR]{2}[oO][rR])""),HYPERLINK(""https://www.munzee.com/map/?sandbox=1&amp;lat=""&amp;$D126&amp;""&amp;lon=""&amp;$E126&amp;""&amp;name=""&amp;SUBSTITUTE($A126,""#"",""%23""),""SANDBOX"""&amp;"),HYPERLINK(""https://www.munzee.com/m/""&amp;$H126&amp;""/deploys/0/type/""&amp;IFNA(VLOOKUP($G126,IMPORTRANGE(""https://docs.google.com/spreadsheets/d/1DliIGyDywdzxhd4svtjaewR0p9Y5UBTMNMQ2PcXsqss"",""type data!E2:F""),2,FALSE),$G126)&amp;""/"",$H126)),""""))"),"munzeepa/1278")</f>
        <v>munzeepa/1278</v>
      </c>
      <c r="L126" s="19" t="b">
        <v>1</v>
      </c>
      <c r="M126" s="12">
        <f t="shared" si="1"/>
        <v>20</v>
      </c>
      <c r="N126" s="13"/>
      <c r="O126" s="13"/>
      <c r="P126" s="15"/>
    </row>
    <row r="127">
      <c r="A127" s="15" t="s">
        <v>198</v>
      </c>
      <c r="B127" s="16">
        <v>8.0</v>
      </c>
      <c r="C127" s="16">
        <v>19.0</v>
      </c>
      <c r="D127" s="17">
        <v>44.865068469369</v>
      </c>
      <c r="E127" s="17">
        <v>-93.333208423323</v>
      </c>
      <c r="F127" s="16" t="s">
        <v>41</v>
      </c>
      <c r="G127" s="16" t="s">
        <v>17</v>
      </c>
      <c r="H127" s="18" t="s">
        <v>199</v>
      </c>
      <c r="I127" s="19">
        <v>1568.0</v>
      </c>
      <c r="J127" s="20"/>
      <c r="K127" s="11" t="str">
        <f>IFERROR(__xludf.DUMMYFUNCTION("IF(AND(REGEXMATCH($H127,""50( ?['fF]([oO]{2})?[tT]?)?( ?[eE][rR]{2}[oO][rR])"")=FALSE,$H127&lt;&gt;"""",$I127&lt;&gt;""""),HYPERLINK(""https://www.munzee.com/m/""&amp;$H127&amp;""/""&amp;$I127&amp;""/map/?lat=""&amp;$D127&amp;""&amp;lon=""&amp;$E127&amp;""&amp;type=""&amp;$G127&amp;""&amp;name=""&amp;SUBSTITUTE($A127,""#"&amp;""",""%23""),$H127&amp;""/""&amp;$I127),IF($H127&lt;&gt;"""",IF(REGEXMATCH($H127,""50( ?['fF]([oO]{2})?[tT]?)?( ?[eE][rR]{2}[oO][rR])""),HYPERLINK(""https://www.munzee.com/map/?sandbox=1&amp;lat=""&amp;$D127&amp;""&amp;lon=""&amp;$E127&amp;""&amp;name=""&amp;SUBSTITUTE($A127,""#"",""%23""),""SANDBOX"""&amp;"),HYPERLINK(""https://www.munzee.com/m/""&amp;$H127&amp;""/deploys/0/type/""&amp;IFNA(VLOOKUP($G127,IMPORTRANGE(""https://docs.google.com/spreadsheets/d/1DliIGyDywdzxhd4svtjaewR0p9Y5UBTMNMQ2PcXsqss"",""type data!E2:F""),2,FALSE),$G127)&amp;""/"",$H127)),""""))"),"scoutref/1568")</f>
        <v>scoutref/1568</v>
      </c>
      <c r="L127" s="19" t="b">
        <v>1</v>
      </c>
      <c r="M127" s="12">
        <f t="shared" si="1"/>
        <v>1</v>
      </c>
      <c r="N127" s="13"/>
      <c r="O127" s="13"/>
      <c r="P127" s="15"/>
    </row>
    <row r="128">
      <c r="A128" s="15" t="s">
        <v>200</v>
      </c>
      <c r="B128" s="16">
        <v>8.0</v>
      </c>
      <c r="C128" s="16">
        <v>20.0</v>
      </c>
      <c r="D128" s="17">
        <v>44.865068469189</v>
      </c>
      <c r="E128" s="17">
        <v>-93.333005634782</v>
      </c>
      <c r="F128" s="16" t="s">
        <v>41</v>
      </c>
      <c r="G128" s="16" t="s">
        <v>17</v>
      </c>
      <c r="H128" s="18" t="s">
        <v>99</v>
      </c>
      <c r="I128" s="19">
        <v>1657.0</v>
      </c>
      <c r="J128" s="21"/>
      <c r="K128" s="11" t="str">
        <f>IFERROR(__xludf.DUMMYFUNCTION("IF(AND(REGEXMATCH($H128,""50( ?['fF]([oO]{2})?[tT]?)?( ?[eE][rR]{2}[oO][rR])"")=FALSE,$H128&lt;&gt;"""",$I128&lt;&gt;""""),HYPERLINK(""https://www.munzee.com/m/""&amp;$H128&amp;""/""&amp;$I128&amp;""/map/?lat=""&amp;$D128&amp;""&amp;lon=""&amp;$E128&amp;""&amp;type=""&amp;$G128&amp;""&amp;name=""&amp;SUBSTITUTE($A128,""#"&amp;""",""%23""),$H128&amp;""/""&amp;$I128),IF($H128&lt;&gt;"""",IF(REGEXMATCH($H128,""50( ?['fF]([oO]{2})?[tT]?)?( ?[eE][rR]{2}[oO][rR])""),HYPERLINK(""https://www.munzee.com/map/?sandbox=1&amp;lat=""&amp;$D128&amp;""&amp;lon=""&amp;$E128&amp;""&amp;name=""&amp;SUBSTITUTE($A128,""#"",""%23""),""SANDBOX"""&amp;"),HYPERLINK(""https://www.munzee.com/m/""&amp;$H128&amp;""/deploys/0/type/""&amp;IFNA(VLOOKUP($G128,IMPORTRANGE(""https://docs.google.com/spreadsheets/d/1DliIGyDywdzxhd4svtjaewR0p9Y5UBTMNMQ2PcXsqss"",""type data!E2:F""),2,FALSE),$G128)&amp;""/"",$H128)),""""))"),"jsamundson/1657")</f>
        <v>jsamundson/1657</v>
      </c>
      <c r="L128" s="19" t="b">
        <v>1</v>
      </c>
      <c r="M128" s="12">
        <f t="shared" si="1"/>
        <v>20</v>
      </c>
      <c r="N128" s="13"/>
      <c r="O128" s="13"/>
      <c r="P128" s="15"/>
    </row>
    <row r="129">
      <c r="A129" s="15" t="s">
        <v>201</v>
      </c>
      <c r="B129" s="16">
        <v>8.0</v>
      </c>
      <c r="C129" s="16">
        <v>21.0</v>
      </c>
      <c r="D129" s="17">
        <v>44.86506846901</v>
      </c>
      <c r="E129" s="17">
        <v>-93.332802846241</v>
      </c>
      <c r="F129" s="16" t="s">
        <v>41</v>
      </c>
      <c r="G129" s="16" t="s">
        <v>17</v>
      </c>
      <c r="H129" s="18" t="s">
        <v>202</v>
      </c>
      <c r="I129" s="19">
        <v>1055.0</v>
      </c>
      <c r="J129" s="20"/>
      <c r="K129" s="11" t="str">
        <f>IFERROR(__xludf.DUMMYFUNCTION("IF(AND(REGEXMATCH($H129,""50( ?['fF]([oO]{2})?[tT]?)?( ?[eE][rR]{2}[oO][rR])"")=FALSE,$H129&lt;&gt;"""",$I129&lt;&gt;""""),HYPERLINK(""https://www.munzee.com/m/""&amp;$H129&amp;""/""&amp;$I129&amp;""/map/?lat=""&amp;$D129&amp;""&amp;lon=""&amp;$E129&amp;""&amp;type=""&amp;$G129&amp;""&amp;name=""&amp;SUBSTITUTE($A129,""#"&amp;""",""%23""),$H129&amp;""/""&amp;$I129),IF($H129&lt;&gt;"""",IF(REGEXMATCH($H129,""50( ?['fF]([oO]{2})?[tT]?)?( ?[eE][rR]{2}[oO][rR])""),HYPERLINK(""https://www.munzee.com/map/?sandbox=1&amp;lat=""&amp;$D129&amp;""&amp;lon=""&amp;$E129&amp;""&amp;name=""&amp;SUBSTITUTE($A129,""#"",""%23""),""SANDBOX"""&amp;"),HYPERLINK(""https://www.munzee.com/m/""&amp;$H129&amp;""/deploys/0/type/""&amp;IFNA(VLOOKUP($G129,IMPORTRANGE(""https://docs.google.com/spreadsheets/d/1DliIGyDywdzxhd4svtjaewR0p9Y5UBTMNMQ2PcXsqss"",""type data!E2:F""),2,FALSE),$G129)&amp;""/"",$H129)),""""))"),"julesbeus/1055")</f>
        <v>julesbeus/1055</v>
      </c>
      <c r="L129" s="19" t="b">
        <v>1</v>
      </c>
      <c r="M129" s="12">
        <f t="shared" si="1"/>
        <v>3</v>
      </c>
      <c r="N129" s="13"/>
      <c r="O129" s="13"/>
      <c r="P129" s="15"/>
    </row>
    <row r="130">
      <c r="A130" s="15" t="s">
        <v>203</v>
      </c>
      <c r="B130" s="16">
        <v>8.0</v>
      </c>
      <c r="C130" s="16">
        <v>22.0</v>
      </c>
      <c r="D130" s="17">
        <v>44.86506846883</v>
      </c>
      <c r="E130" s="17">
        <v>-93.3326000577</v>
      </c>
      <c r="F130" s="16" t="s">
        <v>41</v>
      </c>
      <c r="G130" s="16" t="s">
        <v>17</v>
      </c>
      <c r="H130" s="18" t="s">
        <v>204</v>
      </c>
      <c r="I130" s="19">
        <v>7790.0</v>
      </c>
      <c r="J130" s="21"/>
      <c r="K130" s="11" t="str">
        <f>IFERROR(__xludf.DUMMYFUNCTION("IF(AND(REGEXMATCH($H130,""50( ?['fF]([oO]{2})?[tT]?)?( ?[eE][rR]{2}[oO][rR])"")=FALSE,$H130&lt;&gt;"""",$I130&lt;&gt;""""),HYPERLINK(""https://www.munzee.com/m/""&amp;$H130&amp;""/""&amp;$I130&amp;""/map/?lat=""&amp;$D130&amp;""&amp;lon=""&amp;$E130&amp;""&amp;type=""&amp;$G130&amp;""&amp;name=""&amp;SUBSTITUTE($A130,""#"&amp;""",""%23""),$H130&amp;""/""&amp;$I130),IF($H130&lt;&gt;"""",IF(REGEXMATCH($H130,""50( ?['fF]([oO]{2})?[tT]?)?( ?[eE][rR]{2}[oO][rR])""),HYPERLINK(""https://www.munzee.com/map/?sandbox=1&amp;lat=""&amp;$D130&amp;""&amp;lon=""&amp;$E130&amp;""&amp;name=""&amp;SUBSTITUTE($A130,""#"",""%23""),""SANDBOX"""&amp;"),HYPERLINK(""https://www.munzee.com/m/""&amp;$H130&amp;""/deploys/0/type/""&amp;IFNA(VLOOKUP($G130,IMPORTRANGE(""https://docs.google.com/spreadsheets/d/1DliIGyDywdzxhd4svtjaewR0p9Y5UBTMNMQ2PcXsqss"",""type data!E2:F""),2,FALSE),$G130)&amp;""/"",$H130)),""""))"),"prmarks1391/7790")</f>
        <v>prmarks1391/7790</v>
      </c>
      <c r="L130" s="19" t="b">
        <v>1</v>
      </c>
      <c r="M130" s="12">
        <f t="shared" si="1"/>
        <v>2</v>
      </c>
      <c r="N130" s="13"/>
      <c r="O130" s="13"/>
      <c r="P130" s="29"/>
    </row>
    <row r="131">
      <c r="A131" s="15" t="s">
        <v>205</v>
      </c>
      <c r="B131" s="16">
        <v>8.0</v>
      </c>
      <c r="C131" s="16">
        <v>23.0</v>
      </c>
      <c r="D131" s="17">
        <v>44.865068468651</v>
      </c>
      <c r="E131" s="17">
        <v>-93.332397269159</v>
      </c>
      <c r="F131" s="16" t="s">
        <v>41</v>
      </c>
      <c r="G131" s="16" t="s">
        <v>17</v>
      </c>
      <c r="H131" s="18" t="s">
        <v>121</v>
      </c>
      <c r="I131" s="19">
        <v>2355.0</v>
      </c>
      <c r="J131" s="20"/>
      <c r="K131" s="11" t="str">
        <f>IFERROR(__xludf.DUMMYFUNCTION("IF(AND(REGEXMATCH($H131,""50( ?['fF]([oO]{2})?[tT]?)?( ?[eE][rR]{2}[oO][rR])"")=FALSE,$H131&lt;&gt;"""",$I131&lt;&gt;""""),HYPERLINK(""https://www.munzee.com/m/""&amp;$H131&amp;""/""&amp;$I131&amp;""/map/?lat=""&amp;$D131&amp;""&amp;lon=""&amp;$E131&amp;""&amp;type=""&amp;$G131&amp;""&amp;name=""&amp;SUBSTITUTE($A131,""#"&amp;""",""%23""),$H131&amp;""/""&amp;$I131),IF($H131&lt;&gt;"""",IF(REGEXMATCH($H131,""50( ?['fF]([oO]{2})?[tT]?)?( ?[eE][rR]{2}[oO][rR])""),HYPERLINK(""https://www.munzee.com/map/?sandbox=1&amp;lat=""&amp;$D131&amp;""&amp;lon=""&amp;$E131&amp;""&amp;name=""&amp;SUBSTITUTE($A131,""#"",""%23""),""SANDBOX"""&amp;"),HYPERLINK(""https://www.munzee.com/m/""&amp;$H131&amp;""/deploys/0/type/""&amp;IFNA(VLOOKUP($G131,IMPORTRANGE(""https://docs.google.com/spreadsheets/d/1DliIGyDywdzxhd4svtjaewR0p9Y5UBTMNMQ2PcXsqss"",""type data!E2:F""),2,FALSE),$G131)&amp;""/"",$H131)),""""))"),"orky99/2355")</f>
        <v>orky99/2355</v>
      </c>
      <c r="L131" s="19" t="b">
        <v>1</v>
      </c>
      <c r="M131" s="12">
        <f t="shared" si="1"/>
        <v>4</v>
      </c>
      <c r="N131" s="13"/>
      <c r="O131" s="13"/>
      <c r="P131" s="15"/>
    </row>
    <row r="132">
      <c r="A132" s="15" t="s">
        <v>206</v>
      </c>
      <c r="B132" s="16">
        <v>8.0</v>
      </c>
      <c r="C132" s="16">
        <v>24.0</v>
      </c>
      <c r="D132" s="17">
        <v>44.865068468471</v>
      </c>
      <c r="E132" s="17">
        <v>-93.332194480618</v>
      </c>
      <c r="F132" s="16" t="s">
        <v>16</v>
      </c>
      <c r="G132" s="16" t="s">
        <v>17</v>
      </c>
      <c r="H132" s="18" t="s">
        <v>21</v>
      </c>
      <c r="I132" s="19">
        <v>953.0</v>
      </c>
      <c r="J132" s="21"/>
      <c r="K132" s="11" t="str">
        <f>IFERROR(__xludf.DUMMYFUNCTION("IF(AND(REGEXMATCH($H132,""50( ?['fF]([oO]{2})?[tT]?)?( ?[eE][rR]{2}[oO][rR])"")=FALSE,$H132&lt;&gt;"""",$I132&lt;&gt;""""),HYPERLINK(""https://www.munzee.com/m/""&amp;$H132&amp;""/""&amp;$I132&amp;""/map/?lat=""&amp;$D132&amp;""&amp;lon=""&amp;$E132&amp;""&amp;type=""&amp;$G132&amp;""&amp;name=""&amp;SUBSTITUTE($A132,""#"&amp;""",""%23""),$H132&amp;""/""&amp;$I132),IF($H132&lt;&gt;"""",IF(REGEXMATCH($H132,""50( ?['fF]([oO]{2})?[tT]?)?( ?[eE][rR]{2}[oO][rR])""),HYPERLINK(""https://www.munzee.com/map/?sandbox=1&amp;lat=""&amp;$D132&amp;""&amp;lon=""&amp;$E132&amp;""&amp;name=""&amp;SUBSTITUTE($A132,""#"",""%23""),""SANDBOX"""&amp;"),HYPERLINK(""https://www.munzee.com/m/""&amp;$H132&amp;""/deploys/0/type/""&amp;IFNA(VLOOKUP($G132,IMPORTRANGE(""https://docs.google.com/spreadsheets/d/1DliIGyDywdzxhd4svtjaewR0p9Y5UBTMNMQ2PcXsqss"",""type data!E2:F""),2,FALSE),$G132)&amp;""/"",$H132)),""""))"),"Westmarch/953")</f>
        <v>Westmarch/953</v>
      </c>
      <c r="L132" s="19" t="b">
        <v>1</v>
      </c>
      <c r="M132" s="12">
        <f t="shared" si="1"/>
        <v>12</v>
      </c>
      <c r="N132" s="13"/>
      <c r="O132" s="13"/>
      <c r="P132" s="29"/>
    </row>
    <row r="133">
      <c r="A133" s="15" t="s">
        <v>207</v>
      </c>
      <c r="B133" s="16">
        <v>8.0</v>
      </c>
      <c r="C133" s="16">
        <v>25.0</v>
      </c>
      <c r="D133" s="17">
        <v>44.865068468292</v>
      </c>
      <c r="E133" s="17">
        <v>-93.331991692076</v>
      </c>
      <c r="F133" s="16" t="s">
        <v>16</v>
      </c>
      <c r="G133" s="16" t="s">
        <v>17</v>
      </c>
      <c r="H133" s="33" t="s">
        <v>194</v>
      </c>
      <c r="I133" s="19">
        <v>8534.0</v>
      </c>
      <c r="J133" s="20"/>
      <c r="K133" s="11" t="str">
        <f>IFERROR(__xludf.DUMMYFUNCTION("IF(AND(REGEXMATCH($H133,""50( ?['fF]([oO]{2})?[tT]?)?( ?[eE][rR]{2}[oO][rR])"")=FALSE,$H133&lt;&gt;"""",$I133&lt;&gt;""""),HYPERLINK(""https://www.munzee.com/m/""&amp;$H133&amp;""/""&amp;$I133&amp;""/map/?lat=""&amp;$D133&amp;""&amp;lon=""&amp;$E133&amp;""&amp;type=""&amp;$G133&amp;""&amp;name=""&amp;SUBSTITUTE($A133,""#"&amp;""",""%23""),$H133&amp;""/""&amp;$I133),IF($H133&lt;&gt;"""",IF(REGEXMATCH($H133,""50( ?['fF]([oO]{2})?[tT]?)?( ?[eE][rR]{2}[oO][rR])""),HYPERLINK(""https://www.munzee.com/map/?sandbox=1&amp;lat=""&amp;$D133&amp;""&amp;lon=""&amp;$E133&amp;""&amp;name=""&amp;SUBSTITUTE($A133,""#"",""%23""),""SANDBOX"""&amp;"),HYPERLINK(""https://www.munzee.com/m/""&amp;$H133&amp;""/deploys/0/type/""&amp;IFNA(VLOOKUP($G133,IMPORTRANGE(""https://docs.google.com/spreadsheets/d/1DliIGyDywdzxhd4svtjaewR0p9Y5UBTMNMQ2PcXsqss"",""type data!E2:F""),2,FALSE),$G133)&amp;""/"",$H133)),""""))"),"warped6/8534")</f>
        <v>warped6/8534</v>
      </c>
      <c r="L133" s="19" t="b">
        <v>1</v>
      </c>
      <c r="M133" s="12">
        <f t="shared" si="1"/>
        <v>24</v>
      </c>
      <c r="N133" s="13"/>
      <c r="O133" s="13"/>
      <c r="P133" s="29"/>
    </row>
    <row r="134">
      <c r="A134" s="15" t="s">
        <v>208</v>
      </c>
      <c r="B134" s="16">
        <v>9.0</v>
      </c>
      <c r="C134" s="16">
        <v>4.0</v>
      </c>
      <c r="D134" s="17">
        <v>44.864924741615</v>
      </c>
      <c r="E134" s="17">
        <v>-93.336250261061</v>
      </c>
      <c r="F134" s="16" t="s">
        <v>16</v>
      </c>
      <c r="G134" s="16" t="s">
        <v>17</v>
      </c>
      <c r="H134" s="18" t="s">
        <v>42</v>
      </c>
      <c r="I134" s="19">
        <v>2458.0</v>
      </c>
      <c r="J134" s="20"/>
      <c r="K134" s="11" t="str">
        <f>IFERROR(__xludf.DUMMYFUNCTION("IF(AND(REGEXMATCH($H134,""50( ?['fF]([oO]{2})?[tT]?)?( ?[eE][rR]{2}[oO][rR])"")=FALSE,$H134&lt;&gt;"""",$I134&lt;&gt;""""),HYPERLINK(""https://www.munzee.com/m/""&amp;$H134&amp;""/""&amp;$I134&amp;""/map/?lat=""&amp;$D134&amp;""&amp;lon=""&amp;$E134&amp;""&amp;type=""&amp;$G134&amp;""&amp;name=""&amp;SUBSTITUTE($A134,""#"&amp;""",""%23""),$H134&amp;""/""&amp;$I134),IF($H134&lt;&gt;"""",IF(REGEXMATCH($H134,""50( ?['fF]([oO]{2})?[tT]?)?( ?[eE][rR]{2}[oO][rR])""),HYPERLINK(""https://www.munzee.com/map/?sandbox=1&amp;lat=""&amp;$D134&amp;""&amp;lon=""&amp;$E134&amp;""&amp;name=""&amp;SUBSTITUTE($A134,""#"",""%23""),""SANDBOX"""&amp;"),HYPERLINK(""https://www.munzee.com/m/""&amp;$H134&amp;""/deploys/0/type/""&amp;IFNA(VLOOKUP($G134,IMPORTRANGE(""https://docs.google.com/spreadsheets/d/1DliIGyDywdzxhd4svtjaewR0p9Y5UBTMNMQ2PcXsqss"",""type data!E2:F""),2,FALSE),$G134)&amp;""/"",$H134)),""""))"),"snakelips/2458")</f>
        <v>snakelips/2458</v>
      </c>
      <c r="L134" s="19" t="b">
        <v>1</v>
      </c>
      <c r="M134" s="12">
        <f t="shared" si="1"/>
        <v>7</v>
      </c>
      <c r="N134" s="13"/>
      <c r="O134" s="13"/>
      <c r="P134" s="15"/>
    </row>
    <row r="135">
      <c r="A135" s="15" t="s">
        <v>209</v>
      </c>
      <c r="B135" s="16">
        <v>9.0</v>
      </c>
      <c r="C135" s="16">
        <v>5.0</v>
      </c>
      <c r="D135" s="17">
        <v>44.864924741435</v>
      </c>
      <c r="E135" s="17">
        <v>-93.336047473026</v>
      </c>
      <c r="F135" s="16" t="s">
        <v>41</v>
      </c>
      <c r="G135" s="16" t="s">
        <v>17</v>
      </c>
      <c r="H135" s="18" t="s">
        <v>210</v>
      </c>
      <c r="I135" s="19">
        <v>1570.0</v>
      </c>
      <c r="J135" s="20"/>
      <c r="K135" s="11" t="str">
        <f>IFERROR(__xludf.DUMMYFUNCTION("IF(AND(REGEXMATCH($H135,""50( ?['fF]([oO]{2})?[tT]?)?( ?[eE][rR]{2}[oO][rR])"")=FALSE,$H135&lt;&gt;"""",$I135&lt;&gt;""""),HYPERLINK(""https://www.munzee.com/m/""&amp;$H135&amp;""/""&amp;$I135&amp;""/map/?lat=""&amp;$D135&amp;""&amp;lon=""&amp;$E135&amp;""&amp;type=""&amp;$G135&amp;""&amp;name=""&amp;SUBSTITUTE($A135,""#"&amp;""",""%23""),$H135&amp;""/""&amp;$I135),IF($H135&lt;&gt;"""",IF(REGEXMATCH($H135,""50( ?['fF]([oO]{2})?[tT]?)?( ?[eE][rR]{2}[oO][rR])""),HYPERLINK(""https://www.munzee.com/map/?sandbox=1&amp;lat=""&amp;$D135&amp;""&amp;lon=""&amp;$E135&amp;""&amp;name=""&amp;SUBSTITUTE($A135,""#"",""%23""),""SANDBOX"""&amp;"),HYPERLINK(""https://www.munzee.com/m/""&amp;$H135&amp;""/deploys/0/type/""&amp;IFNA(VLOOKUP($G135,IMPORTRANGE(""https://docs.google.com/spreadsheets/d/1DliIGyDywdzxhd4svtjaewR0p9Y5UBTMNMQ2PcXsqss"",""type data!E2:F""),2,FALSE),$G135)&amp;""/"",$H135)),""""))"),"kyor99/1570")</f>
        <v>kyor99/1570</v>
      </c>
      <c r="L135" s="19" t="b">
        <v>1</v>
      </c>
      <c r="M135" s="12">
        <f t="shared" si="1"/>
        <v>2</v>
      </c>
      <c r="N135" s="13"/>
      <c r="O135" s="13"/>
      <c r="P135" s="29"/>
    </row>
    <row r="136">
      <c r="A136" s="15" t="s">
        <v>211</v>
      </c>
      <c r="B136" s="16">
        <v>9.0</v>
      </c>
      <c r="C136" s="16">
        <v>6.0</v>
      </c>
      <c r="D136" s="17">
        <v>44.864924741256</v>
      </c>
      <c r="E136" s="17">
        <v>-93.335844684991</v>
      </c>
      <c r="F136" s="16" t="s">
        <v>41</v>
      </c>
      <c r="G136" s="16" t="s">
        <v>17</v>
      </c>
      <c r="H136" s="18" t="s">
        <v>212</v>
      </c>
      <c r="I136" s="19">
        <v>3406.0</v>
      </c>
      <c r="J136" s="20"/>
      <c r="K136" s="11" t="str">
        <f>IFERROR(__xludf.DUMMYFUNCTION("IF(AND(REGEXMATCH($H136,""50( ?['fF]([oO]{2})?[tT]?)?( ?[eE][rR]{2}[oO][rR])"")=FALSE,$H136&lt;&gt;"""",$I136&lt;&gt;""""),HYPERLINK(""https://www.munzee.com/m/""&amp;$H136&amp;""/""&amp;$I136&amp;""/map/?lat=""&amp;$D136&amp;""&amp;lon=""&amp;$E136&amp;""&amp;type=""&amp;$G136&amp;""&amp;name=""&amp;SUBSTITUTE($A136,""#"&amp;""",""%23""),$H136&amp;""/""&amp;$I136),IF($H136&lt;&gt;"""",IF(REGEXMATCH($H136,""50( ?['fF]([oO]{2})?[tT]?)?( ?[eE][rR]{2}[oO][rR])""),HYPERLINK(""https://www.munzee.com/map/?sandbox=1&amp;lat=""&amp;$D136&amp;""&amp;lon=""&amp;$E136&amp;""&amp;name=""&amp;SUBSTITUTE($A136,""#"",""%23""),""SANDBOX"""&amp;"),HYPERLINK(""https://www.munzee.com/m/""&amp;$H136&amp;""/deploys/0/type/""&amp;IFNA(VLOOKUP($G136,IMPORTRANGE(""https://docs.google.com/spreadsheets/d/1DliIGyDywdzxhd4svtjaewR0p9Y5UBTMNMQ2PcXsqss"",""type data!E2:F""),2,FALSE),$G136)&amp;""/"",$H136)),""""))"),"dQuest/3406")</f>
        <v>dQuest/3406</v>
      </c>
      <c r="L136" s="19" t="b">
        <v>1</v>
      </c>
      <c r="M136" s="12">
        <f t="shared" si="1"/>
        <v>1</v>
      </c>
      <c r="N136" s="13"/>
      <c r="O136" s="13"/>
      <c r="P136" s="29"/>
    </row>
    <row r="137">
      <c r="A137" s="15" t="s">
        <v>213</v>
      </c>
      <c r="B137" s="16">
        <v>9.0</v>
      </c>
      <c r="C137" s="16">
        <v>7.0</v>
      </c>
      <c r="D137" s="17">
        <v>44.864924741076</v>
      </c>
      <c r="E137" s="17">
        <v>-93.335641896956</v>
      </c>
      <c r="F137" s="16" t="s">
        <v>41</v>
      </c>
      <c r="G137" s="16" t="s">
        <v>17</v>
      </c>
      <c r="H137" s="18" t="s">
        <v>214</v>
      </c>
      <c r="I137" s="19">
        <v>1379.0</v>
      </c>
      <c r="J137" s="21"/>
      <c r="K137" s="11" t="str">
        <f>IFERROR(__xludf.DUMMYFUNCTION("IF(AND(REGEXMATCH($H137,""50( ?['fF]([oO]{2})?[tT]?)?( ?[eE][rR]{2}[oO][rR])"")=FALSE,$H137&lt;&gt;"""",$I137&lt;&gt;""""),HYPERLINK(""https://www.munzee.com/m/""&amp;$H137&amp;""/""&amp;$I137&amp;""/map/?lat=""&amp;$D137&amp;""&amp;lon=""&amp;$E137&amp;""&amp;type=""&amp;$G137&amp;""&amp;name=""&amp;SUBSTITUTE($A137,""#"&amp;""",""%23""),$H137&amp;""/""&amp;$I137),IF($H137&lt;&gt;"""",IF(REGEXMATCH($H137,""50( ?['fF]([oO]{2})?[tT]?)?( ?[eE][rR]{2}[oO][rR])""),HYPERLINK(""https://www.munzee.com/map/?sandbox=1&amp;lat=""&amp;$D137&amp;""&amp;lon=""&amp;$E137&amp;""&amp;name=""&amp;SUBSTITUTE($A137,""#"",""%23""),""SANDBOX"""&amp;"),HYPERLINK(""https://www.munzee.com/m/""&amp;$H137&amp;""/deploys/0/type/""&amp;IFNA(VLOOKUP($G137,IMPORTRANGE(""https://docs.google.com/spreadsheets/d/1DliIGyDywdzxhd4svtjaewR0p9Y5UBTMNMQ2PcXsqss"",""type data!E2:F""),2,FALSE),$G137)&amp;""/"",$H137)),""""))"),"yida/1379")</f>
        <v>yida/1379</v>
      </c>
      <c r="L137" s="19" t="b">
        <v>1</v>
      </c>
      <c r="M137" s="12">
        <f t="shared" si="1"/>
        <v>3</v>
      </c>
      <c r="N137" s="13"/>
      <c r="O137" s="13"/>
      <c r="P137" s="15"/>
    </row>
    <row r="138">
      <c r="A138" s="15" t="s">
        <v>215</v>
      </c>
      <c r="B138" s="16">
        <v>9.0</v>
      </c>
      <c r="C138" s="16">
        <v>8.0</v>
      </c>
      <c r="D138" s="17">
        <v>44.864924740897</v>
      </c>
      <c r="E138" s="17">
        <v>-93.335439108921</v>
      </c>
      <c r="F138" s="16" t="s">
        <v>41</v>
      </c>
      <c r="G138" s="16" t="s">
        <v>17</v>
      </c>
      <c r="H138" s="18" t="s">
        <v>216</v>
      </c>
      <c r="I138" s="19">
        <v>5208.0</v>
      </c>
      <c r="J138" s="20"/>
      <c r="K138" s="11" t="str">
        <f>IFERROR(__xludf.DUMMYFUNCTION("IF(AND(REGEXMATCH($H138,""50( ?['fF]([oO]{2})?[tT]?)?( ?[eE][rR]{2}[oO][rR])"")=FALSE,$H138&lt;&gt;"""",$I138&lt;&gt;""""),HYPERLINK(""https://www.munzee.com/m/""&amp;$H138&amp;""/""&amp;$I138&amp;""/map/?lat=""&amp;$D138&amp;""&amp;lon=""&amp;$E138&amp;""&amp;type=""&amp;$G138&amp;""&amp;name=""&amp;SUBSTITUTE($A138,""#"&amp;""",""%23""),$H138&amp;""/""&amp;$I138),IF($H138&lt;&gt;"""",IF(REGEXMATCH($H138,""50( ?['fF]([oO]{2})?[tT]?)?( ?[eE][rR]{2}[oO][rR])""),HYPERLINK(""https://www.munzee.com/map/?sandbox=1&amp;lat=""&amp;$D138&amp;""&amp;lon=""&amp;$E138&amp;""&amp;name=""&amp;SUBSTITUTE($A138,""#"",""%23""),""SANDBOX"""&amp;"),HYPERLINK(""https://www.munzee.com/m/""&amp;$H138&amp;""/deploys/0/type/""&amp;IFNA(VLOOKUP($G138,IMPORTRANGE(""https://docs.google.com/spreadsheets/d/1DliIGyDywdzxhd4svtjaewR0p9Y5UBTMNMQ2PcXsqss"",""type data!E2:F""),2,FALSE),$G138)&amp;""/"",$H138)),""""))"),"tmabrey/5208")</f>
        <v>tmabrey/5208</v>
      </c>
      <c r="L138" s="19" t="b">
        <v>1</v>
      </c>
      <c r="M138" s="12">
        <f t="shared" si="1"/>
        <v>5</v>
      </c>
      <c r="N138" s="13"/>
      <c r="O138" s="13"/>
      <c r="P138" s="15"/>
    </row>
    <row r="139">
      <c r="A139" s="15" t="s">
        <v>217</v>
      </c>
      <c r="B139" s="16">
        <v>9.0</v>
      </c>
      <c r="C139" s="16">
        <v>9.0</v>
      </c>
      <c r="D139" s="17">
        <v>44.864924740717</v>
      </c>
      <c r="E139" s="17">
        <v>-93.335236320887</v>
      </c>
      <c r="F139" s="16" t="s">
        <v>41</v>
      </c>
      <c r="G139" s="16" t="s">
        <v>17</v>
      </c>
      <c r="H139" s="18" t="s">
        <v>190</v>
      </c>
      <c r="I139" s="19">
        <v>3474.0</v>
      </c>
      <c r="J139" s="21"/>
      <c r="K139" s="11" t="str">
        <f>IFERROR(__xludf.DUMMYFUNCTION("IF(AND(REGEXMATCH($H139,""50( ?['fF]([oO]{2})?[tT]?)?( ?[eE][rR]{2}[oO][rR])"")=FALSE,$H139&lt;&gt;"""",$I139&lt;&gt;""""),HYPERLINK(""https://www.munzee.com/m/""&amp;$H139&amp;""/""&amp;$I139&amp;""/map/?lat=""&amp;$D139&amp;""&amp;lon=""&amp;$E139&amp;""&amp;type=""&amp;$G139&amp;""&amp;name=""&amp;SUBSTITUTE($A139,""#"&amp;""",""%23""),$H139&amp;""/""&amp;$I139),IF($H139&lt;&gt;"""",IF(REGEXMATCH($H139,""50( ?['fF]([oO]{2})?[tT]?)?( ?[eE][rR]{2}[oO][rR])""),HYPERLINK(""https://www.munzee.com/map/?sandbox=1&amp;lat=""&amp;$D139&amp;""&amp;lon=""&amp;$E139&amp;""&amp;name=""&amp;SUBSTITUTE($A139,""#"",""%23""),""SANDBOX"""&amp;"),HYPERLINK(""https://www.munzee.com/m/""&amp;$H139&amp;""/deploys/0/type/""&amp;IFNA(VLOOKUP($G139,IMPORTRANGE(""https://docs.google.com/spreadsheets/d/1DliIGyDywdzxhd4svtjaewR0p9Y5UBTMNMQ2PcXsqss"",""type data!E2:F""),2,FALSE),$G139)&amp;""/"",$H139)),""""))"),"stevenkim/3474")</f>
        <v>stevenkim/3474</v>
      </c>
      <c r="L139" s="19" t="b">
        <v>1</v>
      </c>
      <c r="M139" s="12">
        <f t="shared" si="1"/>
        <v>3</v>
      </c>
      <c r="N139" s="13"/>
      <c r="O139" s="13"/>
      <c r="P139" s="15"/>
    </row>
    <row r="140">
      <c r="A140" s="15" t="s">
        <v>218</v>
      </c>
      <c r="B140" s="16">
        <v>9.0</v>
      </c>
      <c r="C140" s="16">
        <v>10.0</v>
      </c>
      <c r="D140" s="17">
        <v>44.864924740538</v>
      </c>
      <c r="E140" s="17">
        <v>-93.335033532852</v>
      </c>
      <c r="F140" s="16" t="s">
        <v>41</v>
      </c>
      <c r="G140" s="16" t="s">
        <v>17</v>
      </c>
      <c r="H140" s="18" t="s">
        <v>219</v>
      </c>
      <c r="I140" s="19">
        <v>874.0</v>
      </c>
      <c r="J140" s="21"/>
      <c r="K140" s="11" t="str">
        <f>IFERROR(__xludf.DUMMYFUNCTION("IF(AND(REGEXMATCH($H140,""50( ?['fF]([oO]{2})?[tT]?)?( ?[eE][rR]{2}[oO][rR])"")=FALSE,$H140&lt;&gt;"""",$I140&lt;&gt;""""),HYPERLINK(""https://www.munzee.com/m/""&amp;$H140&amp;""/""&amp;$I140&amp;""/map/?lat=""&amp;$D140&amp;""&amp;lon=""&amp;$E140&amp;""&amp;type=""&amp;$G140&amp;""&amp;name=""&amp;SUBSTITUTE($A140,""#"&amp;""",""%23""),$H140&amp;""/""&amp;$I140),IF($H140&lt;&gt;"""",IF(REGEXMATCH($H140,""50( ?['fF]([oO]{2})?[tT]?)?( ?[eE][rR]{2}[oO][rR])""),HYPERLINK(""https://www.munzee.com/map/?sandbox=1&amp;lat=""&amp;$D140&amp;""&amp;lon=""&amp;$E140&amp;""&amp;name=""&amp;SUBSTITUTE($A140,""#"",""%23""),""SANDBOX"""&amp;"),HYPERLINK(""https://www.munzee.com/m/""&amp;$H140&amp;""/deploys/0/type/""&amp;IFNA(VLOOKUP($G140,IMPORTRANGE(""https://docs.google.com/spreadsheets/d/1DliIGyDywdzxhd4svtjaewR0p9Y5UBTMNMQ2PcXsqss"",""type data!E2:F""),2,FALSE),$G140)&amp;""/"",$H140)),""""))"),"Quiltingisfuntoo/874")</f>
        <v>Quiltingisfuntoo/874</v>
      </c>
      <c r="L140" s="19" t="b">
        <v>1</v>
      </c>
      <c r="M140" s="12">
        <f t="shared" si="1"/>
        <v>8</v>
      </c>
      <c r="N140" s="13"/>
      <c r="O140" s="13"/>
      <c r="P140" s="15"/>
    </row>
    <row r="141">
      <c r="A141" s="15" t="s">
        <v>220</v>
      </c>
      <c r="B141" s="16">
        <v>9.0</v>
      </c>
      <c r="C141" s="16">
        <v>11.0</v>
      </c>
      <c r="D141" s="17">
        <v>44.864924740359</v>
      </c>
      <c r="E141" s="17">
        <v>-93.334830744817</v>
      </c>
      <c r="F141" s="16" t="s">
        <v>41</v>
      </c>
      <c r="G141" s="16" t="s">
        <v>17</v>
      </c>
      <c r="H141" s="18" t="s">
        <v>216</v>
      </c>
      <c r="I141" s="19">
        <v>5207.0</v>
      </c>
      <c r="J141" s="20"/>
      <c r="K141" s="11" t="str">
        <f>IFERROR(__xludf.DUMMYFUNCTION("IF(AND(REGEXMATCH($H141,""50( ?['fF]([oO]{2})?[tT]?)?( ?[eE][rR]{2}[oO][rR])"")=FALSE,$H141&lt;&gt;"""",$I141&lt;&gt;""""),HYPERLINK(""https://www.munzee.com/m/""&amp;$H141&amp;""/""&amp;$I141&amp;""/map/?lat=""&amp;$D141&amp;""&amp;lon=""&amp;$E141&amp;""&amp;type=""&amp;$G141&amp;""&amp;name=""&amp;SUBSTITUTE($A141,""#"&amp;""",""%23""),$H141&amp;""/""&amp;$I141),IF($H141&lt;&gt;"""",IF(REGEXMATCH($H141,""50( ?['fF]([oO]{2})?[tT]?)?( ?[eE][rR]{2}[oO][rR])""),HYPERLINK(""https://www.munzee.com/map/?sandbox=1&amp;lat=""&amp;$D141&amp;""&amp;lon=""&amp;$E141&amp;""&amp;name=""&amp;SUBSTITUTE($A141,""#"",""%23""),""SANDBOX"""&amp;"),HYPERLINK(""https://www.munzee.com/m/""&amp;$H141&amp;""/deploys/0/type/""&amp;IFNA(VLOOKUP($G141,IMPORTRANGE(""https://docs.google.com/spreadsheets/d/1DliIGyDywdzxhd4svtjaewR0p9Y5UBTMNMQ2PcXsqss"",""type data!E2:F""),2,FALSE),$G141)&amp;""/"",$H141)),""""))"),"tmabrey/5207")</f>
        <v>tmabrey/5207</v>
      </c>
      <c r="L141" s="19" t="b">
        <v>1</v>
      </c>
      <c r="M141" s="12">
        <f t="shared" si="1"/>
        <v>5</v>
      </c>
      <c r="N141" s="13"/>
      <c r="O141" s="13"/>
      <c r="P141" s="29"/>
    </row>
    <row r="142">
      <c r="A142" s="15" t="s">
        <v>221</v>
      </c>
      <c r="B142" s="16">
        <v>9.0</v>
      </c>
      <c r="C142" s="16">
        <v>12.0</v>
      </c>
      <c r="D142" s="17">
        <v>44.864924740179</v>
      </c>
      <c r="E142" s="17">
        <v>-93.334627956782</v>
      </c>
      <c r="F142" s="16" t="s">
        <v>41</v>
      </c>
      <c r="G142" s="16" t="s">
        <v>17</v>
      </c>
      <c r="H142" s="18" t="s">
        <v>76</v>
      </c>
      <c r="I142" s="19">
        <v>2888.0</v>
      </c>
      <c r="J142" s="21"/>
      <c r="K142" s="11" t="str">
        <f>IFERROR(__xludf.DUMMYFUNCTION("IF(AND(REGEXMATCH($H142,""50( ?['fF]([oO]{2})?[tT]?)?( ?[eE][rR]{2}[oO][rR])"")=FALSE,$H142&lt;&gt;"""",$I142&lt;&gt;""""),HYPERLINK(""https://www.munzee.com/m/""&amp;$H142&amp;""/""&amp;$I142&amp;""/map/?lat=""&amp;$D142&amp;""&amp;lon=""&amp;$E142&amp;""&amp;type=""&amp;$G142&amp;""&amp;name=""&amp;SUBSTITUTE($A142,""#"&amp;""",""%23""),$H142&amp;""/""&amp;$I142),IF($H142&lt;&gt;"""",IF(REGEXMATCH($H142,""50( ?['fF]([oO]{2})?[tT]?)?( ?[eE][rR]{2}[oO][rR])""),HYPERLINK(""https://www.munzee.com/map/?sandbox=1&amp;lat=""&amp;$D142&amp;""&amp;lon=""&amp;$E142&amp;""&amp;name=""&amp;SUBSTITUTE($A142,""#"",""%23""),""SANDBOX"""&amp;"),HYPERLINK(""https://www.munzee.com/m/""&amp;$H142&amp;""/deploys/0/type/""&amp;IFNA(VLOOKUP($G142,IMPORTRANGE(""https://docs.google.com/spreadsheets/d/1DliIGyDywdzxhd4svtjaewR0p9Y5UBTMNMQ2PcXsqss"",""type data!E2:F""),2,FALSE),$G142)&amp;""/"",$H142)),""""))"),"valsey/2888")</f>
        <v>valsey/2888</v>
      </c>
      <c r="L142" s="19" t="b">
        <v>1</v>
      </c>
      <c r="M142" s="12">
        <f t="shared" si="1"/>
        <v>7</v>
      </c>
      <c r="N142" s="13"/>
      <c r="O142" s="13"/>
      <c r="P142" s="15"/>
    </row>
    <row r="143">
      <c r="A143" s="15" t="s">
        <v>222</v>
      </c>
      <c r="B143" s="16">
        <v>9.0</v>
      </c>
      <c r="C143" s="16">
        <v>13.0</v>
      </c>
      <c r="D143" s="17">
        <v>44.86492474</v>
      </c>
      <c r="E143" s="17">
        <v>-93.334425168747</v>
      </c>
      <c r="F143" s="16" t="s">
        <v>41</v>
      </c>
      <c r="G143" s="16" t="s">
        <v>17</v>
      </c>
      <c r="H143" s="18" t="s">
        <v>58</v>
      </c>
      <c r="I143" s="19">
        <v>724.0</v>
      </c>
      <c r="J143" s="20"/>
      <c r="K143" s="11" t="str">
        <f>IFERROR(__xludf.DUMMYFUNCTION("IF(AND(REGEXMATCH($H143,""50( ?['fF]([oO]{2})?[tT]?)?( ?[eE][rR]{2}[oO][rR])"")=FALSE,$H143&lt;&gt;"""",$I143&lt;&gt;""""),HYPERLINK(""https://www.munzee.com/m/""&amp;$H143&amp;""/""&amp;$I143&amp;""/map/?lat=""&amp;$D143&amp;""&amp;lon=""&amp;$E143&amp;""&amp;type=""&amp;$G143&amp;""&amp;name=""&amp;SUBSTITUTE($A143,""#"&amp;""",""%23""),$H143&amp;""/""&amp;$I143),IF($H143&lt;&gt;"""",IF(REGEXMATCH($H143,""50( ?['fF]([oO]{2})?[tT]?)?( ?[eE][rR]{2}[oO][rR])""),HYPERLINK(""https://www.munzee.com/map/?sandbox=1&amp;lat=""&amp;$D143&amp;""&amp;lon=""&amp;$E143&amp;""&amp;name=""&amp;SUBSTITUTE($A143,""#"",""%23""),""SANDBOX"""&amp;"),HYPERLINK(""https://www.munzee.com/m/""&amp;$H143&amp;""/deploys/0/type/""&amp;IFNA(VLOOKUP($G143,IMPORTRANGE(""https://docs.google.com/spreadsheets/d/1DliIGyDywdzxhd4svtjaewR0p9Y5UBTMNMQ2PcXsqss"",""type data!E2:F""),2,FALSE),$G143)&amp;""/"",$H143)),""""))"),"cdwilliams1/724")</f>
        <v>cdwilliams1/724</v>
      </c>
      <c r="L143" s="19" t="b">
        <v>1</v>
      </c>
      <c r="M143" s="12">
        <f t="shared" si="1"/>
        <v>10</v>
      </c>
      <c r="N143" s="13"/>
      <c r="O143" s="13"/>
      <c r="P143" s="15"/>
    </row>
    <row r="144">
      <c r="A144" s="15" t="s">
        <v>223</v>
      </c>
      <c r="B144" s="16">
        <v>9.0</v>
      </c>
      <c r="C144" s="16">
        <v>14.0</v>
      </c>
      <c r="D144" s="17">
        <v>44.86492473982</v>
      </c>
      <c r="E144" s="17">
        <v>-93.334222380712</v>
      </c>
      <c r="F144" s="16" t="s">
        <v>41</v>
      </c>
      <c r="G144" s="16" t="s">
        <v>17</v>
      </c>
      <c r="H144" s="18" t="s">
        <v>216</v>
      </c>
      <c r="I144" s="19">
        <v>5080.0</v>
      </c>
      <c r="J144" s="20"/>
      <c r="K144" s="11" t="str">
        <f>IFERROR(__xludf.DUMMYFUNCTION("IF(AND(REGEXMATCH($H144,""50( ?['fF]([oO]{2})?[tT]?)?( ?[eE][rR]{2}[oO][rR])"")=FALSE,$H144&lt;&gt;"""",$I144&lt;&gt;""""),HYPERLINK(""https://www.munzee.com/m/""&amp;$H144&amp;""/""&amp;$I144&amp;""/map/?lat=""&amp;$D144&amp;""&amp;lon=""&amp;$E144&amp;""&amp;type=""&amp;$G144&amp;""&amp;name=""&amp;SUBSTITUTE($A144,""#"&amp;""",""%23""),$H144&amp;""/""&amp;$I144),IF($H144&lt;&gt;"""",IF(REGEXMATCH($H144,""50( ?['fF]([oO]{2})?[tT]?)?( ?[eE][rR]{2}[oO][rR])""),HYPERLINK(""https://www.munzee.com/map/?sandbox=1&amp;lat=""&amp;$D144&amp;""&amp;lon=""&amp;$E144&amp;""&amp;name=""&amp;SUBSTITUTE($A144,""#"",""%23""),""SANDBOX"""&amp;"),HYPERLINK(""https://www.munzee.com/m/""&amp;$H144&amp;""/deploys/0/type/""&amp;IFNA(VLOOKUP($G144,IMPORTRANGE(""https://docs.google.com/spreadsheets/d/1DliIGyDywdzxhd4svtjaewR0p9Y5UBTMNMQ2PcXsqss"",""type data!E2:F""),2,FALSE),$G144)&amp;""/"",$H144)),""""))"),"tmabrey/5080")</f>
        <v>tmabrey/5080</v>
      </c>
      <c r="L144" s="19" t="b">
        <v>1</v>
      </c>
      <c r="M144" s="12">
        <f t="shared" si="1"/>
        <v>5</v>
      </c>
      <c r="N144" s="13"/>
      <c r="O144" s="13"/>
      <c r="P144" s="15"/>
    </row>
    <row r="145">
      <c r="A145" s="15" t="s">
        <v>224</v>
      </c>
      <c r="B145" s="16">
        <v>9.0</v>
      </c>
      <c r="C145" s="16">
        <v>15.0</v>
      </c>
      <c r="D145" s="17">
        <v>44.864924739641</v>
      </c>
      <c r="E145" s="17">
        <v>-93.334019592677</v>
      </c>
      <c r="F145" s="16" t="s">
        <v>41</v>
      </c>
      <c r="G145" s="16" t="s">
        <v>17</v>
      </c>
      <c r="H145" s="18" t="s">
        <v>219</v>
      </c>
      <c r="I145" s="19">
        <v>879.0</v>
      </c>
      <c r="J145" s="21"/>
      <c r="K145" s="11" t="str">
        <f>IFERROR(__xludf.DUMMYFUNCTION("IF(AND(REGEXMATCH($H145,""50( ?['fF]([oO]{2})?[tT]?)?( ?[eE][rR]{2}[oO][rR])"")=FALSE,$H145&lt;&gt;"""",$I145&lt;&gt;""""),HYPERLINK(""https://www.munzee.com/m/""&amp;$H145&amp;""/""&amp;$I145&amp;""/map/?lat=""&amp;$D145&amp;""&amp;lon=""&amp;$E145&amp;""&amp;type=""&amp;$G145&amp;""&amp;name=""&amp;SUBSTITUTE($A145,""#"&amp;""",""%23""),$H145&amp;""/""&amp;$I145),IF($H145&lt;&gt;"""",IF(REGEXMATCH($H145,""50( ?['fF]([oO]{2})?[tT]?)?( ?[eE][rR]{2}[oO][rR])""),HYPERLINK(""https://www.munzee.com/map/?sandbox=1&amp;lat=""&amp;$D145&amp;""&amp;lon=""&amp;$E145&amp;""&amp;name=""&amp;SUBSTITUTE($A145,""#"",""%23""),""SANDBOX"""&amp;"),HYPERLINK(""https://www.munzee.com/m/""&amp;$H145&amp;""/deploys/0/type/""&amp;IFNA(VLOOKUP($G145,IMPORTRANGE(""https://docs.google.com/spreadsheets/d/1DliIGyDywdzxhd4svtjaewR0p9Y5UBTMNMQ2PcXsqss"",""type data!E2:F""),2,FALSE),$G145)&amp;""/"",$H145)),""""))"),"Quiltingisfuntoo/879")</f>
        <v>Quiltingisfuntoo/879</v>
      </c>
      <c r="L145" s="19" t="b">
        <v>1</v>
      </c>
      <c r="M145" s="12">
        <f t="shared" si="1"/>
        <v>8</v>
      </c>
      <c r="N145" s="13"/>
      <c r="O145" s="13"/>
      <c r="P145" s="15"/>
    </row>
    <row r="146">
      <c r="A146" s="15" t="s">
        <v>225</v>
      </c>
      <c r="B146" s="16">
        <v>9.0</v>
      </c>
      <c r="C146" s="16">
        <v>16.0</v>
      </c>
      <c r="D146" s="17">
        <v>44.864924739461</v>
      </c>
      <c r="E146" s="17">
        <v>-93.333816804643</v>
      </c>
      <c r="F146" s="16" t="s">
        <v>41</v>
      </c>
      <c r="G146" s="16" t="s">
        <v>17</v>
      </c>
      <c r="H146" s="18" t="s">
        <v>226</v>
      </c>
      <c r="I146" s="19">
        <v>1004.0</v>
      </c>
      <c r="J146" s="28"/>
      <c r="K146" s="11" t="str">
        <f>IFERROR(__xludf.DUMMYFUNCTION("IF(AND(REGEXMATCH($H146,""50( ?['fF]([oO]{2})?[tT]?)?( ?[eE][rR]{2}[oO][rR])"")=FALSE,$H146&lt;&gt;"""",$I146&lt;&gt;""""),HYPERLINK(""https://www.munzee.com/m/""&amp;$H146&amp;""/""&amp;$I146&amp;""/map/?lat=""&amp;$D146&amp;""&amp;lon=""&amp;$E146&amp;""&amp;type=""&amp;$G146&amp;""&amp;name=""&amp;SUBSTITUTE($A146,""#"&amp;""",""%23""),$H146&amp;""/""&amp;$I146),IF($H146&lt;&gt;"""",IF(REGEXMATCH($H146,""50( ?['fF]([oO]{2})?[tT]?)?( ?[eE][rR]{2}[oO][rR])""),HYPERLINK(""https://www.munzee.com/map/?sandbox=1&amp;lat=""&amp;$D146&amp;""&amp;lon=""&amp;$E146&amp;""&amp;name=""&amp;SUBSTITUTE($A146,""#"",""%23""),""SANDBOX"""&amp;"),HYPERLINK(""https://www.munzee.com/m/""&amp;$H146&amp;""/deploys/0/type/""&amp;IFNA(VLOOKUP($G146,IMPORTRANGE(""https://docs.google.com/spreadsheets/d/1DliIGyDywdzxhd4svtjaewR0p9Y5UBTMNMQ2PcXsqss"",""type data!E2:F""),2,FALSE),$G146)&amp;""/"",$H146)),""""))"),"LostSparky/1004")</f>
        <v>LostSparky/1004</v>
      </c>
      <c r="L146" s="19" t="b">
        <v>1</v>
      </c>
      <c r="M146" s="12">
        <f t="shared" si="1"/>
        <v>1</v>
      </c>
      <c r="N146" s="13"/>
      <c r="O146" s="13"/>
      <c r="P146" s="15"/>
    </row>
    <row r="147">
      <c r="A147" s="15" t="s">
        <v>227</v>
      </c>
      <c r="B147" s="16">
        <v>9.0</v>
      </c>
      <c r="C147" s="16">
        <v>17.0</v>
      </c>
      <c r="D147" s="17">
        <v>44.864924739282</v>
      </c>
      <c r="E147" s="17">
        <v>-93.333614016608</v>
      </c>
      <c r="F147" s="16" t="s">
        <v>41</v>
      </c>
      <c r="G147" s="16" t="s">
        <v>17</v>
      </c>
      <c r="H147" s="18" t="s">
        <v>216</v>
      </c>
      <c r="I147" s="19">
        <v>5078.0</v>
      </c>
      <c r="J147" s="27"/>
      <c r="K147" s="11" t="str">
        <f>IFERROR(__xludf.DUMMYFUNCTION("IF(AND(REGEXMATCH($H147,""50( ?['fF]([oO]{2})?[tT]?)?( ?[eE][rR]{2}[oO][rR])"")=FALSE,$H147&lt;&gt;"""",$I147&lt;&gt;""""),HYPERLINK(""https://www.munzee.com/m/""&amp;$H147&amp;""/""&amp;$I147&amp;""/map/?lat=""&amp;$D147&amp;""&amp;lon=""&amp;$E147&amp;""&amp;type=""&amp;$G147&amp;""&amp;name=""&amp;SUBSTITUTE($A147,""#"&amp;""",""%23""),$H147&amp;""/""&amp;$I147),IF($H147&lt;&gt;"""",IF(REGEXMATCH($H147,""50( ?['fF]([oO]{2})?[tT]?)?( ?[eE][rR]{2}[oO][rR])""),HYPERLINK(""https://www.munzee.com/map/?sandbox=1&amp;lat=""&amp;$D147&amp;""&amp;lon=""&amp;$E147&amp;""&amp;name=""&amp;SUBSTITUTE($A147,""#"",""%23""),""SANDBOX"""&amp;"),HYPERLINK(""https://www.munzee.com/m/""&amp;$H147&amp;""/deploys/0/type/""&amp;IFNA(VLOOKUP($G147,IMPORTRANGE(""https://docs.google.com/spreadsheets/d/1DliIGyDywdzxhd4svtjaewR0p9Y5UBTMNMQ2PcXsqss"",""type data!E2:F""),2,FALSE),$G147)&amp;""/"",$H147)),""""))"),"tmabrey/5078")</f>
        <v>tmabrey/5078</v>
      </c>
      <c r="L147" s="19" t="b">
        <v>1</v>
      </c>
      <c r="M147" s="12">
        <f t="shared" si="1"/>
        <v>5</v>
      </c>
      <c r="N147" s="13"/>
      <c r="O147" s="13"/>
      <c r="P147" s="15"/>
    </row>
    <row r="148">
      <c r="A148" s="15" t="s">
        <v>228</v>
      </c>
      <c r="B148" s="16">
        <v>9.0</v>
      </c>
      <c r="C148" s="16">
        <v>18.0</v>
      </c>
      <c r="D148" s="17">
        <v>44.864924739103</v>
      </c>
      <c r="E148" s="17">
        <v>-93.333411228573</v>
      </c>
      <c r="F148" s="16" t="s">
        <v>41</v>
      </c>
      <c r="G148" s="16" t="s">
        <v>17</v>
      </c>
      <c r="H148" s="18" t="s">
        <v>229</v>
      </c>
      <c r="I148" s="19">
        <v>2296.0</v>
      </c>
      <c r="J148" s="21"/>
      <c r="K148" s="11" t="str">
        <f>IFERROR(__xludf.DUMMYFUNCTION("IF(AND(REGEXMATCH($H148,""50( ?['fF]([oO]{2})?[tT]?)?( ?[eE][rR]{2}[oO][rR])"")=FALSE,$H148&lt;&gt;"""",$I148&lt;&gt;""""),HYPERLINK(""https://www.munzee.com/m/""&amp;$H148&amp;""/""&amp;$I148&amp;""/map/?lat=""&amp;$D148&amp;""&amp;lon=""&amp;$E148&amp;""&amp;type=""&amp;$G148&amp;""&amp;name=""&amp;SUBSTITUTE($A148,""#"&amp;""",""%23""),$H148&amp;""/""&amp;$I148),IF($H148&lt;&gt;"""",IF(REGEXMATCH($H148,""50( ?['fF]([oO]{2})?[tT]?)?( ?[eE][rR]{2}[oO][rR])""),HYPERLINK(""https://www.munzee.com/map/?sandbox=1&amp;lat=""&amp;$D148&amp;""&amp;lon=""&amp;$E148&amp;""&amp;name=""&amp;SUBSTITUTE($A148,""#"",""%23""),""SANDBOX"""&amp;"),HYPERLINK(""https://www.munzee.com/m/""&amp;$H148&amp;""/deploys/0/type/""&amp;IFNA(VLOOKUP($G148,IMPORTRANGE(""https://docs.google.com/spreadsheets/d/1DliIGyDywdzxhd4svtjaewR0p9Y5UBTMNMQ2PcXsqss"",""type data!E2:F""),2,FALSE),$G148)&amp;""/"",$H148)),""""))"),"pepperino/2296")</f>
        <v>pepperino/2296</v>
      </c>
      <c r="L148" s="19" t="b">
        <v>1</v>
      </c>
      <c r="M148" s="12">
        <f t="shared" si="1"/>
        <v>1</v>
      </c>
      <c r="N148" s="13"/>
      <c r="O148" s="13"/>
      <c r="P148" s="15"/>
    </row>
    <row r="149">
      <c r="A149" s="15" t="s">
        <v>230</v>
      </c>
      <c r="B149" s="16">
        <v>9.0</v>
      </c>
      <c r="C149" s="16">
        <v>19.0</v>
      </c>
      <c r="D149" s="17">
        <v>44.864924738923</v>
      </c>
      <c r="E149" s="17">
        <v>-93.333208440538</v>
      </c>
      <c r="F149" s="16" t="s">
        <v>41</v>
      </c>
      <c r="G149" s="16" t="s">
        <v>17</v>
      </c>
      <c r="H149" s="34" t="s">
        <v>231</v>
      </c>
      <c r="I149" s="19">
        <v>194.0</v>
      </c>
      <c r="J149" s="35"/>
      <c r="K149" s="11" t="str">
        <f>IFERROR(__xludf.DUMMYFUNCTION("IF(AND(REGEXMATCH($H149,""50( ?['fF]([oO]{2})?[tT]?)?( ?[eE][rR]{2}[oO][rR])"")=FALSE,$H149&lt;&gt;"""",$I149&lt;&gt;""""),HYPERLINK(""https://www.munzee.com/m/""&amp;$H149&amp;""/""&amp;$I149&amp;""/map/?lat=""&amp;$D149&amp;""&amp;lon=""&amp;$E149&amp;""&amp;type=""&amp;$G149&amp;""&amp;name=""&amp;SUBSTITUTE($A149,""#"&amp;""",""%23""),$H149&amp;""/""&amp;$I149),IF($H149&lt;&gt;"""",IF(REGEXMATCH($H149,""50( ?['fF]([oO]{2})?[tT]?)?( ?[eE][rR]{2}[oO][rR])""),HYPERLINK(""https://www.munzee.com/map/?sandbox=1&amp;lat=""&amp;$D149&amp;""&amp;lon=""&amp;$E149&amp;""&amp;name=""&amp;SUBSTITUTE($A149,""#"",""%23""),""SANDBOX"""&amp;"),HYPERLINK(""https://www.munzee.com/m/""&amp;$H149&amp;""/deploys/0/type/""&amp;IFNA(VLOOKUP($G149,IMPORTRANGE(""https://docs.google.com/spreadsheets/d/1DliIGyDywdzxhd4svtjaewR0p9Y5UBTMNMQ2PcXsqss"",""type data!E2:F""),2,FALSE),$G149)&amp;""/"",$H149)),""""))"),"KobeJasper/194")</f>
        <v>KobeJasper/194</v>
      </c>
      <c r="L149" s="19" t="b">
        <v>1</v>
      </c>
      <c r="M149" s="12">
        <f t="shared" si="1"/>
        <v>2</v>
      </c>
      <c r="N149" s="13"/>
      <c r="O149" s="13"/>
      <c r="P149" s="15"/>
    </row>
    <row r="150">
      <c r="A150" s="15" t="s">
        <v>232</v>
      </c>
      <c r="B150" s="16">
        <v>9.0</v>
      </c>
      <c r="C150" s="16">
        <v>20.0</v>
      </c>
      <c r="D150" s="17">
        <v>44.864924738744</v>
      </c>
      <c r="E150" s="17">
        <v>-93.333005652503</v>
      </c>
      <c r="F150" s="16" t="s">
        <v>41</v>
      </c>
      <c r="G150" s="16" t="s">
        <v>17</v>
      </c>
      <c r="H150" s="18" t="s">
        <v>216</v>
      </c>
      <c r="I150" s="19">
        <v>5075.0</v>
      </c>
      <c r="J150" s="27"/>
      <c r="K150" s="11" t="str">
        <f>IFERROR(__xludf.DUMMYFUNCTION("IF(AND(REGEXMATCH($H150,""50( ?['fF]([oO]{2})?[tT]?)?( ?[eE][rR]{2}[oO][rR])"")=FALSE,$H150&lt;&gt;"""",$I150&lt;&gt;""""),HYPERLINK(""https://www.munzee.com/m/""&amp;$H150&amp;""/""&amp;$I150&amp;""/map/?lat=""&amp;$D150&amp;""&amp;lon=""&amp;$E150&amp;""&amp;type=""&amp;$G150&amp;""&amp;name=""&amp;SUBSTITUTE($A150,""#"&amp;""",""%23""),$H150&amp;""/""&amp;$I150),IF($H150&lt;&gt;"""",IF(REGEXMATCH($H150,""50( ?['fF]([oO]{2})?[tT]?)?( ?[eE][rR]{2}[oO][rR])""),HYPERLINK(""https://www.munzee.com/map/?sandbox=1&amp;lat=""&amp;$D150&amp;""&amp;lon=""&amp;$E150&amp;""&amp;name=""&amp;SUBSTITUTE($A150,""#"",""%23""),""SANDBOX"""&amp;"),HYPERLINK(""https://www.munzee.com/m/""&amp;$H150&amp;""/deploys/0/type/""&amp;IFNA(VLOOKUP($G150,IMPORTRANGE(""https://docs.google.com/spreadsheets/d/1DliIGyDywdzxhd4svtjaewR0p9Y5UBTMNMQ2PcXsqss"",""type data!E2:F""),2,FALSE),$G150)&amp;""/"",$H150)),""""))"),"tmabrey/5075")</f>
        <v>tmabrey/5075</v>
      </c>
      <c r="L150" s="19" t="b">
        <v>1</v>
      </c>
      <c r="M150" s="12">
        <f t="shared" si="1"/>
        <v>5</v>
      </c>
      <c r="N150" s="13"/>
      <c r="O150" s="13"/>
      <c r="P150" s="15"/>
    </row>
    <row r="151">
      <c r="A151" s="15" t="s">
        <v>233</v>
      </c>
      <c r="B151" s="16">
        <v>9.0</v>
      </c>
      <c r="C151" s="16">
        <v>21.0</v>
      </c>
      <c r="D151" s="17">
        <v>44.864924738564</v>
      </c>
      <c r="E151" s="17">
        <v>-93.332802864468</v>
      </c>
      <c r="F151" s="16" t="s">
        <v>41</v>
      </c>
      <c r="G151" s="16" t="s">
        <v>17</v>
      </c>
      <c r="H151" s="18" t="s">
        <v>234</v>
      </c>
      <c r="I151" s="19">
        <v>5595.0</v>
      </c>
      <c r="J151" s="21"/>
      <c r="K151" s="11" t="str">
        <f>IFERROR(__xludf.DUMMYFUNCTION("IF(AND(REGEXMATCH($H151,""50( ?['fF]([oO]{2})?[tT]?)?( ?[eE][rR]{2}[oO][rR])"")=FALSE,$H151&lt;&gt;"""",$I151&lt;&gt;""""),HYPERLINK(""https://www.munzee.com/m/""&amp;$H151&amp;""/""&amp;$I151&amp;""/map/?lat=""&amp;$D151&amp;""&amp;lon=""&amp;$E151&amp;""&amp;type=""&amp;$G151&amp;""&amp;name=""&amp;SUBSTITUTE($A151,""#"&amp;""",""%23""),$H151&amp;""/""&amp;$I151),IF($H151&lt;&gt;"""",IF(REGEXMATCH($H151,""50( ?['fF]([oO]{2})?[tT]?)?( ?[eE][rR]{2}[oO][rR])""),HYPERLINK(""https://www.munzee.com/map/?sandbox=1&amp;lat=""&amp;$D151&amp;""&amp;lon=""&amp;$E151&amp;""&amp;name=""&amp;SUBSTITUTE($A151,""#"",""%23""),""SANDBOX"""&amp;"),HYPERLINK(""https://www.munzee.com/m/""&amp;$H151&amp;""/deploys/0/type/""&amp;IFNA(VLOOKUP($G151,IMPORTRANGE(""https://docs.google.com/spreadsheets/d/1DliIGyDywdzxhd4svtjaewR0p9Y5UBTMNMQ2PcXsqss"",""type data!E2:F""),2,FALSE),$G151)&amp;""/"",$H151)),""""))"),"Nierenstein/5595")</f>
        <v>Nierenstein/5595</v>
      </c>
      <c r="L151" s="19" t="b">
        <v>1</v>
      </c>
      <c r="M151" s="12">
        <f t="shared" si="1"/>
        <v>1</v>
      </c>
      <c r="N151" s="13"/>
      <c r="O151" s="13"/>
      <c r="P151" s="15"/>
    </row>
    <row r="152">
      <c r="A152" s="15" t="s">
        <v>235</v>
      </c>
      <c r="B152" s="16">
        <v>9.0</v>
      </c>
      <c r="C152" s="16">
        <v>22.0</v>
      </c>
      <c r="D152" s="17">
        <v>44.864924738385</v>
      </c>
      <c r="E152" s="17">
        <v>-93.332600076433</v>
      </c>
      <c r="F152" s="16" t="s">
        <v>41</v>
      </c>
      <c r="G152" s="16" t="s">
        <v>17</v>
      </c>
      <c r="H152" s="18" t="s">
        <v>219</v>
      </c>
      <c r="I152" s="19">
        <v>881.0</v>
      </c>
      <c r="J152" s="21"/>
      <c r="K152" s="11" t="str">
        <f>IFERROR(__xludf.DUMMYFUNCTION("IF(AND(REGEXMATCH($H152,""50( ?['fF]([oO]{2})?[tT]?)?( ?[eE][rR]{2}[oO][rR])"")=FALSE,$H152&lt;&gt;"""",$I152&lt;&gt;""""),HYPERLINK(""https://www.munzee.com/m/""&amp;$H152&amp;""/""&amp;$I152&amp;""/map/?lat=""&amp;$D152&amp;""&amp;lon=""&amp;$E152&amp;""&amp;type=""&amp;$G152&amp;""&amp;name=""&amp;SUBSTITUTE($A152,""#"&amp;""",""%23""),$H152&amp;""/""&amp;$I152),IF($H152&lt;&gt;"""",IF(REGEXMATCH($H152,""50( ?['fF]([oO]{2})?[tT]?)?( ?[eE][rR]{2}[oO][rR])""),HYPERLINK(""https://www.munzee.com/map/?sandbox=1&amp;lat=""&amp;$D152&amp;""&amp;lon=""&amp;$E152&amp;""&amp;name=""&amp;SUBSTITUTE($A152,""#"",""%23""),""SANDBOX"""&amp;"),HYPERLINK(""https://www.munzee.com/m/""&amp;$H152&amp;""/deploys/0/type/""&amp;IFNA(VLOOKUP($G152,IMPORTRANGE(""https://docs.google.com/spreadsheets/d/1DliIGyDywdzxhd4svtjaewR0p9Y5UBTMNMQ2PcXsqss"",""type data!E2:F""),2,FALSE),$G152)&amp;""/"",$H152)),""""))"),"Quiltingisfuntoo/881")</f>
        <v>Quiltingisfuntoo/881</v>
      </c>
      <c r="L152" s="19" t="b">
        <v>1</v>
      </c>
      <c r="M152" s="12">
        <f t="shared" si="1"/>
        <v>8</v>
      </c>
      <c r="N152" s="13"/>
      <c r="O152" s="13"/>
      <c r="P152" s="15"/>
    </row>
    <row r="153">
      <c r="A153" s="15" t="s">
        <v>236</v>
      </c>
      <c r="B153" s="16">
        <v>9.0</v>
      </c>
      <c r="C153" s="16">
        <v>23.0</v>
      </c>
      <c r="D153" s="17">
        <v>44.864924738205</v>
      </c>
      <c r="E153" s="17">
        <v>-93.332397288399</v>
      </c>
      <c r="F153" s="16" t="s">
        <v>41</v>
      </c>
      <c r="G153" s="16" t="s">
        <v>17</v>
      </c>
      <c r="H153" s="18" t="s">
        <v>214</v>
      </c>
      <c r="I153" s="19">
        <v>1497.0</v>
      </c>
      <c r="J153" s="28"/>
      <c r="K153" s="11" t="str">
        <f>IFERROR(__xludf.DUMMYFUNCTION("IF(AND(REGEXMATCH($H153,""50( ?['fF]([oO]{2})?[tT]?)?( ?[eE][rR]{2}[oO][rR])"")=FALSE,$H153&lt;&gt;"""",$I153&lt;&gt;""""),HYPERLINK(""https://www.munzee.com/m/""&amp;$H153&amp;""/""&amp;$I153&amp;""/map/?lat=""&amp;$D153&amp;""&amp;lon=""&amp;$E153&amp;""&amp;type=""&amp;$G153&amp;""&amp;name=""&amp;SUBSTITUTE($A153,""#"&amp;""",""%23""),$H153&amp;""/""&amp;$I153),IF($H153&lt;&gt;"""",IF(REGEXMATCH($H153,""50( ?['fF]([oO]{2})?[tT]?)?( ?[eE][rR]{2}[oO][rR])""),HYPERLINK(""https://www.munzee.com/map/?sandbox=1&amp;lat=""&amp;$D153&amp;""&amp;lon=""&amp;$E153&amp;""&amp;name=""&amp;SUBSTITUTE($A153,""#"",""%23""),""SANDBOX"""&amp;"),HYPERLINK(""https://www.munzee.com/m/""&amp;$H153&amp;""/deploys/0/type/""&amp;IFNA(VLOOKUP($G153,IMPORTRANGE(""https://docs.google.com/spreadsheets/d/1DliIGyDywdzxhd4svtjaewR0p9Y5UBTMNMQ2PcXsqss"",""type data!E2:F""),2,FALSE),$G153)&amp;""/"",$H153)),""""))"),"yida/1497")</f>
        <v>yida/1497</v>
      </c>
      <c r="L153" s="19" t="b">
        <v>1</v>
      </c>
      <c r="M153" s="12">
        <f t="shared" si="1"/>
        <v>3</v>
      </c>
      <c r="N153" s="13"/>
      <c r="O153" s="13"/>
      <c r="P153" s="15"/>
    </row>
    <row r="154">
      <c r="A154" s="15" t="s">
        <v>237</v>
      </c>
      <c r="B154" s="16">
        <v>9.0</v>
      </c>
      <c r="C154" s="16">
        <v>24.0</v>
      </c>
      <c r="D154" s="17">
        <v>44.864924738026</v>
      </c>
      <c r="E154" s="17">
        <v>-93.332194500364</v>
      </c>
      <c r="F154" s="16" t="s">
        <v>41</v>
      </c>
      <c r="G154" s="16" t="s">
        <v>17</v>
      </c>
      <c r="H154" s="18" t="s">
        <v>162</v>
      </c>
      <c r="I154" s="19">
        <v>2230.0</v>
      </c>
      <c r="J154" s="21"/>
      <c r="K154" s="11" t="str">
        <f>IFERROR(__xludf.DUMMYFUNCTION("IF(AND(REGEXMATCH($H154,""50( ?['fF]([oO]{2})?[tT]?)?( ?[eE][rR]{2}[oO][rR])"")=FALSE,$H154&lt;&gt;"""",$I154&lt;&gt;""""),HYPERLINK(""https://www.munzee.com/m/""&amp;$H154&amp;""/""&amp;$I154&amp;""/map/?lat=""&amp;$D154&amp;""&amp;lon=""&amp;$E154&amp;""&amp;type=""&amp;$G154&amp;""&amp;name=""&amp;SUBSTITUTE($A154,""#"&amp;""",""%23""),$H154&amp;""/""&amp;$I154),IF($H154&lt;&gt;"""",IF(REGEXMATCH($H154,""50( ?['fF]([oO]{2})?[tT]?)?( ?[eE][rR]{2}[oO][rR])""),HYPERLINK(""https://www.munzee.com/map/?sandbox=1&amp;lat=""&amp;$D154&amp;""&amp;lon=""&amp;$E154&amp;""&amp;name=""&amp;SUBSTITUTE($A154,""#"",""%23""),""SANDBOX"""&amp;"),HYPERLINK(""https://www.munzee.com/m/""&amp;$H154&amp;""/deploys/0/type/""&amp;IFNA(VLOOKUP($G154,IMPORTRANGE(""https://docs.google.com/spreadsheets/d/1DliIGyDywdzxhd4svtjaewR0p9Y5UBTMNMQ2PcXsqss"",""type data!E2:F""),2,FALSE),$G154)&amp;""/"",$H154)),""""))"),"CoffeeBender/2230")</f>
        <v>CoffeeBender/2230</v>
      </c>
      <c r="L154" s="19" t="b">
        <v>1</v>
      </c>
      <c r="M154" s="12">
        <f t="shared" si="1"/>
        <v>9</v>
      </c>
      <c r="N154" s="13"/>
      <c r="O154" s="13"/>
      <c r="P154" s="29"/>
    </row>
    <row r="155">
      <c r="A155" s="15" t="s">
        <v>238</v>
      </c>
      <c r="B155" s="16">
        <v>9.0</v>
      </c>
      <c r="C155" s="16">
        <v>25.0</v>
      </c>
      <c r="D155" s="17">
        <v>44.864924737847</v>
      </c>
      <c r="E155" s="17">
        <v>-93.331991712329</v>
      </c>
      <c r="F155" s="16" t="s">
        <v>16</v>
      </c>
      <c r="G155" s="16" t="s">
        <v>17</v>
      </c>
      <c r="H155" s="18" t="s">
        <v>95</v>
      </c>
      <c r="I155" s="19">
        <v>1279.0</v>
      </c>
      <c r="J155" s="21"/>
      <c r="K155" s="11" t="str">
        <f>IFERROR(__xludf.DUMMYFUNCTION("IF(AND(REGEXMATCH($H155,""50( ?['fF]([oO]{2})?[tT]?)?( ?[eE][rR]{2}[oO][rR])"")=FALSE,$H155&lt;&gt;"""",$I155&lt;&gt;""""),HYPERLINK(""https://www.munzee.com/m/""&amp;$H155&amp;""/""&amp;$I155&amp;""/map/?lat=""&amp;$D155&amp;""&amp;lon=""&amp;$E155&amp;""&amp;type=""&amp;$G155&amp;""&amp;name=""&amp;SUBSTITUTE($A155,""#"&amp;""",""%23""),$H155&amp;""/""&amp;$I155),IF($H155&lt;&gt;"""",IF(REGEXMATCH($H155,""50( ?['fF]([oO]{2})?[tT]?)?( ?[eE][rR]{2}[oO][rR])""),HYPERLINK(""https://www.munzee.com/map/?sandbox=1&amp;lat=""&amp;$D155&amp;""&amp;lon=""&amp;$E155&amp;""&amp;name=""&amp;SUBSTITUTE($A155,""#"",""%23""),""SANDBOX"""&amp;"),HYPERLINK(""https://www.munzee.com/m/""&amp;$H155&amp;""/deploys/0/type/""&amp;IFNA(VLOOKUP($G155,IMPORTRANGE(""https://docs.google.com/spreadsheets/d/1DliIGyDywdzxhd4svtjaewR0p9Y5UBTMNMQ2PcXsqss"",""type data!E2:F""),2,FALSE),$G155)&amp;""/"",$H155)),""""))"),"munzeepa/1279")</f>
        <v>munzeepa/1279</v>
      </c>
      <c r="L155" s="19" t="b">
        <v>1</v>
      </c>
      <c r="M155" s="12">
        <f t="shared" si="1"/>
        <v>20</v>
      </c>
      <c r="N155" s="13"/>
      <c r="O155" s="13"/>
      <c r="P155" s="15"/>
    </row>
    <row r="156">
      <c r="A156" s="15" t="s">
        <v>239</v>
      </c>
      <c r="B156" s="16">
        <v>10.0</v>
      </c>
      <c r="C156" s="16">
        <v>4.0</v>
      </c>
      <c r="D156" s="17">
        <v>44.864781011169</v>
      </c>
      <c r="E156" s="17">
        <v>-93.336250270681</v>
      </c>
      <c r="F156" s="16" t="s">
        <v>16</v>
      </c>
      <c r="G156" s="16" t="s">
        <v>17</v>
      </c>
      <c r="H156" s="18" t="s">
        <v>14</v>
      </c>
      <c r="I156" s="19">
        <v>782.0</v>
      </c>
      <c r="J156" s="20"/>
      <c r="K156" s="11" t="str">
        <f>IFERROR(__xludf.DUMMYFUNCTION("IF(AND(REGEXMATCH($H156,""50( ?['fF]([oO]{2})?[tT]?)?( ?[eE][rR]{2}[oO][rR])"")=FALSE,$H156&lt;&gt;"""",$I156&lt;&gt;""""),HYPERLINK(""https://www.munzee.com/m/""&amp;$H156&amp;""/""&amp;$I156&amp;""/map/?lat=""&amp;$D156&amp;""&amp;lon=""&amp;$E156&amp;""&amp;type=""&amp;$G156&amp;""&amp;name=""&amp;SUBSTITUTE($A156,""#"&amp;""",""%23""),$H156&amp;""/""&amp;$I156),IF($H156&lt;&gt;"""",IF(REGEXMATCH($H156,""50( ?['fF]([oO]{2})?[tT]?)?( ?[eE][rR]{2}[oO][rR])""),HYPERLINK(""https://www.munzee.com/map/?sandbox=1&amp;lat=""&amp;$D156&amp;""&amp;lon=""&amp;$E156&amp;""&amp;name=""&amp;SUBSTITUTE($A156,""#"",""%23""),""SANDBOX"""&amp;"),HYPERLINK(""https://www.munzee.com/m/""&amp;$H156&amp;""/deploys/0/type/""&amp;IFNA(VLOOKUP($G156,IMPORTRANGE(""https://docs.google.com/spreadsheets/d/1DliIGyDywdzxhd4svtjaewR0p9Y5UBTMNMQ2PcXsqss"",""type data!E2:F""),2,FALSE),$G156)&amp;""/"",$H156)),""""))"),"JABIE28/782")</f>
        <v>JABIE28/782</v>
      </c>
      <c r="L156" s="19" t="b">
        <v>1</v>
      </c>
      <c r="M156" s="12">
        <f t="shared" si="1"/>
        <v>85</v>
      </c>
      <c r="N156" s="13"/>
      <c r="O156" s="13"/>
      <c r="P156" s="15"/>
    </row>
    <row r="157">
      <c r="A157" s="15" t="s">
        <v>240</v>
      </c>
      <c r="B157" s="16">
        <v>10.0</v>
      </c>
      <c r="C157" s="16">
        <v>5.0</v>
      </c>
      <c r="D157" s="17">
        <v>44.86478101099</v>
      </c>
      <c r="E157" s="17">
        <v>-93.336047483152</v>
      </c>
      <c r="F157" s="16" t="s">
        <v>41</v>
      </c>
      <c r="G157" s="16" t="s">
        <v>17</v>
      </c>
      <c r="H157" s="18" t="s">
        <v>241</v>
      </c>
      <c r="I157" s="19">
        <v>1420.0</v>
      </c>
      <c r="J157" s="20"/>
      <c r="K157" s="11" t="str">
        <f>IFERROR(__xludf.DUMMYFUNCTION("IF(AND(REGEXMATCH($H157,""50( ?['fF]([oO]{2})?[tT]?)?( ?[eE][rR]{2}[oO][rR])"")=FALSE,$H157&lt;&gt;"""",$I157&lt;&gt;""""),HYPERLINK(""https://www.munzee.com/m/""&amp;$H157&amp;""/""&amp;$I157&amp;""/map/?lat=""&amp;$D157&amp;""&amp;lon=""&amp;$E157&amp;""&amp;type=""&amp;$G157&amp;""&amp;name=""&amp;SUBSTITUTE($A157,""#"&amp;""",""%23""),$H157&amp;""/""&amp;$I157),IF($H157&lt;&gt;"""",IF(REGEXMATCH($H157,""50( ?['fF]([oO]{2})?[tT]?)?( ?[eE][rR]{2}[oO][rR])""),HYPERLINK(""https://www.munzee.com/map/?sandbox=1&amp;lat=""&amp;$D157&amp;""&amp;lon=""&amp;$E157&amp;""&amp;name=""&amp;SUBSTITUTE($A157,""#"",""%23""),""SANDBOX"""&amp;"),HYPERLINK(""https://www.munzee.com/m/""&amp;$H157&amp;""/deploys/0/type/""&amp;IFNA(VLOOKUP($G157,IMPORTRANGE(""https://docs.google.com/spreadsheets/d/1DliIGyDywdzxhd4svtjaewR0p9Y5UBTMNMQ2PcXsqss"",""type data!E2:F""),2,FALSE),$G157)&amp;""/"",$H157)),""""))"),"whatsoverthere/1420")</f>
        <v>whatsoverthere/1420</v>
      </c>
      <c r="L157" s="19" t="b">
        <v>1</v>
      </c>
      <c r="M157" s="12">
        <f t="shared" si="1"/>
        <v>1</v>
      </c>
      <c r="N157" s="13"/>
      <c r="O157" s="13"/>
      <c r="P157" s="15"/>
    </row>
    <row r="158">
      <c r="A158" s="15" t="s">
        <v>242</v>
      </c>
      <c r="B158" s="16">
        <v>10.0</v>
      </c>
      <c r="C158" s="16">
        <v>6.0</v>
      </c>
      <c r="D158" s="17">
        <v>44.86478101081</v>
      </c>
      <c r="E158" s="17">
        <v>-93.335844695624</v>
      </c>
      <c r="F158" s="16" t="s">
        <v>41</v>
      </c>
      <c r="G158" s="16" t="s">
        <v>17</v>
      </c>
      <c r="H158" s="18" t="s">
        <v>99</v>
      </c>
      <c r="I158" s="19">
        <v>1662.0</v>
      </c>
      <c r="J158" s="21"/>
      <c r="K158" s="11" t="str">
        <f>IFERROR(__xludf.DUMMYFUNCTION("IF(AND(REGEXMATCH($H158,""50( ?['fF]([oO]{2})?[tT]?)?( ?[eE][rR]{2}[oO][rR])"")=FALSE,$H158&lt;&gt;"""",$I158&lt;&gt;""""),HYPERLINK(""https://www.munzee.com/m/""&amp;$H158&amp;""/""&amp;$I158&amp;""/map/?lat=""&amp;$D158&amp;""&amp;lon=""&amp;$E158&amp;""&amp;type=""&amp;$G158&amp;""&amp;name=""&amp;SUBSTITUTE($A158,""#"&amp;""",""%23""),$H158&amp;""/""&amp;$I158),IF($H158&lt;&gt;"""",IF(REGEXMATCH($H158,""50( ?['fF]([oO]{2})?[tT]?)?( ?[eE][rR]{2}[oO][rR])""),HYPERLINK(""https://www.munzee.com/map/?sandbox=1&amp;lat=""&amp;$D158&amp;""&amp;lon=""&amp;$E158&amp;""&amp;name=""&amp;SUBSTITUTE($A158,""#"",""%23""),""SANDBOX"""&amp;"),HYPERLINK(""https://www.munzee.com/m/""&amp;$H158&amp;""/deploys/0/type/""&amp;IFNA(VLOOKUP($G158,IMPORTRANGE(""https://docs.google.com/spreadsheets/d/1DliIGyDywdzxhd4svtjaewR0p9Y5UBTMNMQ2PcXsqss"",""type data!E2:F""),2,FALSE),$G158)&amp;""/"",$H158)),""""))"),"jsamundson/1662")</f>
        <v>jsamundson/1662</v>
      </c>
      <c r="L158" s="19" t="b">
        <v>1</v>
      </c>
      <c r="M158" s="12">
        <f t="shared" si="1"/>
        <v>20</v>
      </c>
      <c r="N158" s="13"/>
      <c r="O158" s="13"/>
      <c r="P158" s="15"/>
    </row>
    <row r="159">
      <c r="A159" s="15" t="s">
        <v>243</v>
      </c>
      <c r="B159" s="16">
        <v>10.0</v>
      </c>
      <c r="C159" s="16">
        <v>7.0</v>
      </c>
      <c r="D159" s="17">
        <v>44.864781010631</v>
      </c>
      <c r="E159" s="17">
        <v>-93.335641908095</v>
      </c>
      <c r="F159" s="16" t="s">
        <v>41</v>
      </c>
      <c r="G159" s="16" t="s">
        <v>17</v>
      </c>
      <c r="H159" s="18" t="s">
        <v>14</v>
      </c>
      <c r="I159" s="19">
        <v>2029.0</v>
      </c>
      <c r="J159" s="20"/>
      <c r="K159" s="11" t="str">
        <f>IFERROR(__xludf.DUMMYFUNCTION("IF(AND(REGEXMATCH($H159,""50( ?['fF]([oO]{2})?[tT]?)?( ?[eE][rR]{2}[oO][rR])"")=FALSE,$H159&lt;&gt;"""",$I159&lt;&gt;""""),HYPERLINK(""https://www.munzee.com/m/""&amp;$H159&amp;""/""&amp;$I159&amp;""/map/?lat=""&amp;$D159&amp;""&amp;lon=""&amp;$E159&amp;""&amp;type=""&amp;$G159&amp;""&amp;name=""&amp;SUBSTITUTE($A159,""#"&amp;""",""%23""),$H159&amp;""/""&amp;$I159),IF($H159&lt;&gt;"""",IF(REGEXMATCH($H159,""50( ?['fF]([oO]{2})?[tT]?)?( ?[eE][rR]{2}[oO][rR])""),HYPERLINK(""https://www.munzee.com/map/?sandbox=1&amp;lat=""&amp;$D159&amp;""&amp;lon=""&amp;$E159&amp;""&amp;name=""&amp;SUBSTITUTE($A159,""#"",""%23""),""SANDBOX"""&amp;"),HYPERLINK(""https://www.munzee.com/m/""&amp;$H159&amp;""/deploys/0/type/""&amp;IFNA(VLOOKUP($G159,IMPORTRANGE(""https://docs.google.com/spreadsheets/d/1DliIGyDywdzxhd4svtjaewR0p9Y5UBTMNMQ2PcXsqss"",""type data!E2:F""),2,FALSE),$G159)&amp;""/"",$H159)),""""))"),"JABIE28/2029")</f>
        <v>JABIE28/2029</v>
      </c>
      <c r="L159" s="19" t="b">
        <v>1</v>
      </c>
      <c r="M159" s="12">
        <f t="shared" si="1"/>
        <v>85</v>
      </c>
      <c r="N159" s="13"/>
      <c r="O159" s="13"/>
      <c r="P159" s="15"/>
    </row>
    <row r="160">
      <c r="A160" s="15" t="s">
        <v>244</v>
      </c>
      <c r="B160" s="16">
        <v>10.0</v>
      </c>
      <c r="C160" s="16">
        <v>8.0</v>
      </c>
      <c r="D160" s="17">
        <v>44.864781010451</v>
      </c>
      <c r="E160" s="17">
        <v>-93.335439120567</v>
      </c>
      <c r="F160" s="16" t="s">
        <v>41</v>
      </c>
      <c r="G160" s="16" t="s">
        <v>17</v>
      </c>
      <c r="H160" s="18" t="s">
        <v>202</v>
      </c>
      <c r="I160" s="19">
        <v>1054.0</v>
      </c>
      <c r="J160" s="20"/>
      <c r="K160" s="11" t="str">
        <f>IFERROR(__xludf.DUMMYFUNCTION("IF(AND(REGEXMATCH($H160,""50( ?['fF]([oO]{2})?[tT]?)?( ?[eE][rR]{2}[oO][rR])"")=FALSE,$H160&lt;&gt;"""",$I160&lt;&gt;""""),HYPERLINK(""https://www.munzee.com/m/""&amp;$H160&amp;""/""&amp;$I160&amp;""/map/?lat=""&amp;$D160&amp;""&amp;lon=""&amp;$E160&amp;""&amp;type=""&amp;$G160&amp;""&amp;name=""&amp;SUBSTITUTE($A160,""#"&amp;""",""%23""),$H160&amp;""/""&amp;$I160),IF($H160&lt;&gt;"""",IF(REGEXMATCH($H160,""50( ?['fF]([oO]{2})?[tT]?)?( ?[eE][rR]{2}[oO][rR])""),HYPERLINK(""https://www.munzee.com/map/?sandbox=1&amp;lat=""&amp;$D160&amp;""&amp;lon=""&amp;$E160&amp;""&amp;name=""&amp;SUBSTITUTE($A160,""#"",""%23""),""SANDBOX"""&amp;"),HYPERLINK(""https://www.munzee.com/m/""&amp;$H160&amp;""/deploys/0/type/""&amp;IFNA(VLOOKUP($G160,IMPORTRANGE(""https://docs.google.com/spreadsheets/d/1DliIGyDywdzxhd4svtjaewR0p9Y5UBTMNMQ2PcXsqss"",""type data!E2:F""),2,FALSE),$G160)&amp;""/"",$H160)),""""))"),"julesbeus/1054")</f>
        <v>julesbeus/1054</v>
      </c>
      <c r="L160" s="19" t="b">
        <v>1</v>
      </c>
      <c r="M160" s="12">
        <f t="shared" si="1"/>
        <v>3</v>
      </c>
      <c r="N160" s="13"/>
      <c r="O160" s="13"/>
      <c r="P160" s="15"/>
    </row>
    <row r="161">
      <c r="A161" s="15" t="s">
        <v>245</v>
      </c>
      <c r="B161" s="16">
        <v>10.0</v>
      </c>
      <c r="C161" s="16">
        <v>9.0</v>
      </c>
      <c r="D161" s="17">
        <v>44.864781010272</v>
      </c>
      <c r="E161" s="17">
        <v>-93.335236333038</v>
      </c>
      <c r="F161" s="16" t="s">
        <v>41</v>
      </c>
      <c r="G161" s="16" t="s">
        <v>17</v>
      </c>
      <c r="H161" s="18" t="s">
        <v>246</v>
      </c>
      <c r="I161" s="19">
        <v>107.0</v>
      </c>
      <c r="J161" s="28"/>
      <c r="K161" s="11" t="str">
        <f>IFERROR(__xludf.DUMMYFUNCTION("IF(AND(REGEXMATCH($H161,""50( ?['fF]([oO]{2})?[tT]?)?( ?[eE][rR]{2}[oO][rR])"")=FALSE,$H161&lt;&gt;"""",$I161&lt;&gt;""""),HYPERLINK(""https://www.munzee.com/m/""&amp;$H161&amp;""/""&amp;$I161&amp;""/map/?lat=""&amp;$D161&amp;""&amp;lon=""&amp;$E161&amp;""&amp;type=""&amp;$G161&amp;""&amp;name=""&amp;SUBSTITUTE($A161,""#"&amp;""",""%23""),$H161&amp;""/""&amp;$I161),IF($H161&lt;&gt;"""",IF(REGEXMATCH($H161,""50( ?['fF]([oO]{2})?[tT]?)?( ?[eE][rR]{2}[oO][rR])""),HYPERLINK(""https://www.munzee.com/map/?sandbox=1&amp;lat=""&amp;$D161&amp;""&amp;lon=""&amp;$E161&amp;""&amp;name=""&amp;SUBSTITUTE($A161,""#"",""%23""),""SANDBOX"""&amp;"),HYPERLINK(""https://www.munzee.com/m/""&amp;$H161&amp;""/deploys/0/type/""&amp;IFNA(VLOOKUP($G161,IMPORTRANGE(""https://docs.google.com/spreadsheets/d/1DliIGyDywdzxhd4svtjaewR0p9Y5UBTMNMQ2PcXsqss"",""type data!E2:F""),2,FALSE),$G161)&amp;""/"",$H161)),""""))"),"qwerty2582/107")</f>
        <v>qwerty2582/107</v>
      </c>
      <c r="L161" s="19" t="b">
        <v>1</v>
      </c>
      <c r="M161" s="12">
        <f t="shared" si="1"/>
        <v>12</v>
      </c>
      <c r="N161" s="13"/>
      <c r="O161" s="13"/>
      <c r="P161" s="15"/>
    </row>
    <row r="162">
      <c r="A162" s="15" t="s">
        <v>247</v>
      </c>
      <c r="B162" s="16">
        <v>10.0</v>
      </c>
      <c r="C162" s="16">
        <v>10.0</v>
      </c>
      <c r="D162" s="17">
        <v>44.864781010093</v>
      </c>
      <c r="E162" s="17">
        <v>-93.335033545509</v>
      </c>
      <c r="F162" s="16" t="s">
        <v>41</v>
      </c>
      <c r="G162" s="16" t="s">
        <v>17</v>
      </c>
      <c r="H162" s="18" t="s">
        <v>14</v>
      </c>
      <c r="I162" s="19">
        <v>2025.0</v>
      </c>
      <c r="J162" s="20"/>
      <c r="K162" s="11" t="str">
        <f>IFERROR(__xludf.DUMMYFUNCTION("IF(AND(REGEXMATCH($H162,""50( ?['fF]([oO]{2})?[tT]?)?( ?[eE][rR]{2}[oO][rR])"")=FALSE,$H162&lt;&gt;"""",$I162&lt;&gt;""""),HYPERLINK(""https://www.munzee.com/m/""&amp;$H162&amp;""/""&amp;$I162&amp;""/map/?lat=""&amp;$D162&amp;""&amp;lon=""&amp;$E162&amp;""&amp;type=""&amp;$G162&amp;""&amp;name=""&amp;SUBSTITUTE($A162,""#"&amp;""",""%23""),$H162&amp;""/""&amp;$I162),IF($H162&lt;&gt;"""",IF(REGEXMATCH($H162,""50( ?['fF]([oO]{2})?[tT]?)?( ?[eE][rR]{2}[oO][rR])""),HYPERLINK(""https://www.munzee.com/map/?sandbox=1&amp;lat=""&amp;$D162&amp;""&amp;lon=""&amp;$E162&amp;""&amp;name=""&amp;SUBSTITUTE($A162,""#"",""%23""),""SANDBOX"""&amp;"),HYPERLINK(""https://www.munzee.com/m/""&amp;$H162&amp;""/deploys/0/type/""&amp;IFNA(VLOOKUP($G162,IMPORTRANGE(""https://docs.google.com/spreadsheets/d/1DliIGyDywdzxhd4svtjaewR0p9Y5UBTMNMQ2PcXsqss"",""type data!E2:F""),2,FALSE),$G162)&amp;""/"",$H162)),""""))"),"JABIE28/2025")</f>
        <v>JABIE28/2025</v>
      </c>
      <c r="L162" s="19" t="b">
        <v>1</v>
      </c>
      <c r="M162" s="12">
        <f t="shared" si="1"/>
        <v>85</v>
      </c>
      <c r="N162" s="13"/>
      <c r="O162" s="13"/>
      <c r="P162" s="15"/>
    </row>
    <row r="163">
      <c r="A163" s="15" t="s">
        <v>248</v>
      </c>
      <c r="B163" s="16">
        <v>10.0</v>
      </c>
      <c r="C163" s="16">
        <v>11.0</v>
      </c>
      <c r="D163" s="17">
        <v>44.864781009913</v>
      </c>
      <c r="E163" s="17">
        <v>-93.334830757981</v>
      </c>
      <c r="F163" s="16" t="s">
        <v>41</v>
      </c>
      <c r="G163" s="16" t="s">
        <v>17</v>
      </c>
      <c r="H163" s="18" t="s">
        <v>249</v>
      </c>
      <c r="I163" s="19">
        <v>5040.0</v>
      </c>
      <c r="J163" s="20"/>
      <c r="K163" s="11" t="str">
        <f>IFERROR(__xludf.DUMMYFUNCTION("IF(AND(REGEXMATCH($H163,""50( ?['fF]([oO]{2})?[tT]?)?( ?[eE][rR]{2}[oO][rR])"")=FALSE,$H163&lt;&gt;"""",$I163&lt;&gt;""""),HYPERLINK(""https://www.munzee.com/m/""&amp;$H163&amp;""/""&amp;$I163&amp;""/map/?lat=""&amp;$D163&amp;""&amp;lon=""&amp;$E163&amp;""&amp;type=""&amp;$G163&amp;""&amp;name=""&amp;SUBSTITUTE($A163,""#"&amp;""",""%23""),$H163&amp;""/""&amp;$I163),IF($H163&lt;&gt;"""",IF(REGEXMATCH($H163,""50( ?['fF]([oO]{2})?[tT]?)?( ?[eE][rR]{2}[oO][rR])""),HYPERLINK(""https://www.munzee.com/map/?sandbox=1&amp;lat=""&amp;$D163&amp;""&amp;lon=""&amp;$E163&amp;""&amp;name=""&amp;SUBSTITUTE($A163,""#"",""%23""),""SANDBOX"""&amp;"),HYPERLINK(""https://www.munzee.com/m/""&amp;$H163&amp;""/deploys/0/type/""&amp;IFNA(VLOOKUP($G163,IMPORTRANGE(""https://docs.google.com/spreadsheets/d/1DliIGyDywdzxhd4svtjaewR0p9Y5UBTMNMQ2PcXsqss"",""type data!E2:F""),2,FALSE),$G163)&amp;""/"",$H163)),""""))"),"janzattic/5040")</f>
        <v>janzattic/5040</v>
      </c>
      <c r="L163" s="19" t="b">
        <v>1</v>
      </c>
      <c r="M163" s="12">
        <f t="shared" si="1"/>
        <v>2</v>
      </c>
      <c r="N163" s="13"/>
      <c r="O163" s="13"/>
      <c r="P163" s="29"/>
    </row>
    <row r="164">
      <c r="A164" s="15" t="s">
        <v>250</v>
      </c>
      <c r="B164" s="16">
        <v>10.0</v>
      </c>
      <c r="C164" s="16">
        <v>12.0</v>
      </c>
      <c r="D164" s="17">
        <v>44.864781009734</v>
      </c>
      <c r="E164" s="17">
        <v>-93.334627970452</v>
      </c>
      <c r="F164" s="16" t="s">
        <v>41</v>
      </c>
      <c r="G164" s="16" t="s">
        <v>17</v>
      </c>
      <c r="H164" s="18" t="s">
        <v>121</v>
      </c>
      <c r="I164" s="19">
        <v>2356.0</v>
      </c>
      <c r="J164" s="20"/>
      <c r="K164" s="11" t="str">
        <f>IFERROR(__xludf.DUMMYFUNCTION("IF(AND(REGEXMATCH($H164,""50( ?['fF]([oO]{2})?[tT]?)?( ?[eE][rR]{2}[oO][rR])"")=FALSE,$H164&lt;&gt;"""",$I164&lt;&gt;""""),HYPERLINK(""https://www.munzee.com/m/""&amp;$H164&amp;""/""&amp;$I164&amp;""/map/?lat=""&amp;$D164&amp;""&amp;lon=""&amp;$E164&amp;""&amp;type=""&amp;$G164&amp;""&amp;name=""&amp;SUBSTITUTE($A164,""#"&amp;""",""%23""),$H164&amp;""/""&amp;$I164),IF($H164&lt;&gt;"""",IF(REGEXMATCH($H164,""50( ?['fF]([oO]{2})?[tT]?)?( ?[eE][rR]{2}[oO][rR])""),HYPERLINK(""https://www.munzee.com/map/?sandbox=1&amp;lat=""&amp;$D164&amp;""&amp;lon=""&amp;$E164&amp;""&amp;name=""&amp;SUBSTITUTE($A164,""#"",""%23""),""SANDBOX"""&amp;"),HYPERLINK(""https://www.munzee.com/m/""&amp;$H164&amp;""/deploys/0/type/""&amp;IFNA(VLOOKUP($G164,IMPORTRANGE(""https://docs.google.com/spreadsheets/d/1DliIGyDywdzxhd4svtjaewR0p9Y5UBTMNMQ2PcXsqss"",""type data!E2:F""),2,FALSE),$G164)&amp;""/"",$H164)),""""))"),"orky99/2356")</f>
        <v>orky99/2356</v>
      </c>
      <c r="L164" s="19" t="b">
        <v>1</v>
      </c>
      <c r="M164" s="12">
        <f t="shared" si="1"/>
        <v>4</v>
      </c>
      <c r="N164" s="13"/>
      <c r="O164" s="13"/>
      <c r="P164" s="29"/>
    </row>
    <row r="165">
      <c r="A165" s="15" t="s">
        <v>251</v>
      </c>
      <c r="B165" s="16">
        <v>10.0</v>
      </c>
      <c r="C165" s="16">
        <v>13.0</v>
      </c>
      <c r="D165" s="17">
        <v>44.864781009554</v>
      </c>
      <c r="E165" s="17">
        <v>-93.334425182924</v>
      </c>
      <c r="F165" s="16" t="s">
        <v>41</v>
      </c>
      <c r="G165" s="16" t="s">
        <v>17</v>
      </c>
      <c r="H165" s="18" t="s">
        <v>14</v>
      </c>
      <c r="I165" s="19">
        <v>2024.0</v>
      </c>
      <c r="J165" s="20"/>
      <c r="K165" s="11" t="str">
        <f>IFERROR(__xludf.DUMMYFUNCTION("IF(AND(REGEXMATCH($H165,""50( ?['fF]([oO]{2})?[tT]?)?( ?[eE][rR]{2}[oO][rR])"")=FALSE,$H165&lt;&gt;"""",$I165&lt;&gt;""""),HYPERLINK(""https://www.munzee.com/m/""&amp;$H165&amp;""/""&amp;$I165&amp;""/map/?lat=""&amp;$D165&amp;""&amp;lon=""&amp;$E165&amp;""&amp;type=""&amp;$G165&amp;""&amp;name=""&amp;SUBSTITUTE($A165,""#"&amp;""",""%23""),$H165&amp;""/""&amp;$I165),IF($H165&lt;&gt;"""",IF(REGEXMATCH($H165,""50( ?['fF]([oO]{2})?[tT]?)?( ?[eE][rR]{2}[oO][rR])""),HYPERLINK(""https://www.munzee.com/map/?sandbox=1&amp;lat=""&amp;$D165&amp;""&amp;lon=""&amp;$E165&amp;""&amp;name=""&amp;SUBSTITUTE($A165,""#"",""%23""),""SANDBOX"""&amp;"),HYPERLINK(""https://www.munzee.com/m/""&amp;$H165&amp;""/deploys/0/type/""&amp;IFNA(VLOOKUP($G165,IMPORTRANGE(""https://docs.google.com/spreadsheets/d/1DliIGyDywdzxhd4svtjaewR0p9Y5UBTMNMQ2PcXsqss"",""type data!E2:F""),2,FALSE),$G165)&amp;""/"",$H165)),""""))"),"JABIE28/2024")</f>
        <v>JABIE28/2024</v>
      </c>
      <c r="L165" s="19" t="b">
        <v>1</v>
      </c>
      <c r="M165" s="12">
        <f t="shared" si="1"/>
        <v>85</v>
      </c>
      <c r="N165" s="13"/>
      <c r="O165" s="13"/>
      <c r="P165" s="15"/>
    </row>
    <row r="166">
      <c r="A166" s="15" t="s">
        <v>252</v>
      </c>
      <c r="B166" s="16">
        <v>10.0</v>
      </c>
      <c r="C166" s="16">
        <v>14.0</v>
      </c>
      <c r="D166" s="17">
        <v>44.864781009375</v>
      </c>
      <c r="E166" s="17">
        <v>-93.334222395395</v>
      </c>
      <c r="F166" s="16" t="s">
        <v>41</v>
      </c>
      <c r="G166" s="16" t="s">
        <v>17</v>
      </c>
      <c r="H166" s="18" t="s">
        <v>210</v>
      </c>
      <c r="I166" s="19">
        <v>1567.0</v>
      </c>
      <c r="J166" s="20"/>
      <c r="K166" s="11" t="str">
        <f>IFERROR(__xludf.DUMMYFUNCTION("IF(AND(REGEXMATCH($H166,""50( ?['fF]([oO]{2})?[tT]?)?( ?[eE][rR]{2}[oO][rR])"")=FALSE,$H166&lt;&gt;"""",$I166&lt;&gt;""""),HYPERLINK(""https://www.munzee.com/m/""&amp;$H166&amp;""/""&amp;$I166&amp;""/map/?lat=""&amp;$D166&amp;""&amp;lon=""&amp;$E166&amp;""&amp;type=""&amp;$G166&amp;""&amp;name=""&amp;SUBSTITUTE($A166,""#"&amp;""",""%23""),$H166&amp;""/""&amp;$I166),IF($H166&lt;&gt;"""",IF(REGEXMATCH($H166,""50( ?['fF]([oO]{2})?[tT]?)?( ?[eE][rR]{2}[oO][rR])""),HYPERLINK(""https://www.munzee.com/map/?sandbox=1&amp;lat=""&amp;$D166&amp;""&amp;lon=""&amp;$E166&amp;""&amp;name=""&amp;SUBSTITUTE($A166,""#"",""%23""),""SANDBOX"""&amp;"),HYPERLINK(""https://www.munzee.com/m/""&amp;$H166&amp;""/deploys/0/type/""&amp;IFNA(VLOOKUP($G166,IMPORTRANGE(""https://docs.google.com/spreadsheets/d/1DliIGyDywdzxhd4svtjaewR0p9Y5UBTMNMQ2PcXsqss"",""type data!E2:F""),2,FALSE),$G166)&amp;""/"",$H166)),""""))"),"kyor99/1567")</f>
        <v>kyor99/1567</v>
      </c>
      <c r="L166" s="19" t="b">
        <v>1</v>
      </c>
      <c r="M166" s="12">
        <f t="shared" si="1"/>
        <v>2</v>
      </c>
      <c r="N166" s="13"/>
      <c r="O166" s="13"/>
      <c r="P166" s="15"/>
    </row>
    <row r="167">
      <c r="A167" s="15" t="s">
        <v>253</v>
      </c>
      <c r="B167" s="16">
        <v>10.0</v>
      </c>
      <c r="C167" s="16">
        <v>15.0</v>
      </c>
      <c r="D167" s="17">
        <v>44.864781009195</v>
      </c>
      <c r="E167" s="17">
        <v>-93.334019607867</v>
      </c>
      <c r="F167" s="16" t="s">
        <v>41</v>
      </c>
      <c r="G167" s="16" t="s">
        <v>17</v>
      </c>
      <c r="H167" s="18" t="s">
        <v>254</v>
      </c>
      <c r="I167" s="19">
        <v>9316.0</v>
      </c>
      <c r="J167" s="21"/>
      <c r="K167" s="11" t="str">
        <f>IFERROR(__xludf.DUMMYFUNCTION("IF(AND(REGEXMATCH($H167,""50( ?['fF]([oO]{2})?[tT]?)?( ?[eE][rR]{2}[oO][rR])"")=FALSE,$H167&lt;&gt;"""",$I167&lt;&gt;""""),HYPERLINK(""https://www.munzee.com/m/""&amp;$H167&amp;""/""&amp;$I167&amp;""/map/?lat=""&amp;$D167&amp;""&amp;lon=""&amp;$E167&amp;""&amp;type=""&amp;$G167&amp;""&amp;name=""&amp;SUBSTITUTE($A167,""#"&amp;""",""%23""),$H167&amp;""/""&amp;$I167),IF($H167&lt;&gt;"""",IF(REGEXMATCH($H167,""50( ?['fF]([oO]{2})?[tT]?)?( ?[eE][rR]{2}[oO][rR])""),HYPERLINK(""https://www.munzee.com/map/?sandbox=1&amp;lat=""&amp;$D167&amp;""&amp;lon=""&amp;$E167&amp;""&amp;name=""&amp;SUBSTITUTE($A167,""#"",""%23""),""SANDBOX"""&amp;"),HYPERLINK(""https://www.munzee.com/m/""&amp;$H167&amp;""/deploys/0/type/""&amp;IFNA(VLOOKUP($G167,IMPORTRANGE(""https://docs.google.com/spreadsheets/d/1DliIGyDywdzxhd4svtjaewR0p9Y5UBTMNMQ2PcXsqss"",""type data!E2:F""),2,FALSE),$G167)&amp;""/"",$H167)),""""))"),"G1enter/9316")</f>
        <v>G1enter/9316</v>
      </c>
      <c r="L167" s="19" t="b">
        <v>1</v>
      </c>
      <c r="M167" s="12">
        <f t="shared" si="1"/>
        <v>1</v>
      </c>
      <c r="N167" s="13"/>
      <c r="O167" s="13"/>
      <c r="P167" s="15"/>
    </row>
    <row r="168">
      <c r="A168" s="15" t="s">
        <v>255</v>
      </c>
      <c r="B168" s="16">
        <v>10.0</v>
      </c>
      <c r="C168" s="16">
        <v>16.0</v>
      </c>
      <c r="D168" s="17">
        <v>44.864781009016</v>
      </c>
      <c r="E168" s="17">
        <v>-93.333816820338</v>
      </c>
      <c r="F168" s="16" t="s">
        <v>41</v>
      </c>
      <c r="G168" s="16" t="s">
        <v>17</v>
      </c>
      <c r="H168" s="18" t="s">
        <v>14</v>
      </c>
      <c r="I168" s="19">
        <v>2023.0</v>
      </c>
      <c r="J168" s="20"/>
      <c r="K168" s="11" t="str">
        <f>IFERROR(__xludf.DUMMYFUNCTION("IF(AND(REGEXMATCH($H168,""50( ?['fF]([oO]{2})?[tT]?)?( ?[eE][rR]{2}[oO][rR])"")=FALSE,$H168&lt;&gt;"""",$I168&lt;&gt;""""),HYPERLINK(""https://www.munzee.com/m/""&amp;$H168&amp;""/""&amp;$I168&amp;""/map/?lat=""&amp;$D168&amp;""&amp;lon=""&amp;$E168&amp;""&amp;type=""&amp;$G168&amp;""&amp;name=""&amp;SUBSTITUTE($A168,""#"&amp;""",""%23""),$H168&amp;""/""&amp;$I168),IF($H168&lt;&gt;"""",IF(REGEXMATCH($H168,""50( ?['fF]([oO]{2})?[tT]?)?( ?[eE][rR]{2}[oO][rR])""),HYPERLINK(""https://www.munzee.com/map/?sandbox=1&amp;lat=""&amp;$D168&amp;""&amp;lon=""&amp;$E168&amp;""&amp;name=""&amp;SUBSTITUTE($A168,""#"",""%23""),""SANDBOX"""&amp;"),HYPERLINK(""https://www.munzee.com/m/""&amp;$H168&amp;""/deploys/0/type/""&amp;IFNA(VLOOKUP($G168,IMPORTRANGE(""https://docs.google.com/spreadsheets/d/1DliIGyDywdzxhd4svtjaewR0p9Y5UBTMNMQ2PcXsqss"",""type data!E2:F""),2,FALSE),$G168)&amp;""/"",$H168)),""""))"),"JABIE28/2023")</f>
        <v>JABIE28/2023</v>
      </c>
      <c r="L168" s="19" t="b">
        <v>1</v>
      </c>
      <c r="M168" s="12">
        <f t="shared" si="1"/>
        <v>85</v>
      </c>
      <c r="N168" s="13"/>
      <c r="O168" s="13"/>
      <c r="P168" s="29"/>
    </row>
    <row r="169">
      <c r="A169" s="15" t="s">
        <v>256</v>
      </c>
      <c r="B169" s="16">
        <v>10.0</v>
      </c>
      <c r="C169" s="16">
        <v>17.0</v>
      </c>
      <c r="D169" s="17">
        <v>44.864781008836</v>
      </c>
      <c r="E169" s="17">
        <v>-93.33361403281</v>
      </c>
      <c r="F169" s="16" t="s">
        <v>41</v>
      </c>
      <c r="G169" s="16" t="s">
        <v>17</v>
      </c>
      <c r="H169" s="18" t="s">
        <v>257</v>
      </c>
      <c r="I169" s="19">
        <v>2031.0</v>
      </c>
      <c r="J169" s="28"/>
      <c r="K169" s="11" t="str">
        <f>IFERROR(__xludf.DUMMYFUNCTION("IF(AND(REGEXMATCH($H169,""50( ?['fF]([oO]{2})?[tT]?)?( ?[eE][rR]{2}[oO][rR])"")=FALSE,$H169&lt;&gt;"""",$I169&lt;&gt;""""),HYPERLINK(""https://www.munzee.com/m/""&amp;$H169&amp;""/""&amp;$I169&amp;""/map/?lat=""&amp;$D169&amp;""&amp;lon=""&amp;$E169&amp;""&amp;type=""&amp;$G169&amp;""&amp;name=""&amp;SUBSTITUTE($A169,""#"&amp;""",""%23""),$H169&amp;""/""&amp;$I169),IF($H169&lt;&gt;"""",IF(REGEXMATCH($H169,""50( ?['fF]([oO]{2})?[tT]?)?( ?[eE][rR]{2}[oO][rR])""),HYPERLINK(""https://www.munzee.com/map/?sandbox=1&amp;lat=""&amp;$D169&amp;""&amp;lon=""&amp;$E169&amp;""&amp;name=""&amp;SUBSTITUTE($A169,""#"",""%23""),""SANDBOX"""&amp;"),HYPERLINK(""https://www.munzee.com/m/""&amp;$H169&amp;""/deploys/0/type/""&amp;IFNA(VLOOKUP($G169,IMPORTRANGE(""https://docs.google.com/spreadsheets/d/1DliIGyDywdzxhd4svtjaewR0p9Y5UBTMNMQ2PcXsqss"",""type data!E2:F""),2,FALSE),$G169)&amp;""/"",$H169)),""""))"),"Yhtak57/2031")</f>
        <v>Yhtak57/2031</v>
      </c>
      <c r="L169" s="19" t="b">
        <v>1</v>
      </c>
      <c r="M169" s="12">
        <f t="shared" si="1"/>
        <v>12</v>
      </c>
      <c r="N169" s="13"/>
      <c r="O169" s="13"/>
      <c r="P169" s="15"/>
    </row>
    <row r="170">
      <c r="A170" s="15" t="s">
        <v>258</v>
      </c>
      <c r="B170" s="16">
        <v>10.0</v>
      </c>
      <c r="C170" s="16">
        <v>18.0</v>
      </c>
      <c r="D170" s="17">
        <v>44.864781008657</v>
      </c>
      <c r="E170" s="17">
        <v>-93.333411245281</v>
      </c>
      <c r="F170" s="16" t="s">
        <v>41</v>
      </c>
      <c r="G170" s="16" t="s">
        <v>17</v>
      </c>
      <c r="H170" s="18" t="s">
        <v>219</v>
      </c>
      <c r="I170" s="19">
        <v>986.0</v>
      </c>
      <c r="J170" s="21"/>
      <c r="K170" s="11" t="str">
        <f>IFERROR(__xludf.DUMMYFUNCTION("IF(AND(REGEXMATCH($H170,""50( ?['fF]([oO]{2})?[tT]?)?( ?[eE][rR]{2}[oO][rR])"")=FALSE,$H170&lt;&gt;"""",$I170&lt;&gt;""""),HYPERLINK(""https://www.munzee.com/m/""&amp;$H170&amp;""/""&amp;$I170&amp;""/map/?lat=""&amp;$D170&amp;""&amp;lon=""&amp;$E170&amp;""&amp;type=""&amp;$G170&amp;""&amp;name=""&amp;SUBSTITUTE($A170,""#"&amp;""",""%23""),$H170&amp;""/""&amp;$I170),IF($H170&lt;&gt;"""",IF(REGEXMATCH($H170,""50( ?['fF]([oO]{2})?[tT]?)?( ?[eE][rR]{2}[oO][rR])""),HYPERLINK(""https://www.munzee.com/map/?sandbox=1&amp;lat=""&amp;$D170&amp;""&amp;lon=""&amp;$E170&amp;""&amp;name=""&amp;SUBSTITUTE($A170,""#"",""%23""),""SANDBOX"""&amp;"),HYPERLINK(""https://www.munzee.com/m/""&amp;$H170&amp;""/deploys/0/type/""&amp;IFNA(VLOOKUP($G170,IMPORTRANGE(""https://docs.google.com/spreadsheets/d/1DliIGyDywdzxhd4svtjaewR0p9Y5UBTMNMQ2PcXsqss"",""type data!E2:F""),2,FALSE),$G170)&amp;""/"",$H170)),""""))"),"Quiltingisfuntoo/986")</f>
        <v>Quiltingisfuntoo/986</v>
      </c>
      <c r="L170" s="19" t="b">
        <v>1</v>
      </c>
      <c r="M170" s="12">
        <f t="shared" si="1"/>
        <v>8</v>
      </c>
      <c r="N170" s="13"/>
      <c r="O170" s="13"/>
      <c r="P170" s="15"/>
    </row>
    <row r="171">
      <c r="A171" s="15" t="s">
        <v>259</v>
      </c>
      <c r="B171" s="16">
        <v>10.0</v>
      </c>
      <c r="C171" s="16">
        <v>19.0</v>
      </c>
      <c r="D171" s="17">
        <v>44.864781008478</v>
      </c>
      <c r="E171" s="17">
        <v>-93.333208457753</v>
      </c>
      <c r="F171" s="16" t="s">
        <v>41</v>
      </c>
      <c r="G171" s="16" t="s">
        <v>17</v>
      </c>
      <c r="H171" s="18" t="s">
        <v>14</v>
      </c>
      <c r="I171" s="19">
        <v>780.0</v>
      </c>
      <c r="J171" s="20"/>
      <c r="K171" s="11" t="str">
        <f>IFERROR(__xludf.DUMMYFUNCTION("IF(AND(REGEXMATCH($H171,""50( ?['fF]([oO]{2})?[tT]?)?( ?[eE][rR]{2}[oO][rR])"")=FALSE,$H171&lt;&gt;"""",$I171&lt;&gt;""""),HYPERLINK(""https://www.munzee.com/m/""&amp;$H171&amp;""/""&amp;$I171&amp;""/map/?lat=""&amp;$D171&amp;""&amp;lon=""&amp;$E171&amp;""&amp;type=""&amp;$G171&amp;""&amp;name=""&amp;SUBSTITUTE($A171,""#"&amp;""",""%23""),$H171&amp;""/""&amp;$I171),IF($H171&lt;&gt;"""",IF(REGEXMATCH($H171,""50( ?['fF]([oO]{2})?[tT]?)?( ?[eE][rR]{2}[oO][rR])""),HYPERLINK(""https://www.munzee.com/map/?sandbox=1&amp;lat=""&amp;$D171&amp;""&amp;lon=""&amp;$E171&amp;""&amp;name=""&amp;SUBSTITUTE($A171,""#"",""%23""),""SANDBOX"""&amp;"),HYPERLINK(""https://www.munzee.com/m/""&amp;$H171&amp;""/deploys/0/type/""&amp;IFNA(VLOOKUP($G171,IMPORTRANGE(""https://docs.google.com/spreadsheets/d/1DliIGyDywdzxhd4svtjaewR0p9Y5UBTMNMQ2PcXsqss"",""type data!E2:F""),2,FALSE),$G171)&amp;""/"",$H171)),""""))"),"JABIE28/780")</f>
        <v>JABIE28/780</v>
      </c>
      <c r="L171" s="19" t="b">
        <v>1</v>
      </c>
      <c r="M171" s="12">
        <f t="shared" si="1"/>
        <v>85</v>
      </c>
      <c r="N171" s="13"/>
      <c r="O171" s="13"/>
      <c r="P171" s="15"/>
    </row>
    <row r="172">
      <c r="A172" s="15" t="s">
        <v>260</v>
      </c>
      <c r="B172" s="16">
        <v>10.0</v>
      </c>
      <c r="C172" s="16">
        <v>20.0</v>
      </c>
      <c r="D172" s="17">
        <v>44.864781008298</v>
      </c>
      <c r="E172" s="17">
        <v>-93.333005670224</v>
      </c>
      <c r="F172" s="16" t="s">
        <v>41</v>
      </c>
      <c r="G172" s="16" t="s">
        <v>17</v>
      </c>
      <c r="H172" s="18" t="s">
        <v>261</v>
      </c>
      <c r="I172" s="19">
        <v>2414.0</v>
      </c>
      <c r="J172" s="20"/>
      <c r="K172" s="11" t="str">
        <f>IFERROR(__xludf.DUMMYFUNCTION("IF(AND(REGEXMATCH($H172,""50( ?['fF]([oO]{2})?[tT]?)?( ?[eE][rR]{2}[oO][rR])"")=FALSE,$H172&lt;&gt;"""",$I172&lt;&gt;""""),HYPERLINK(""https://www.munzee.com/m/""&amp;$H172&amp;""/""&amp;$I172&amp;""/map/?lat=""&amp;$D172&amp;""&amp;lon=""&amp;$E172&amp;""&amp;type=""&amp;$G172&amp;""&amp;name=""&amp;SUBSTITUTE($A172,""#"&amp;""",""%23""),$H172&amp;""/""&amp;$I172),IF($H172&lt;&gt;"""",IF(REGEXMATCH($H172,""50( ?['fF]([oO]{2})?[tT]?)?( ?[eE][rR]{2}[oO][rR])""),HYPERLINK(""https://www.munzee.com/map/?sandbox=1&amp;lat=""&amp;$D172&amp;""&amp;lon=""&amp;$E172&amp;""&amp;name=""&amp;SUBSTITUTE($A172,""#"",""%23""),""SANDBOX"""&amp;"),HYPERLINK(""https://www.munzee.com/m/""&amp;$H172&amp;""/deploys/0/type/""&amp;IFNA(VLOOKUP($G172,IMPORTRANGE(""https://docs.google.com/spreadsheets/d/1DliIGyDywdzxhd4svtjaewR0p9Y5UBTMNMQ2PcXsqss"",""type data!E2:F""),2,FALSE),$G172)&amp;""/"",$H172)),""""))"),"clownshoes/2414")</f>
        <v>clownshoes/2414</v>
      </c>
      <c r="L172" s="19" t="b">
        <v>1</v>
      </c>
      <c r="M172" s="12">
        <f t="shared" si="1"/>
        <v>1</v>
      </c>
      <c r="N172" s="13"/>
      <c r="O172" s="13"/>
      <c r="P172" s="29"/>
    </row>
    <row r="173">
      <c r="A173" s="15" t="s">
        <v>262</v>
      </c>
      <c r="B173" s="16">
        <v>10.0</v>
      </c>
      <c r="C173" s="16">
        <v>21.0</v>
      </c>
      <c r="D173" s="17">
        <v>44.864781008119</v>
      </c>
      <c r="E173" s="17">
        <v>-93.332802882696</v>
      </c>
      <c r="F173" s="16" t="s">
        <v>41</v>
      </c>
      <c r="G173" s="16" t="s">
        <v>17</v>
      </c>
      <c r="H173" s="18" t="s">
        <v>162</v>
      </c>
      <c r="I173" s="19">
        <v>2399.0</v>
      </c>
      <c r="J173" s="21"/>
      <c r="K173" s="11" t="str">
        <f>IFERROR(__xludf.DUMMYFUNCTION("IF(AND(REGEXMATCH($H173,""50( ?['fF]([oO]{2})?[tT]?)?( ?[eE][rR]{2}[oO][rR])"")=FALSE,$H173&lt;&gt;"""",$I173&lt;&gt;""""),HYPERLINK(""https://www.munzee.com/m/""&amp;$H173&amp;""/""&amp;$I173&amp;""/map/?lat=""&amp;$D173&amp;""&amp;lon=""&amp;$E173&amp;""&amp;type=""&amp;$G173&amp;""&amp;name=""&amp;SUBSTITUTE($A173,""#"&amp;""",""%23""),$H173&amp;""/""&amp;$I173),IF($H173&lt;&gt;"""",IF(REGEXMATCH($H173,""50( ?['fF]([oO]{2})?[tT]?)?( ?[eE][rR]{2}[oO][rR])""),HYPERLINK(""https://www.munzee.com/map/?sandbox=1&amp;lat=""&amp;$D173&amp;""&amp;lon=""&amp;$E173&amp;""&amp;name=""&amp;SUBSTITUTE($A173,""#"",""%23""),""SANDBOX"""&amp;"),HYPERLINK(""https://www.munzee.com/m/""&amp;$H173&amp;""/deploys/0/type/""&amp;IFNA(VLOOKUP($G173,IMPORTRANGE(""https://docs.google.com/spreadsheets/d/1DliIGyDywdzxhd4svtjaewR0p9Y5UBTMNMQ2PcXsqss"",""type data!E2:F""),2,FALSE),$G173)&amp;""/"",$H173)),""""))"),"CoffeeBender/2399")</f>
        <v>CoffeeBender/2399</v>
      </c>
      <c r="L173" s="19" t="b">
        <v>1</v>
      </c>
      <c r="M173" s="12">
        <f t="shared" si="1"/>
        <v>9</v>
      </c>
      <c r="N173" s="13"/>
      <c r="O173" s="13"/>
      <c r="P173" s="15"/>
    </row>
    <row r="174">
      <c r="A174" s="15" t="s">
        <v>263</v>
      </c>
      <c r="B174" s="16">
        <v>10.0</v>
      </c>
      <c r="C174" s="16">
        <v>22.0</v>
      </c>
      <c r="D174" s="17">
        <v>44.864781007939</v>
      </c>
      <c r="E174" s="17">
        <v>-93.332600095167</v>
      </c>
      <c r="F174" s="16" t="s">
        <v>41</v>
      </c>
      <c r="G174" s="16" t="s">
        <v>17</v>
      </c>
      <c r="H174" s="18" t="s">
        <v>14</v>
      </c>
      <c r="I174" s="19">
        <v>777.0</v>
      </c>
      <c r="J174" s="20"/>
      <c r="K174" s="11" t="str">
        <f>IFERROR(__xludf.DUMMYFUNCTION("IF(AND(REGEXMATCH($H174,""50( ?['fF]([oO]{2})?[tT]?)?( ?[eE][rR]{2}[oO][rR])"")=FALSE,$H174&lt;&gt;"""",$I174&lt;&gt;""""),HYPERLINK(""https://www.munzee.com/m/""&amp;$H174&amp;""/""&amp;$I174&amp;""/map/?lat=""&amp;$D174&amp;""&amp;lon=""&amp;$E174&amp;""&amp;type=""&amp;$G174&amp;""&amp;name=""&amp;SUBSTITUTE($A174,""#"&amp;""",""%23""),$H174&amp;""/""&amp;$I174),IF($H174&lt;&gt;"""",IF(REGEXMATCH($H174,""50( ?['fF]([oO]{2})?[tT]?)?( ?[eE][rR]{2}[oO][rR])""),HYPERLINK(""https://www.munzee.com/map/?sandbox=1&amp;lat=""&amp;$D174&amp;""&amp;lon=""&amp;$E174&amp;""&amp;name=""&amp;SUBSTITUTE($A174,""#"",""%23""),""SANDBOX"""&amp;"),HYPERLINK(""https://www.munzee.com/m/""&amp;$H174&amp;""/deploys/0/type/""&amp;IFNA(VLOOKUP($G174,IMPORTRANGE(""https://docs.google.com/spreadsheets/d/1DliIGyDywdzxhd4svtjaewR0p9Y5UBTMNMQ2PcXsqss"",""type data!E2:F""),2,FALSE),$G174)&amp;""/"",$H174)),""""))"),"JABIE28/777")</f>
        <v>JABIE28/777</v>
      </c>
      <c r="L174" s="19" t="b">
        <v>1</v>
      </c>
      <c r="M174" s="12">
        <f t="shared" si="1"/>
        <v>85</v>
      </c>
      <c r="N174" s="13"/>
      <c r="O174" s="13"/>
      <c r="P174" s="29"/>
    </row>
    <row r="175">
      <c r="A175" s="15" t="s">
        <v>264</v>
      </c>
      <c r="B175" s="16">
        <v>10.0</v>
      </c>
      <c r="C175" s="16">
        <v>23.0</v>
      </c>
      <c r="D175" s="17">
        <v>44.86478100776</v>
      </c>
      <c r="E175" s="17">
        <v>-93.332397307639</v>
      </c>
      <c r="F175" s="16" t="s">
        <v>41</v>
      </c>
      <c r="G175" s="16" t="s">
        <v>17</v>
      </c>
      <c r="H175" s="18" t="s">
        <v>265</v>
      </c>
      <c r="I175" s="19">
        <v>6896.0</v>
      </c>
      <c r="J175" s="20"/>
      <c r="K175" s="11" t="str">
        <f>IFERROR(__xludf.DUMMYFUNCTION("IF(AND(REGEXMATCH($H175,""50( ?['fF]([oO]{2})?[tT]?)?( ?[eE][rR]{2}[oO][rR])"")=FALSE,$H175&lt;&gt;"""",$I175&lt;&gt;""""),HYPERLINK(""https://www.munzee.com/m/""&amp;$H175&amp;""/""&amp;$I175&amp;""/map/?lat=""&amp;$D175&amp;""&amp;lon=""&amp;$E175&amp;""&amp;type=""&amp;$G175&amp;""&amp;name=""&amp;SUBSTITUTE($A175,""#"&amp;""",""%23""),$H175&amp;""/""&amp;$I175),IF($H175&lt;&gt;"""",IF(REGEXMATCH($H175,""50( ?['fF]([oO]{2})?[tT]?)?( ?[eE][rR]{2}[oO][rR])""),HYPERLINK(""https://www.munzee.com/map/?sandbox=1&amp;lat=""&amp;$D175&amp;""&amp;lon=""&amp;$E175&amp;""&amp;name=""&amp;SUBSTITUTE($A175,""#"",""%23""),""SANDBOX"""&amp;"),HYPERLINK(""https://www.munzee.com/m/""&amp;$H175&amp;""/deploys/0/type/""&amp;IFNA(VLOOKUP($G175,IMPORTRANGE(""https://docs.google.com/spreadsheets/d/1DliIGyDywdzxhd4svtjaewR0p9Y5UBTMNMQ2PcXsqss"",""type data!E2:F""),2,FALSE),$G175)&amp;""/"",$H175)),""""))"),"trevosetreckers/6896")</f>
        <v>trevosetreckers/6896</v>
      </c>
      <c r="L175" s="19" t="b">
        <v>1</v>
      </c>
      <c r="M175" s="12">
        <f t="shared" si="1"/>
        <v>1</v>
      </c>
      <c r="N175" s="13"/>
      <c r="O175" s="13"/>
      <c r="P175" s="15"/>
    </row>
    <row r="176">
      <c r="A176" s="15" t="s">
        <v>266</v>
      </c>
      <c r="B176" s="16">
        <v>10.0</v>
      </c>
      <c r="C176" s="16">
        <v>24.0</v>
      </c>
      <c r="D176" s="17">
        <v>44.86478100758</v>
      </c>
      <c r="E176" s="17">
        <v>-93.33219452011</v>
      </c>
      <c r="F176" s="16" t="s">
        <v>41</v>
      </c>
      <c r="G176" s="16" t="s">
        <v>17</v>
      </c>
      <c r="H176" s="18" t="s">
        <v>267</v>
      </c>
      <c r="I176" s="19">
        <v>6807.0</v>
      </c>
      <c r="J176" s="20"/>
      <c r="K176" s="11" t="str">
        <f>IFERROR(__xludf.DUMMYFUNCTION("IF(AND(REGEXMATCH($H176,""50( ?['fF]([oO]{2})?[tT]?)?( ?[eE][rR]{2}[oO][rR])"")=FALSE,$H176&lt;&gt;"""",$I176&lt;&gt;""""),HYPERLINK(""https://www.munzee.com/m/""&amp;$H176&amp;""/""&amp;$I176&amp;""/map/?lat=""&amp;$D176&amp;""&amp;lon=""&amp;$E176&amp;""&amp;type=""&amp;$G176&amp;""&amp;name=""&amp;SUBSTITUTE($A176,""#"&amp;""",""%23""),$H176&amp;""/""&amp;$I176),IF($H176&lt;&gt;"""",IF(REGEXMATCH($H176,""50( ?['fF]([oO]{2})?[tT]?)?( ?[eE][rR]{2}[oO][rR])""),HYPERLINK(""https://www.munzee.com/map/?sandbox=1&amp;lat=""&amp;$D176&amp;""&amp;lon=""&amp;$E176&amp;""&amp;name=""&amp;SUBSTITUTE($A176,""#"",""%23""),""SANDBOX"""&amp;"),HYPERLINK(""https://www.munzee.com/m/""&amp;$H176&amp;""/deploys/0/type/""&amp;IFNA(VLOOKUP($G176,IMPORTRANGE(""https://docs.google.com/spreadsheets/d/1DliIGyDywdzxhd4svtjaewR0p9Y5UBTMNMQ2PcXsqss"",""type data!E2:F""),2,FALSE),$G176)&amp;""/"",$H176)),""""))"),"candyfloss64/6807")</f>
        <v>candyfloss64/6807</v>
      </c>
      <c r="L176" s="19" t="b">
        <v>1</v>
      </c>
      <c r="M176" s="12">
        <f t="shared" si="1"/>
        <v>1</v>
      </c>
      <c r="N176" s="13"/>
      <c r="O176" s="13"/>
      <c r="P176" s="15"/>
    </row>
    <row r="177">
      <c r="A177" s="15" t="s">
        <v>268</v>
      </c>
      <c r="B177" s="16">
        <v>10.0</v>
      </c>
      <c r="C177" s="16">
        <v>25.0</v>
      </c>
      <c r="D177" s="17">
        <v>44.864781007401</v>
      </c>
      <c r="E177" s="17">
        <v>-93.331991732582</v>
      </c>
      <c r="F177" s="16" t="s">
        <v>16</v>
      </c>
      <c r="G177" s="16" t="s">
        <v>17</v>
      </c>
      <c r="H177" s="18" t="s">
        <v>14</v>
      </c>
      <c r="I177" s="19">
        <v>618.0</v>
      </c>
      <c r="J177" s="20"/>
      <c r="K177" s="11" t="str">
        <f>IFERROR(__xludf.DUMMYFUNCTION("IF(AND(REGEXMATCH($H177,""50( ?['fF]([oO]{2})?[tT]?)?( ?[eE][rR]{2}[oO][rR])"")=FALSE,$H177&lt;&gt;"""",$I177&lt;&gt;""""),HYPERLINK(""https://www.munzee.com/m/""&amp;$H177&amp;""/""&amp;$I177&amp;""/map/?lat=""&amp;$D177&amp;""&amp;lon=""&amp;$E177&amp;""&amp;type=""&amp;$G177&amp;""&amp;name=""&amp;SUBSTITUTE($A177,""#"&amp;""",""%23""),$H177&amp;""/""&amp;$I177),IF($H177&lt;&gt;"""",IF(REGEXMATCH($H177,""50( ?['fF]([oO]{2})?[tT]?)?( ?[eE][rR]{2}[oO][rR])""),HYPERLINK(""https://www.munzee.com/map/?sandbox=1&amp;lat=""&amp;$D177&amp;""&amp;lon=""&amp;$E177&amp;""&amp;name=""&amp;SUBSTITUTE($A177,""#"",""%23""),""SANDBOX"""&amp;"),HYPERLINK(""https://www.munzee.com/m/""&amp;$H177&amp;""/deploys/0/type/""&amp;IFNA(VLOOKUP($G177,IMPORTRANGE(""https://docs.google.com/spreadsheets/d/1DliIGyDywdzxhd4svtjaewR0p9Y5UBTMNMQ2PcXsqss"",""type data!E2:F""),2,FALSE),$G177)&amp;""/"",$H177)),""""))"),"JABIE28/618")</f>
        <v>JABIE28/618</v>
      </c>
      <c r="L177" s="19" t="b">
        <v>1</v>
      </c>
      <c r="M177" s="12">
        <f t="shared" si="1"/>
        <v>85</v>
      </c>
      <c r="N177" s="13"/>
      <c r="O177" s="13"/>
      <c r="P177" s="15"/>
    </row>
    <row r="178">
      <c r="A178" s="15" t="s">
        <v>269</v>
      </c>
      <c r="B178" s="16">
        <v>11.0</v>
      </c>
      <c r="C178" s="16">
        <v>4.0</v>
      </c>
      <c r="D178" s="17">
        <v>44.864637280724</v>
      </c>
      <c r="E178" s="17">
        <v>-93.336250280301</v>
      </c>
      <c r="F178" s="16" t="s">
        <v>16</v>
      </c>
      <c r="G178" s="16" t="s">
        <v>17</v>
      </c>
      <c r="H178" s="18" t="s">
        <v>58</v>
      </c>
      <c r="I178" s="19">
        <v>702.0</v>
      </c>
      <c r="J178" s="20"/>
      <c r="K178" s="11" t="str">
        <f>IFERROR(__xludf.DUMMYFUNCTION("IF(AND(REGEXMATCH($H178,""50( ?['fF]([oO]{2})?[tT]?)?( ?[eE][rR]{2}[oO][rR])"")=FALSE,$H178&lt;&gt;"""",$I178&lt;&gt;""""),HYPERLINK(""https://www.munzee.com/m/""&amp;$H178&amp;""/""&amp;$I178&amp;""/map/?lat=""&amp;$D178&amp;""&amp;lon=""&amp;$E178&amp;""&amp;type=""&amp;$G178&amp;""&amp;name=""&amp;SUBSTITUTE($A178,""#"&amp;""",""%23""),$H178&amp;""/""&amp;$I178),IF($H178&lt;&gt;"""",IF(REGEXMATCH($H178,""50( ?['fF]([oO]{2})?[tT]?)?( ?[eE][rR]{2}[oO][rR])""),HYPERLINK(""https://www.munzee.com/map/?sandbox=1&amp;lat=""&amp;$D178&amp;""&amp;lon=""&amp;$E178&amp;""&amp;name=""&amp;SUBSTITUTE($A178,""#"",""%23""),""SANDBOX"""&amp;"),HYPERLINK(""https://www.munzee.com/m/""&amp;$H178&amp;""/deploys/0/type/""&amp;IFNA(VLOOKUP($G178,IMPORTRANGE(""https://docs.google.com/spreadsheets/d/1DliIGyDywdzxhd4svtjaewR0p9Y5UBTMNMQ2PcXsqss"",""type data!E2:F""),2,FALSE),$G178)&amp;""/"",$H178)),""""))"),"cdwilliams1/702")</f>
        <v>cdwilliams1/702</v>
      </c>
      <c r="L178" s="19" t="b">
        <v>1</v>
      </c>
      <c r="M178" s="12">
        <f t="shared" si="1"/>
        <v>10</v>
      </c>
      <c r="N178" s="13"/>
      <c r="O178" s="13"/>
      <c r="P178" s="15"/>
    </row>
    <row r="179">
      <c r="A179" s="15" t="s">
        <v>270</v>
      </c>
      <c r="B179" s="16">
        <v>11.0</v>
      </c>
      <c r="C179" s="16">
        <v>5.0</v>
      </c>
      <c r="D179" s="17">
        <v>44.864637280544</v>
      </c>
      <c r="E179" s="17">
        <v>-93.336047493278</v>
      </c>
      <c r="F179" s="16" t="s">
        <v>41</v>
      </c>
      <c r="G179" s="16" t="s">
        <v>17</v>
      </c>
      <c r="H179" s="18" t="s">
        <v>271</v>
      </c>
      <c r="I179" s="19">
        <v>3970.0</v>
      </c>
      <c r="J179" s="20"/>
      <c r="K179" s="11" t="str">
        <f>IFERROR(__xludf.DUMMYFUNCTION("IF(AND(REGEXMATCH($H179,""50( ?['fF]([oO]{2})?[tT]?)?( ?[eE][rR]{2}[oO][rR])"")=FALSE,$H179&lt;&gt;"""",$I179&lt;&gt;""""),HYPERLINK(""https://www.munzee.com/m/""&amp;$H179&amp;""/""&amp;$I179&amp;""/map/?lat=""&amp;$D179&amp;""&amp;lon=""&amp;$E179&amp;""&amp;type=""&amp;$G179&amp;""&amp;name=""&amp;SUBSTITUTE($A179,""#"&amp;""",""%23""),$H179&amp;""/""&amp;$I179),IF($H179&lt;&gt;"""",IF(REGEXMATCH($H179,""50( ?['fF]([oO]{2})?[tT]?)?( ?[eE][rR]{2}[oO][rR])""),HYPERLINK(""https://www.munzee.com/map/?sandbox=1&amp;lat=""&amp;$D179&amp;""&amp;lon=""&amp;$E179&amp;""&amp;name=""&amp;SUBSTITUTE($A179,""#"",""%23""),""SANDBOX"""&amp;"),HYPERLINK(""https://www.munzee.com/m/""&amp;$H179&amp;""/deploys/0/type/""&amp;IFNA(VLOOKUP($G179,IMPORTRANGE(""https://docs.google.com/spreadsheets/d/1DliIGyDywdzxhd4svtjaewR0p9Y5UBTMNMQ2PcXsqss"",""type data!E2:F""),2,FALSE),$G179)&amp;""/"",$H179)),""""))"),"delaner46/3970")</f>
        <v>delaner46/3970</v>
      </c>
      <c r="L179" s="19" t="b">
        <v>1</v>
      </c>
      <c r="M179" s="12">
        <f t="shared" si="1"/>
        <v>1</v>
      </c>
      <c r="N179" s="13"/>
      <c r="O179" s="13"/>
      <c r="P179" s="15"/>
    </row>
    <row r="180">
      <c r="A180" s="15" t="s">
        <v>272</v>
      </c>
      <c r="B180" s="16">
        <v>11.0</v>
      </c>
      <c r="C180" s="16">
        <v>6.0</v>
      </c>
      <c r="D180" s="17">
        <v>44.864637280365</v>
      </c>
      <c r="E180" s="17">
        <v>-93.335844706256</v>
      </c>
      <c r="F180" s="16" t="s">
        <v>41</v>
      </c>
      <c r="G180" s="16" t="s">
        <v>17</v>
      </c>
      <c r="H180" s="18" t="s">
        <v>273</v>
      </c>
      <c r="I180" s="19">
        <v>2002.0</v>
      </c>
      <c r="J180" s="21"/>
      <c r="K180" s="11" t="str">
        <f>IFERROR(__xludf.DUMMYFUNCTION("IF(AND(REGEXMATCH($H180,""50( ?['fF]([oO]{2})?[tT]?)?( ?[eE][rR]{2}[oO][rR])"")=FALSE,$H180&lt;&gt;"""",$I180&lt;&gt;""""),HYPERLINK(""https://www.munzee.com/m/""&amp;$H180&amp;""/""&amp;$I180&amp;""/map/?lat=""&amp;$D180&amp;""&amp;lon=""&amp;$E180&amp;""&amp;type=""&amp;$G180&amp;""&amp;name=""&amp;SUBSTITUTE($A180,""#"&amp;""",""%23""),$H180&amp;""/""&amp;$I180),IF($H180&lt;&gt;"""",IF(REGEXMATCH($H180,""50( ?['fF]([oO]{2})?[tT]?)?( ?[eE][rR]{2}[oO][rR])""),HYPERLINK(""https://www.munzee.com/map/?sandbox=1&amp;lat=""&amp;$D180&amp;""&amp;lon=""&amp;$E180&amp;""&amp;name=""&amp;SUBSTITUTE($A180,""#"",""%23""),""SANDBOX"""&amp;"),HYPERLINK(""https://www.munzee.com/m/""&amp;$H180&amp;""/deploys/0/type/""&amp;IFNA(VLOOKUP($G180,IMPORTRANGE(""https://docs.google.com/spreadsheets/d/1DliIGyDywdzxhd4svtjaewR0p9Y5UBTMNMQ2PcXsqss"",""type data!E2:F""),2,FALSE),$G180)&amp;""/"",$H180)),""""))"),"yhtak57/2002")</f>
        <v>yhtak57/2002</v>
      </c>
      <c r="L180" s="19" t="b">
        <v>1</v>
      </c>
      <c r="M180" s="12">
        <f t="shared" si="1"/>
        <v>12</v>
      </c>
      <c r="N180" s="13"/>
      <c r="O180" s="13"/>
      <c r="P180" s="29"/>
    </row>
    <row r="181">
      <c r="A181" s="15" t="s">
        <v>274</v>
      </c>
      <c r="B181" s="16">
        <v>11.0</v>
      </c>
      <c r="C181" s="16">
        <v>7.0</v>
      </c>
      <c r="D181" s="17">
        <v>44.864637280185</v>
      </c>
      <c r="E181" s="17">
        <v>-93.335641919234</v>
      </c>
      <c r="F181" s="16" t="s">
        <v>41</v>
      </c>
      <c r="G181" s="16" t="s">
        <v>17</v>
      </c>
      <c r="H181" s="18" t="s">
        <v>275</v>
      </c>
      <c r="I181" s="19">
        <v>3142.0</v>
      </c>
      <c r="J181" s="21"/>
      <c r="K181" s="11" t="str">
        <f>IFERROR(__xludf.DUMMYFUNCTION("IF(AND(REGEXMATCH($H181,""50( ?['fF]([oO]{2})?[tT]?)?( ?[eE][rR]{2}[oO][rR])"")=FALSE,$H181&lt;&gt;"""",$I181&lt;&gt;""""),HYPERLINK(""https://www.munzee.com/m/""&amp;$H181&amp;""/""&amp;$I181&amp;""/map/?lat=""&amp;$D181&amp;""&amp;lon=""&amp;$E181&amp;""&amp;type=""&amp;$G181&amp;""&amp;name=""&amp;SUBSTITUTE($A181,""#"&amp;""",""%23""),$H181&amp;""/""&amp;$I181),IF($H181&lt;&gt;"""",IF(REGEXMATCH($H181,""50( ?['fF]([oO]{2})?[tT]?)?( ?[eE][rR]{2}[oO][rR])""),HYPERLINK(""https://www.munzee.com/map/?sandbox=1&amp;lat=""&amp;$D181&amp;""&amp;lon=""&amp;$E181&amp;""&amp;name=""&amp;SUBSTITUTE($A181,""#"",""%23""),""SANDBOX"""&amp;"),HYPERLINK(""https://www.munzee.com/m/""&amp;$H181&amp;""/deploys/0/type/""&amp;IFNA(VLOOKUP($G181,IMPORTRANGE(""https://docs.google.com/spreadsheets/d/1DliIGyDywdzxhd4svtjaewR0p9Y5UBTMNMQ2PcXsqss"",""type data!E2:F""),2,FALSE),$G181)&amp;""/"",$H181)),""""))"),"beckiweber/3142")</f>
        <v>beckiweber/3142</v>
      </c>
      <c r="L181" s="19" t="b">
        <v>1</v>
      </c>
      <c r="M181" s="12">
        <f t="shared" si="1"/>
        <v>5</v>
      </c>
      <c r="N181" s="13"/>
      <c r="O181" s="13"/>
      <c r="P181" s="15"/>
    </row>
    <row r="182">
      <c r="A182" s="15" t="s">
        <v>276</v>
      </c>
      <c r="B182" s="16">
        <v>11.0</v>
      </c>
      <c r="C182" s="16">
        <v>8.0</v>
      </c>
      <c r="D182" s="17">
        <v>44.864637280006</v>
      </c>
      <c r="E182" s="17">
        <v>-93.335439132212</v>
      </c>
      <c r="F182" s="16" t="s">
        <v>41</v>
      </c>
      <c r="G182" s="16" t="s">
        <v>17</v>
      </c>
      <c r="H182" s="18" t="s">
        <v>277</v>
      </c>
      <c r="I182" s="19">
        <v>2579.0</v>
      </c>
      <c r="J182" s="20"/>
      <c r="K182" s="11" t="str">
        <f>IFERROR(__xludf.DUMMYFUNCTION("IF(AND(REGEXMATCH($H182,""50( ?['fF]([oO]{2})?[tT]?)?( ?[eE][rR]{2}[oO][rR])"")=FALSE,$H182&lt;&gt;"""",$I182&lt;&gt;""""),HYPERLINK(""https://www.munzee.com/m/""&amp;$H182&amp;""/""&amp;$I182&amp;""/map/?lat=""&amp;$D182&amp;""&amp;lon=""&amp;$E182&amp;""&amp;type=""&amp;$G182&amp;""&amp;name=""&amp;SUBSTITUTE($A182,""#"&amp;""",""%23""),$H182&amp;""/""&amp;$I182),IF($H182&lt;&gt;"""",IF(REGEXMATCH($H182,""50( ?['fF]([oO]{2})?[tT]?)?( ?[eE][rR]{2}[oO][rR])""),HYPERLINK(""https://www.munzee.com/map/?sandbox=1&amp;lat=""&amp;$D182&amp;""&amp;lon=""&amp;$E182&amp;""&amp;name=""&amp;SUBSTITUTE($A182,""#"",""%23""),""SANDBOX"""&amp;"),HYPERLINK(""https://www.munzee.com/m/""&amp;$H182&amp;""/deploys/0/type/""&amp;IFNA(VLOOKUP($G182,IMPORTRANGE(""https://docs.google.com/spreadsheets/d/1DliIGyDywdzxhd4svtjaewR0p9Y5UBTMNMQ2PcXsqss"",""type data!E2:F""),2,FALSE),$G182)&amp;""/"",$H182)),""""))"),"Savardfamily/2579")</f>
        <v>Savardfamily/2579</v>
      </c>
      <c r="L182" s="19" t="b">
        <v>1</v>
      </c>
      <c r="M182" s="12">
        <f t="shared" si="1"/>
        <v>1</v>
      </c>
      <c r="N182" s="13"/>
      <c r="O182" s="13"/>
      <c r="P182" s="15"/>
    </row>
    <row r="183">
      <c r="A183" s="15" t="s">
        <v>278</v>
      </c>
      <c r="B183" s="16">
        <v>11.0</v>
      </c>
      <c r="C183" s="16">
        <v>9.0</v>
      </c>
      <c r="D183" s="17">
        <v>44.864637279827</v>
      </c>
      <c r="E183" s="17">
        <v>-93.335236345189</v>
      </c>
      <c r="F183" s="16" t="s">
        <v>41</v>
      </c>
      <c r="G183" s="16" t="s">
        <v>17</v>
      </c>
      <c r="H183" s="18" t="s">
        <v>27</v>
      </c>
      <c r="I183" s="19">
        <v>5806.0</v>
      </c>
      <c r="J183" s="20"/>
      <c r="K183" s="11" t="str">
        <f>IFERROR(__xludf.DUMMYFUNCTION("IF(AND(REGEXMATCH($H183,""50( ?['fF]([oO]{2})?[tT]?)?( ?[eE][rR]{2}[oO][rR])"")=FALSE,$H183&lt;&gt;"""",$I183&lt;&gt;""""),HYPERLINK(""https://www.munzee.com/m/""&amp;$H183&amp;""/""&amp;$I183&amp;""/map/?lat=""&amp;$D183&amp;""&amp;lon=""&amp;$E183&amp;""&amp;type=""&amp;$G183&amp;""&amp;name=""&amp;SUBSTITUTE($A183,""#"&amp;""",""%23""),$H183&amp;""/""&amp;$I183),IF($H183&lt;&gt;"""",IF(REGEXMATCH($H183,""50( ?['fF]([oO]{2})?[tT]?)?( ?[eE][rR]{2}[oO][rR])""),HYPERLINK(""https://www.munzee.com/map/?sandbox=1&amp;lat=""&amp;$D183&amp;""&amp;lon=""&amp;$E183&amp;""&amp;name=""&amp;SUBSTITUTE($A183,""#"",""%23""),""SANDBOX"""&amp;"),HYPERLINK(""https://www.munzee.com/m/""&amp;$H183&amp;""/deploys/0/type/""&amp;IFNA(VLOOKUP($G183,IMPORTRANGE(""https://docs.google.com/spreadsheets/d/1DliIGyDywdzxhd4svtjaewR0p9Y5UBTMNMQ2PcXsqss"",""type data!E2:F""),2,FALSE),$G183)&amp;""/"",$H183)),""""))"),"geomsp/5806")</f>
        <v>geomsp/5806</v>
      </c>
      <c r="L183" s="19" t="b">
        <v>1</v>
      </c>
      <c r="M183" s="12">
        <f t="shared" si="1"/>
        <v>2</v>
      </c>
      <c r="N183" s="13"/>
      <c r="O183" s="13"/>
      <c r="P183" s="15"/>
    </row>
    <row r="184">
      <c r="A184" s="15" t="s">
        <v>279</v>
      </c>
      <c r="B184" s="16">
        <v>11.0</v>
      </c>
      <c r="C184" s="16">
        <v>10.0</v>
      </c>
      <c r="D184" s="17">
        <v>44.864637279647</v>
      </c>
      <c r="E184" s="17">
        <v>-93.335033558167</v>
      </c>
      <c r="F184" s="16" t="s">
        <v>41</v>
      </c>
      <c r="G184" s="16" t="s">
        <v>17</v>
      </c>
      <c r="H184" s="18" t="s">
        <v>280</v>
      </c>
      <c r="I184" s="19">
        <v>3214.0</v>
      </c>
      <c r="J184" s="20"/>
      <c r="K184" s="11" t="str">
        <f>IFERROR(__xludf.DUMMYFUNCTION("IF(AND(REGEXMATCH($H184,""50( ?['fF]([oO]{2})?[tT]?)?( ?[eE][rR]{2}[oO][rR])"")=FALSE,$H184&lt;&gt;"""",$I184&lt;&gt;""""),HYPERLINK(""https://www.munzee.com/m/""&amp;$H184&amp;""/""&amp;$I184&amp;""/map/?lat=""&amp;$D184&amp;""&amp;lon=""&amp;$E184&amp;""&amp;type=""&amp;$G184&amp;""&amp;name=""&amp;SUBSTITUTE($A184,""#"&amp;""",""%23""),$H184&amp;""/""&amp;$I184),IF($H184&lt;&gt;"""",IF(REGEXMATCH($H184,""50( ?['fF]([oO]{2})?[tT]?)?( ?[eE][rR]{2}[oO][rR])""),HYPERLINK(""https://www.munzee.com/map/?sandbox=1&amp;lat=""&amp;$D184&amp;""&amp;lon=""&amp;$E184&amp;""&amp;name=""&amp;SUBSTITUTE($A184,""#"",""%23""),""SANDBOX"""&amp;"),HYPERLINK(""https://www.munzee.com/m/""&amp;$H184&amp;""/deploys/0/type/""&amp;IFNA(VLOOKUP($G184,IMPORTRANGE(""https://docs.google.com/spreadsheets/d/1DliIGyDywdzxhd4svtjaewR0p9Y5UBTMNMQ2PcXsqss"",""type data!E2:F""),2,FALSE),$G184)&amp;""/"",$H184)),""""))"),"geopepi/3214")</f>
        <v>geopepi/3214</v>
      </c>
      <c r="L184" s="19" t="b">
        <v>1</v>
      </c>
      <c r="M184" s="12">
        <f t="shared" si="1"/>
        <v>1</v>
      </c>
      <c r="N184" s="13"/>
      <c r="O184" s="13"/>
      <c r="P184" s="15"/>
    </row>
    <row r="185">
      <c r="A185" s="15" t="s">
        <v>281</v>
      </c>
      <c r="B185" s="16">
        <v>11.0</v>
      </c>
      <c r="C185" s="16">
        <v>11.0</v>
      </c>
      <c r="D185" s="17">
        <v>44.864637279468</v>
      </c>
      <c r="E185" s="17">
        <v>-93.334830771145</v>
      </c>
      <c r="F185" s="16" t="s">
        <v>41</v>
      </c>
      <c r="G185" s="16" t="s">
        <v>17</v>
      </c>
      <c r="H185" s="18" t="s">
        <v>282</v>
      </c>
      <c r="I185" s="19">
        <v>900.0</v>
      </c>
      <c r="J185" s="21"/>
      <c r="K185" s="11" t="str">
        <f>IFERROR(__xludf.DUMMYFUNCTION("IF(AND(REGEXMATCH($H185,""50( ?['fF]([oO]{2})?[tT]?)?( ?[eE][rR]{2}[oO][rR])"")=FALSE,$H185&lt;&gt;"""",$I185&lt;&gt;""""),HYPERLINK(""https://www.munzee.com/m/""&amp;$H185&amp;""/""&amp;$I185&amp;""/map/?lat=""&amp;$D185&amp;""&amp;lon=""&amp;$E185&amp;""&amp;type=""&amp;$G185&amp;""&amp;name=""&amp;SUBSTITUTE($A185,""#"&amp;""",""%23""),$H185&amp;""/""&amp;$I185),IF($H185&lt;&gt;"""",IF(REGEXMATCH($H185,""50( ?['fF]([oO]{2})?[tT]?)?( ?[eE][rR]{2}[oO][rR])""),HYPERLINK(""https://www.munzee.com/map/?sandbox=1&amp;lat=""&amp;$D185&amp;""&amp;lon=""&amp;$E185&amp;""&amp;name=""&amp;SUBSTITUTE($A185,""#"",""%23""),""SANDBOX"""&amp;"),HYPERLINK(""https://www.munzee.com/m/""&amp;$H185&amp;""/deploys/0/type/""&amp;IFNA(VLOOKUP($G185,IMPORTRANGE(""https://docs.google.com/spreadsheets/d/1DliIGyDywdzxhd4svtjaewR0p9Y5UBTMNMQ2PcXsqss"",""type data!E2:F""),2,FALSE),$G185)&amp;""/"",$H185)),""""))"),"sjclyde/900")</f>
        <v>sjclyde/900</v>
      </c>
      <c r="L185" s="19" t="b">
        <v>1</v>
      </c>
      <c r="M185" s="12">
        <f t="shared" si="1"/>
        <v>2</v>
      </c>
      <c r="N185" s="13"/>
      <c r="O185" s="13"/>
      <c r="P185" s="15"/>
    </row>
    <row r="186">
      <c r="A186" s="15" t="s">
        <v>283</v>
      </c>
      <c r="B186" s="16">
        <v>11.0</v>
      </c>
      <c r="C186" s="16">
        <v>12.0</v>
      </c>
      <c r="D186" s="17">
        <v>44.864637279288</v>
      </c>
      <c r="E186" s="17">
        <v>-93.334627984123</v>
      </c>
      <c r="F186" s="16" t="s">
        <v>41</v>
      </c>
      <c r="G186" s="16" t="s">
        <v>17</v>
      </c>
      <c r="H186" s="18" t="s">
        <v>284</v>
      </c>
      <c r="I186" s="19">
        <v>362.0</v>
      </c>
      <c r="J186" s="21"/>
      <c r="K186" s="11" t="str">
        <f>IFERROR(__xludf.DUMMYFUNCTION("IF(AND(REGEXMATCH($H186,""50( ?['fF]([oO]{2})?[tT]?)?( ?[eE][rR]{2}[oO][rR])"")=FALSE,$H186&lt;&gt;"""",$I186&lt;&gt;""""),HYPERLINK(""https://www.munzee.com/m/""&amp;$H186&amp;""/""&amp;$I186&amp;""/map/?lat=""&amp;$D186&amp;""&amp;lon=""&amp;$E186&amp;""&amp;type=""&amp;$G186&amp;""&amp;name=""&amp;SUBSTITUTE($A186,""#"&amp;""",""%23""),$H186&amp;""/""&amp;$I186),IF($H186&lt;&gt;"""",IF(REGEXMATCH($H186,""50( ?['fF]([oO]{2})?[tT]?)?( ?[eE][rR]{2}[oO][rR])""),HYPERLINK(""https://www.munzee.com/map/?sandbox=1&amp;lat=""&amp;$D186&amp;""&amp;lon=""&amp;$E186&amp;""&amp;name=""&amp;SUBSTITUTE($A186,""#"",""%23""),""SANDBOX"""&amp;"),HYPERLINK(""https://www.munzee.com/m/""&amp;$H186&amp;""/deploys/0/type/""&amp;IFNA(VLOOKUP($G186,IMPORTRANGE(""https://docs.google.com/spreadsheets/d/1DliIGyDywdzxhd4svtjaewR0p9Y5UBTMNMQ2PcXsqss"",""type data!E2:F""),2,FALSE),$G186)&amp;""/"",$H186)),""""))"),"NJRainbow53/362")</f>
        <v>NJRainbow53/362</v>
      </c>
      <c r="L186" s="19" t="b">
        <v>1</v>
      </c>
      <c r="M186" s="12">
        <f t="shared" si="1"/>
        <v>2</v>
      </c>
      <c r="N186" s="13"/>
      <c r="O186" s="13"/>
      <c r="P186" s="15"/>
    </row>
    <row r="187">
      <c r="A187" s="15" t="s">
        <v>285</v>
      </c>
      <c r="B187" s="16">
        <v>11.0</v>
      </c>
      <c r="C187" s="16">
        <v>13.0</v>
      </c>
      <c r="D187" s="17">
        <v>44.864637279109</v>
      </c>
      <c r="E187" s="17">
        <v>-93.334425197101</v>
      </c>
      <c r="F187" s="16" t="s">
        <v>41</v>
      </c>
      <c r="G187" s="16" t="s">
        <v>17</v>
      </c>
      <c r="H187" s="18" t="s">
        <v>286</v>
      </c>
      <c r="I187" s="19">
        <v>4643.0</v>
      </c>
      <c r="J187" s="20"/>
      <c r="K187" s="11" t="str">
        <f>IFERROR(__xludf.DUMMYFUNCTION("IF(AND(REGEXMATCH($H187,""50( ?['fF]([oO]{2})?[tT]?)?( ?[eE][rR]{2}[oO][rR])"")=FALSE,$H187&lt;&gt;"""",$I187&lt;&gt;""""),HYPERLINK(""https://www.munzee.com/m/""&amp;$H187&amp;""/""&amp;$I187&amp;""/map/?lat=""&amp;$D187&amp;""&amp;lon=""&amp;$E187&amp;""&amp;type=""&amp;$G187&amp;""&amp;name=""&amp;SUBSTITUTE($A187,""#"&amp;""",""%23""),$H187&amp;""/""&amp;$I187),IF($H187&lt;&gt;"""",IF(REGEXMATCH($H187,""50( ?['fF]([oO]{2})?[tT]?)?( ?[eE][rR]{2}[oO][rR])""),HYPERLINK(""https://www.munzee.com/map/?sandbox=1&amp;lat=""&amp;$D187&amp;""&amp;lon=""&amp;$E187&amp;""&amp;name=""&amp;SUBSTITUTE($A187,""#"",""%23""),""SANDBOX"""&amp;"),HYPERLINK(""https://www.munzee.com/m/""&amp;$H187&amp;""/deploys/0/type/""&amp;IFNA(VLOOKUP($G187,IMPORTRANGE(""https://docs.google.com/spreadsheets/d/1DliIGyDywdzxhd4svtjaewR0p9Y5UBTMNMQ2PcXsqss"",""type data!E2:F""),2,FALSE),$G187)&amp;""/"",$H187)),""""))"),"debmitc/4643")</f>
        <v>debmitc/4643</v>
      </c>
      <c r="L187" s="19" t="b">
        <v>1</v>
      </c>
      <c r="M187" s="12">
        <f t="shared" si="1"/>
        <v>1</v>
      </c>
      <c r="N187" s="13"/>
      <c r="O187" s="13"/>
      <c r="P187" s="29"/>
    </row>
    <row r="188">
      <c r="A188" s="15" t="s">
        <v>287</v>
      </c>
      <c r="B188" s="16">
        <v>11.0</v>
      </c>
      <c r="C188" s="16">
        <v>14.0</v>
      </c>
      <c r="D188" s="17">
        <v>44.864637278929</v>
      </c>
      <c r="E188" s="17">
        <v>-93.334222410078</v>
      </c>
      <c r="F188" s="16" t="s">
        <v>41</v>
      </c>
      <c r="G188" s="16" t="s">
        <v>17</v>
      </c>
      <c r="H188" s="18" t="s">
        <v>288</v>
      </c>
      <c r="I188" s="19">
        <v>673.0</v>
      </c>
      <c r="J188" s="21"/>
      <c r="K188" s="11" t="str">
        <f>IFERROR(__xludf.DUMMYFUNCTION("IF(AND(REGEXMATCH($H188,""50( ?['fF]([oO]{2})?[tT]?)?( ?[eE][rR]{2}[oO][rR])"")=FALSE,$H188&lt;&gt;"""",$I188&lt;&gt;""""),HYPERLINK(""https://www.munzee.com/m/""&amp;$H188&amp;""/""&amp;$I188&amp;""/map/?lat=""&amp;$D188&amp;""&amp;lon=""&amp;$E188&amp;""&amp;type=""&amp;$G188&amp;""&amp;name=""&amp;SUBSTITUTE($A188,""#"&amp;""",""%23""),$H188&amp;""/""&amp;$I188),IF($H188&lt;&gt;"""",IF(REGEXMATCH($H188,""50( ?['fF]([oO]{2})?[tT]?)?( ?[eE][rR]{2}[oO][rR])""),HYPERLINK(""https://www.munzee.com/map/?sandbox=1&amp;lat=""&amp;$D188&amp;""&amp;lon=""&amp;$E188&amp;""&amp;name=""&amp;SUBSTITUTE($A188,""#"",""%23""),""SANDBOX"""&amp;"),HYPERLINK(""https://www.munzee.com/m/""&amp;$H188&amp;""/deploys/0/type/""&amp;IFNA(VLOOKUP($G188,IMPORTRANGE(""https://docs.google.com/spreadsheets/d/1DliIGyDywdzxhd4svtjaewR0p9Y5UBTMNMQ2PcXsqss"",""type data!E2:F""),2,FALSE),$G188)&amp;""/"",$H188)),""""))"),"mickilynn71/673")</f>
        <v>mickilynn71/673</v>
      </c>
      <c r="L188" s="19" t="b">
        <v>1</v>
      </c>
      <c r="M188" s="12">
        <f t="shared" si="1"/>
        <v>1</v>
      </c>
      <c r="N188" s="13"/>
      <c r="O188" s="13"/>
      <c r="P188" s="29"/>
    </row>
    <row r="189">
      <c r="A189" s="15" t="s">
        <v>289</v>
      </c>
      <c r="B189" s="16">
        <v>11.0</v>
      </c>
      <c r="C189" s="16">
        <v>15.0</v>
      </c>
      <c r="D189" s="17">
        <v>44.86463727875</v>
      </c>
      <c r="E189" s="17">
        <v>-93.334019623056</v>
      </c>
      <c r="F189" s="16" t="s">
        <v>41</v>
      </c>
      <c r="G189" s="16" t="s">
        <v>17</v>
      </c>
      <c r="H189" s="33" t="s">
        <v>194</v>
      </c>
      <c r="I189" s="19">
        <v>8628.0</v>
      </c>
      <c r="J189" s="20"/>
      <c r="K189" s="11" t="str">
        <f>IFERROR(__xludf.DUMMYFUNCTION("IF(AND(REGEXMATCH($H189,""50( ?['fF]([oO]{2})?[tT]?)?( ?[eE][rR]{2}[oO][rR])"")=FALSE,$H189&lt;&gt;"""",$I189&lt;&gt;""""),HYPERLINK(""https://www.munzee.com/m/""&amp;$H189&amp;""/""&amp;$I189&amp;""/map/?lat=""&amp;$D189&amp;""&amp;lon=""&amp;$E189&amp;""&amp;type=""&amp;$G189&amp;""&amp;name=""&amp;SUBSTITUTE($A189,""#"&amp;""",""%23""),$H189&amp;""/""&amp;$I189),IF($H189&lt;&gt;"""",IF(REGEXMATCH($H189,""50( ?['fF]([oO]{2})?[tT]?)?( ?[eE][rR]{2}[oO][rR])""),HYPERLINK(""https://www.munzee.com/map/?sandbox=1&amp;lat=""&amp;$D189&amp;""&amp;lon=""&amp;$E189&amp;""&amp;name=""&amp;SUBSTITUTE($A189,""#"",""%23""),""SANDBOX"""&amp;"),HYPERLINK(""https://www.munzee.com/m/""&amp;$H189&amp;""/deploys/0/type/""&amp;IFNA(VLOOKUP($G189,IMPORTRANGE(""https://docs.google.com/spreadsheets/d/1DliIGyDywdzxhd4svtjaewR0p9Y5UBTMNMQ2PcXsqss"",""type data!E2:F""),2,FALSE),$G189)&amp;""/"",$H189)),""""))"),"warped6/8628")</f>
        <v>warped6/8628</v>
      </c>
      <c r="L189" s="19" t="b">
        <v>1</v>
      </c>
      <c r="M189" s="12">
        <f t="shared" si="1"/>
        <v>24</v>
      </c>
      <c r="N189" s="13"/>
      <c r="O189" s="13"/>
      <c r="P189" s="29"/>
    </row>
    <row r="190">
      <c r="A190" s="15" t="s">
        <v>290</v>
      </c>
      <c r="B190" s="16">
        <v>11.0</v>
      </c>
      <c r="C190" s="16">
        <v>16.0</v>
      </c>
      <c r="D190" s="17">
        <v>44.86463727857</v>
      </c>
      <c r="E190" s="17">
        <v>-93.333816836034</v>
      </c>
      <c r="F190" s="16" t="s">
        <v>41</v>
      </c>
      <c r="G190" s="16" t="s">
        <v>17</v>
      </c>
      <c r="H190" s="18" t="s">
        <v>291</v>
      </c>
      <c r="I190" s="19">
        <v>254.0</v>
      </c>
      <c r="J190" s="20"/>
      <c r="K190" s="11" t="str">
        <f>IFERROR(__xludf.DUMMYFUNCTION("IF(AND(REGEXMATCH($H190,""50( ?['fF]([oO]{2})?[tT]?)?( ?[eE][rR]{2}[oO][rR])"")=FALSE,$H190&lt;&gt;"""",$I190&lt;&gt;""""),HYPERLINK(""https://www.munzee.com/m/""&amp;$H190&amp;""/""&amp;$I190&amp;""/map/?lat=""&amp;$D190&amp;""&amp;lon=""&amp;$E190&amp;""&amp;type=""&amp;$G190&amp;""&amp;name=""&amp;SUBSTITUTE($A190,""#"&amp;""",""%23""),$H190&amp;""/""&amp;$I190),IF($H190&lt;&gt;"""",IF(REGEXMATCH($H190,""50( ?['fF]([oO]{2})?[tT]?)?( ?[eE][rR]{2}[oO][rR])""),HYPERLINK(""https://www.munzee.com/map/?sandbox=1&amp;lat=""&amp;$D190&amp;""&amp;lon=""&amp;$E190&amp;""&amp;name=""&amp;SUBSTITUTE($A190,""#"",""%23""),""SANDBOX"""&amp;"),HYPERLINK(""https://www.munzee.com/m/""&amp;$H190&amp;""/deploys/0/type/""&amp;IFNA(VLOOKUP($G190,IMPORTRANGE(""https://docs.google.com/spreadsheets/d/1DliIGyDywdzxhd4svtjaewR0p9Y5UBTMNMQ2PcXsqss"",""type data!E2:F""),2,FALSE),$G190)&amp;""/"",$H190)),""""))"),"gaprincess13/254")</f>
        <v>gaprincess13/254</v>
      </c>
      <c r="L190" s="19" t="b">
        <v>1</v>
      </c>
      <c r="M190" s="12">
        <f t="shared" si="1"/>
        <v>4</v>
      </c>
      <c r="N190" s="13"/>
      <c r="O190" s="13"/>
      <c r="P190" s="29"/>
    </row>
    <row r="191">
      <c r="A191" s="15" t="s">
        <v>292</v>
      </c>
      <c r="B191" s="16">
        <v>11.0</v>
      </c>
      <c r="C191" s="16">
        <v>17.0</v>
      </c>
      <c r="D191" s="17">
        <v>44.864637278391</v>
      </c>
      <c r="E191" s="17">
        <v>-93.333614049012</v>
      </c>
      <c r="F191" s="16" t="s">
        <v>41</v>
      </c>
      <c r="G191" s="16" t="s">
        <v>17</v>
      </c>
      <c r="H191" s="18" t="s">
        <v>32</v>
      </c>
      <c r="I191" s="19">
        <v>3377.0</v>
      </c>
      <c r="J191" s="20"/>
      <c r="K191" s="11" t="str">
        <f>IFERROR(__xludf.DUMMYFUNCTION("IF(AND(REGEXMATCH($H191,""50( ?['fF]([oO]{2})?[tT]?)?( ?[eE][rR]{2}[oO][rR])"")=FALSE,$H191&lt;&gt;"""",$I191&lt;&gt;""""),HYPERLINK(""https://www.munzee.com/m/""&amp;$H191&amp;""/""&amp;$I191&amp;""/map/?lat=""&amp;$D191&amp;""&amp;lon=""&amp;$E191&amp;""&amp;type=""&amp;$G191&amp;""&amp;name=""&amp;SUBSTITUTE($A191,""#"&amp;""",""%23""),$H191&amp;""/""&amp;$I191),IF($H191&lt;&gt;"""",IF(REGEXMATCH($H191,""50( ?['fF]([oO]{2})?[tT]?)?( ?[eE][rR]{2}[oO][rR])""),HYPERLINK(""https://www.munzee.com/map/?sandbox=1&amp;lat=""&amp;$D191&amp;""&amp;lon=""&amp;$E191&amp;""&amp;name=""&amp;SUBSTITUTE($A191,""#"",""%23""),""SANDBOX"""&amp;"),HYPERLINK(""https://www.munzee.com/m/""&amp;$H191&amp;""/deploys/0/type/""&amp;IFNA(VLOOKUP($G191,IMPORTRANGE(""https://docs.google.com/spreadsheets/d/1DliIGyDywdzxhd4svtjaewR0p9Y5UBTMNMQ2PcXsqss"",""type data!E2:F""),2,FALSE),$G191)&amp;""/"",$H191)),""""))"),"Amadoreugen/3377")</f>
        <v>Amadoreugen/3377</v>
      </c>
      <c r="L191" s="19" t="b">
        <v>1</v>
      </c>
      <c r="M191" s="12">
        <f t="shared" si="1"/>
        <v>4</v>
      </c>
      <c r="N191" s="13"/>
      <c r="O191" s="13"/>
      <c r="P191" s="15"/>
    </row>
    <row r="192">
      <c r="A192" s="15" t="s">
        <v>293</v>
      </c>
      <c r="B192" s="16">
        <v>11.0</v>
      </c>
      <c r="C192" s="16">
        <v>18.0</v>
      </c>
      <c r="D192" s="17">
        <v>44.864637278212</v>
      </c>
      <c r="E192" s="17">
        <v>-93.33341126199</v>
      </c>
      <c r="F192" s="16" t="s">
        <v>41</v>
      </c>
      <c r="G192" s="16" t="s">
        <v>17</v>
      </c>
      <c r="H192" s="18" t="s">
        <v>294</v>
      </c>
      <c r="I192" s="19">
        <v>2080.0</v>
      </c>
      <c r="J192" s="20"/>
      <c r="K192" s="11" t="str">
        <f>IFERROR(__xludf.DUMMYFUNCTION("IF(AND(REGEXMATCH($H192,""50( ?['fF]([oO]{2})?[tT]?)?( ?[eE][rR]{2}[oO][rR])"")=FALSE,$H192&lt;&gt;"""",$I192&lt;&gt;""""),HYPERLINK(""https://www.munzee.com/m/""&amp;$H192&amp;""/""&amp;$I192&amp;""/map/?lat=""&amp;$D192&amp;""&amp;lon=""&amp;$E192&amp;""&amp;type=""&amp;$G192&amp;""&amp;name=""&amp;SUBSTITUTE($A192,""#"&amp;""",""%23""),$H192&amp;""/""&amp;$I192),IF($H192&lt;&gt;"""",IF(REGEXMATCH($H192,""50( ?['fF]([oO]{2})?[tT]?)?( ?[eE][rR]{2}[oO][rR])""),HYPERLINK(""https://www.munzee.com/map/?sandbox=1&amp;lat=""&amp;$D192&amp;""&amp;lon=""&amp;$E192&amp;""&amp;name=""&amp;SUBSTITUTE($A192,""#"",""%23""),""SANDBOX"""&amp;"),HYPERLINK(""https://www.munzee.com/m/""&amp;$H192&amp;""/deploys/0/type/""&amp;IFNA(VLOOKUP($G192,IMPORTRANGE(""https://docs.google.com/spreadsheets/d/1DliIGyDywdzxhd4svtjaewR0p9Y5UBTMNMQ2PcXsqss"",""type data!E2:F""),2,FALSE),$G192)&amp;""/"",$H192)),""""))"),"munzeemags/2080")</f>
        <v>munzeemags/2080</v>
      </c>
      <c r="L192" s="19" t="b">
        <v>1</v>
      </c>
      <c r="M192" s="12">
        <f t="shared" si="1"/>
        <v>5</v>
      </c>
      <c r="N192" s="13"/>
      <c r="O192" s="13"/>
      <c r="P192" s="15"/>
    </row>
    <row r="193">
      <c r="A193" s="15" t="s">
        <v>295</v>
      </c>
      <c r="B193" s="16">
        <v>11.0</v>
      </c>
      <c r="C193" s="16">
        <v>19.0</v>
      </c>
      <c r="D193" s="17">
        <v>44.864637278032</v>
      </c>
      <c r="E193" s="17">
        <v>-93.333208474967</v>
      </c>
      <c r="F193" s="16" t="s">
        <v>41</v>
      </c>
      <c r="G193" s="16" t="s">
        <v>17</v>
      </c>
      <c r="H193" s="18" t="s">
        <v>296</v>
      </c>
      <c r="I193" s="19">
        <v>5156.0</v>
      </c>
      <c r="J193" s="20"/>
      <c r="K193" s="11" t="str">
        <f>IFERROR(__xludf.DUMMYFUNCTION("IF(AND(REGEXMATCH($H193,""50( ?['fF]([oO]{2})?[tT]?)?( ?[eE][rR]{2}[oO][rR])"")=FALSE,$H193&lt;&gt;"""",$I193&lt;&gt;""""),HYPERLINK(""https://www.munzee.com/m/""&amp;$H193&amp;""/""&amp;$I193&amp;""/map/?lat=""&amp;$D193&amp;""&amp;lon=""&amp;$E193&amp;""&amp;type=""&amp;$G193&amp;""&amp;name=""&amp;SUBSTITUTE($A193,""#"&amp;""",""%23""),$H193&amp;""/""&amp;$I193),IF($H193&lt;&gt;"""",IF(REGEXMATCH($H193,""50( ?['fF]([oO]{2})?[tT]?)?( ?[eE][rR]{2}[oO][rR])""),HYPERLINK(""https://www.munzee.com/map/?sandbox=1&amp;lat=""&amp;$D193&amp;""&amp;lon=""&amp;$E193&amp;""&amp;name=""&amp;SUBSTITUTE($A193,""#"",""%23""),""SANDBOX"""&amp;"),HYPERLINK(""https://www.munzee.com/m/""&amp;$H193&amp;""/deploys/0/type/""&amp;IFNA(VLOOKUP($G193,IMPORTRANGE(""https://docs.google.com/spreadsheets/d/1DliIGyDywdzxhd4svtjaewR0p9Y5UBTMNMQ2PcXsqss"",""type data!E2:F""),2,FALSE),$G193)&amp;""/"",$H193)),""""))"),"Debolicious/5156")</f>
        <v>Debolicious/5156</v>
      </c>
      <c r="L193" s="19" t="b">
        <v>1</v>
      </c>
      <c r="M193" s="12">
        <f t="shared" si="1"/>
        <v>1</v>
      </c>
      <c r="N193" s="13"/>
      <c r="O193" s="13"/>
      <c r="P193" s="29"/>
    </row>
    <row r="194">
      <c r="A194" s="15" t="s">
        <v>297</v>
      </c>
      <c r="B194" s="16">
        <v>11.0</v>
      </c>
      <c r="C194" s="16">
        <v>20.0</v>
      </c>
      <c r="D194" s="17">
        <v>44.864637277853</v>
      </c>
      <c r="E194" s="17">
        <v>-93.333005687945</v>
      </c>
      <c r="F194" s="16" t="s">
        <v>41</v>
      </c>
      <c r="G194" s="16" t="s">
        <v>17</v>
      </c>
      <c r="H194" s="18" t="s">
        <v>32</v>
      </c>
      <c r="I194" s="19">
        <v>3416.0</v>
      </c>
      <c r="J194" s="20"/>
      <c r="K194" s="11" t="str">
        <f>IFERROR(__xludf.DUMMYFUNCTION("IF(AND(REGEXMATCH($H194,""50( ?['fF]([oO]{2})?[tT]?)?( ?[eE][rR]{2}[oO][rR])"")=FALSE,$H194&lt;&gt;"""",$I194&lt;&gt;""""),HYPERLINK(""https://www.munzee.com/m/""&amp;$H194&amp;""/""&amp;$I194&amp;""/map/?lat=""&amp;$D194&amp;""&amp;lon=""&amp;$E194&amp;""&amp;type=""&amp;$G194&amp;""&amp;name=""&amp;SUBSTITUTE($A194,""#"&amp;""",""%23""),$H194&amp;""/""&amp;$I194),IF($H194&lt;&gt;"""",IF(REGEXMATCH($H194,""50( ?['fF]([oO]{2})?[tT]?)?( ?[eE][rR]{2}[oO][rR])""),HYPERLINK(""https://www.munzee.com/map/?sandbox=1&amp;lat=""&amp;$D194&amp;""&amp;lon=""&amp;$E194&amp;""&amp;name=""&amp;SUBSTITUTE($A194,""#"",""%23""),""SANDBOX"""&amp;"),HYPERLINK(""https://www.munzee.com/m/""&amp;$H194&amp;""/deploys/0/type/""&amp;IFNA(VLOOKUP($G194,IMPORTRANGE(""https://docs.google.com/spreadsheets/d/1DliIGyDywdzxhd4svtjaewR0p9Y5UBTMNMQ2PcXsqss"",""type data!E2:F""),2,FALSE),$G194)&amp;""/"",$H194)),""""))"),"Amadoreugen/3416")</f>
        <v>Amadoreugen/3416</v>
      </c>
      <c r="L194" s="19" t="b">
        <v>1</v>
      </c>
      <c r="M194" s="12">
        <f t="shared" si="1"/>
        <v>4</v>
      </c>
      <c r="N194" s="13"/>
      <c r="O194" s="13"/>
      <c r="P194" s="29"/>
    </row>
    <row r="195">
      <c r="A195" s="15" t="s">
        <v>298</v>
      </c>
      <c r="B195" s="16">
        <v>11.0</v>
      </c>
      <c r="C195" s="16">
        <v>21.0</v>
      </c>
      <c r="D195" s="17">
        <v>44.864637277673</v>
      </c>
      <c r="E195" s="17">
        <v>-93.332802900923</v>
      </c>
      <c r="F195" s="16" t="s">
        <v>41</v>
      </c>
      <c r="G195" s="16" t="s">
        <v>17</v>
      </c>
      <c r="H195" s="33" t="s">
        <v>194</v>
      </c>
      <c r="I195" s="19">
        <v>8493.0</v>
      </c>
      <c r="J195" s="20"/>
      <c r="K195" s="11" t="str">
        <f>IFERROR(__xludf.DUMMYFUNCTION("IF(AND(REGEXMATCH($H195,""50( ?['fF]([oO]{2})?[tT]?)?( ?[eE][rR]{2}[oO][rR])"")=FALSE,$H195&lt;&gt;"""",$I195&lt;&gt;""""),HYPERLINK(""https://www.munzee.com/m/""&amp;$H195&amp;""/""&amp;$I195&amp;""/map/?lat=""&amp;$D195&amp;""&amp;lon=""&amp;$E195&amp;""&amp;type=""&amp;$G195&amp;""&amp;name=""&amp;SUBSTITUTE($A195,""#"&amp;""",""%23""),$H195&amp;""/""&amp;$I195),IF($H195&lt;&gt;"""",IF(REGEXMATCH($H195,""50( ?['fF]([oO]{2})?[tT]?)?( ?[eE][rR]{2}[oO][rR])""),HYPERLINK(""https://www.munzee.com/map/?sandbox=1&amp;lat=""&amp;$D195&amp;""&amp;lon=""&amp;$E195&amp;""&amp;name=""&amp;SUBSTITUTE($A195,""#"",""%23""),""SANDBOX"""&amp;"),HYPERLINK(""https://www.munzee.com/m/""&amp;$H195&amp;""/deploys/0/type/""&amp;IFNA(VLOOKUP($G195,IMPORTRANGE(""https://docs.google.com/spreadsheets/d/1DliIGyDywdzxhd4svtjaewR0p9Y5UBTMNMQ2PcXsqss"",""type data!E2:F""),2,FALSE),$G195)&amp;""/"",$H195)),""""))"),"warped6/8493")</f>
        <v>warped6/8493</v>
      </c>
      <c r="L195" s="19" t="b">
        <v>1</v>
      </c>
      <c r="M195" s="12">
        <f t="shared" si="1"/>
        <v>24</v>
      </c>
      <c r="N195" s="13"/>
      <c r="O195" s="13"/>
      <c r="P195" s="29"/>
    </row>
    <row r="196">
      <c r="A196" s="15" t="s">
        <v>299</v>
      </c>
      <c r="B196" s="16">
        <v>11.0</v>
      </c>
      <c r="C196" s="16">
        <v>22.0</v>
      </c>
      <c r="D196" s="17">
        <v>44.864637277494</v>
      </c>
      <c r="E196" s="17">
        <v>-93.332600113901</v>
      </c>
      <c r="F196" s="16" t="s">
        <v>41</v>
      </c>
      <c r="G196" s="16" t="s">
        <v>17</v>
      </c>
      <c r="H196" s="18" t="s">
        <v>291</v>
      </c>
      <c r="I196" s="19">
        <v>256.0</v>
      </c>
      <c r="J196" s="20"/>
      <c r="K196" s="11" t="str">
        <f>IFERROR(__xludf.DUMMYFUNCTION("IF(AND(REGEXMATCH($H196,""50( ?['fF]([oO]{2})?[tT]?)?( ?[eE][rR]{2}[oO][rR])"")=FALSE,$H196&lt;&gt;"""",$I196&lt;&gt;""""),HYPERLINK(""https://www.munzee.com/m/""&amp;$H196&amp;""/""&amp;$I196&amp;""/map/?lat=""&amp;$D196&amp;""&amp;lon=""&amp;$E196&amp;""&amp;type=""&amp;$G196&amp;""&amp;name=""&amp;SUBSTITUTE($A196,""#"&amp;""",""%23""),$H196&amp;""/""&amp;$I196),IF($H196&lt;&gt;"""",IF(REGEXMATCH($H196,""50( ?['fF]([oO]{2})?[tT]?)?( ?[eE][rR]{2}[oO][rR])""),HYPERLINK(""https://www.munzee.com/map/?sandbox=1&amp;lat=""&amp;$D196&amp;""&amp;lon=""&amp;$E196&amp;""&amp;name=""&amp;SUBSTITUTE($A196,""#"",""%23""),""SANDBOX"""&amp;"),HYPERLINK(""https://www.munzee.com/m/""&amp;$H196&amp;""/deploys/0/type/""&amp;IFNA(VLOOKUP($G196,IMPORTRANGE(""https://docs.google.com/spreadsheets/d/1DliIGyDywdzxhd4svtjaewR0p9Y5UBTMNMQ2PcXsqss"",""type data!E2:F""),2,FALSE),$G196)&amp;""/"",$H196)),""""))"),"gaprincess13/256")</f>
        <v>gaprincess13/256</v>
      </c>
      <c r="L196" s="19" t="b">
        <v>1</v>
      </c>
      <c r="M196" s="12">
        <f t="shared" si="1"/>
        <v>4</v>
      </c>
      <c r="N196" s="13"/>
      <c r="O196" s="13"/>
      <c r="P196" s="29"/>
    </row>
    <row r="197">
      <c r="A197" s="15" t="s">
        <v>300</v>
      </c>
      <c r="B197" s="16">
        <v>11.0</v>
      </c>
      <c r="C197" s="16">
        <v>23.0</v>
      </c>
      <c r="D197" s="17">
        <v>44.864637277314</v>
      </c>
      <c r="E197" s="17">
        <v>-93.332397326879</v>
      </c>
      <c r="F197" s="16" t="s">
        <v>41</v>
      </c>
      <c r="G197" s="16" t="s">
        <v>17</v>
      </c>
      <c r="H197" s="18" t="s">
        <v>301</v>
      </c>
      <c r="I197" s="19">
        <v>6081.0</v>
      </c>
      <c r="J197" s="20"/>
      <c r="K197" s="11" t="str">
        <f>IFERROR(__xludf.DUMMYFUNCTION("IF(AND(REGEXMATCH($H197,""50( ?['fF]([oO]{2})?[tT]?)?( ?[eE][rR]{2}[oO][rR])"")=FALSE,$H197&lt;&gt;"""",$I197&lt;&gt;""""),HYPERLINK(""https://www.munzee.com/m/""&amp;$H197&amp;""/""&amp;$I197&amp;""/map/?lat=""&amp;$D197&amp;""&amp;lon=""&amp;$E197&amp;""&amp;type=""&amp;$G197&amp;""&amp;name=""&amp;SUBSTITUTE($A197,""#"&amp;""",""%23""),$H197&amp;""/""&amp;$I197),IF($H197&lt;&gt;"""",IF(REGEXMATCH($H197,""50( ?['fF]([oO]{2})?[tT]?)?( ?[eE][rR]{2}[oO][rR])""),HYPERLINK(""https://www.munzee.com/map/?sandbox=1&amp;lat=""&amp;$D197&amp;""&amp;lon=""&amp;$E197&amp;""&amp;name=""&amp;SUBSTITUTE($A197,""#"",""%23""),""SANDBOX"""&amp;"),HYPERLINK(""https://www.munzee.com/m/""&amp;$H197&amp;""/deploys/0/type/""&amp;IFNA(VLOOKUP($G197,IMPORTRANGE(""https://docs.google.com/spreadsheets/d/1DliIGyDywdzxhd4svtjaewR0p9Y5UBTMNMQ2PcXsqss"",""type data!E2:F""),2,FALSE),$G197)&amp;""/"",$H197)),""""))"),"mobility/6081")</f>
        <v>mobility/6081</v>
      </c>
      <c r="L197" s="19" t="b">
        <v>1</v>
      </c>
      <c r="M197" s="12">
        <f t="shared" si="1"/>
        <v>2</v>
      </c>
      <c r="N197" s="13"/>
      <c r="O197" s="13"/>
      <c r="P197" s="29"/>
    </row>
    <row r="198">
      <c r="A198" s="15" t="s">
        <v>302</v>
      </c>
      <c r="B198" s="16">
        <v>11.0</v>
      </c>
      <c r="C198" s="16">
        <v>24.0</v>
      </c>
      <c r="D198" s="17">
        <v>44.864637277135</v>
      </c>
      <c r="E198" s="17">
        <v>-93.332194539856</v>
      </c>
      <c r="F198" s="16" t="s">
        <v>41</v>
      </c>
      <c r="G198" s="16" t="s">
        <v>17</v>
      </c>
      <c r="H198" s="18" t="s">
        <v>99</v>
      </c>
      <c r="I198" s="19">
        <v>1425.0</v>
      </c>
      <c r="J198" s="21"/>
      <c r="K198" s="11" t="str">
        <f>IFERROR(__xludf.DUMMYFUNCTION("IF(AND(REGEXMATCH($H198,""50( ?['fF]([oO]{2})?[tT]?)?( ?[eE][rR]{2}[oO][rR])"")=FALSE,$H198&lt;&gt;"""",$I198&lt;&gt;""""),HYPERLINK(""https://www.munzee.com/m/""&amp;$H198&amp;""/""&amp;$I198&amp;""/map/?lat=""&amp;$D198&amp;""&amp;lon=""&amp;$E198&amp;""&amp;type=""&amp;$G198&amp;""&amp;name=""&amp;SUBSTITUTE($A198,""#"&amp;""",""%23""),$H198&amp;""/""&amp;$I198),IF($H198&lt;&gt;"""",IF(REGEXMATCH($H198,""50( ?['fF]([oO]{2})?[tT]?)?( ?[eE][rR]{2}[oO][rR])""),HYPERLINK(""https://www.munzee.com/map/?sandbox=1&amp;lat=""&amp;$D198&amp;""&amp;lon=""&amp;$E198&amp;""&amp;name=""&amp;SUBSTITUTE($A198,""#"",""%23""),""SANDBOX"""&amp;"),HYPERLINK(""https://www.munzee.com/m/""&amp;$H198&amp;""/deploys/0/type/""&amp;IFNA(VLOOKUP($G198,IMPORTRANGE(""https://docs.google.com/spreadsheets/d/1DliIGyDywdzxhd4svtjaewR0p9Y5UBTMNMQ2PcXsqss"",""type data!E2:F""),2,FALSE),$G198)&amp;""/"",$H198)),""""))"),"jsamundson/1425")</f>
        <v>jsamundson/1425</v>
      </c>
      <c r="L198" s="19" t="b">
        <v>1</v>
      </c>
      <c r="M198" s="12">
        <f t="shared" si="1"/>
        <v>20</v>
      </c>
      <c r="N198" s="13"/>
      <c r="O198" s="13"/>
      <c r="P198" s="15"/>
    </row>
    <row r="199">
      <c r="A199" s="15" t="s">
        <v>303</v>
      </c>
      <c r="B199" s="16">
        <v>11.0</v>
      </c>
      <c r="C199" s="16">
        <v>25.0</v>
      </c>
      <c r="D199" s="17">
        <v>44.864637276956</v>
      </c>
      <c r="E199" s="17">
        <v>-93.331991752834</v>
      </c>
      <c r="F199" s="16" t="s">
        <v>16</v>
      </c>
      <c r="G199" s="16" t="s">
        <v>17</v>
      </c>
      <c r="H199" s="18" t="s">
        <v>304</v>
      </c>
      <c r="I199" s="19">
        <v>6292.0</v>
      </c>
      <c r="J199" s="19"/>
      <c r="K199" s="11" t="str">
        <f>IFERROR(__xludf.DUMMYFUNCTION("IF(AND(REGEXMATCH($H199,""50( ?['fF]([oO]{2})?[tT]?)?( ?[eE][rR]{2}[oO][rR])"")=FALSE,$H199&lt;&gt;"""",$I199&lt;&gt;""""),HYPERLINK(""https://www.munzee.com/m/""&amp;$H199&amp;""/""&amp;$I199&amp;""/map/?lat=""&amp;$D199&amp;""&amp;lon=""&amp;$E199&amp;""&amp;type=""&amp;$G199&amp;""&amp;name=""&amp;SUBSTITUTE($A199,""#"&amp;""",""%23""),$H199&amp;""/""&amp;$I199),IF($H199&lt;&gt;"""",IF(REGEXMATCH($H199,""50( ?['fF]([oO]{2})?[tT]?)?( ?[eE][rR]{2}[oO][rR])""),HYPERLINK(""https://www.munzee.com/map/?sandbox=1&amp;lat=""&amp;$D199&amp;""&amp;lon=""&amp;$E199&amp;""&amp;name=""&amp;SUBSTITUTE($A199,""#"",""%23""),""SANDBOX"""&amp;"),HYPERLINK(""https://www.munzee.com/m/""&amp;$H199&amp;""/deploys/0/type/""&amp;IFNA(VLOOKUP($G199,IMPORTRANGE(""https://docs.google.com/spreadsheets/d/1DliIGyDywdzxhd4svtjaewR0p9Y5UBTMNMQ2PcXsqss"",""type data!E2:F""),2,FALSE),$G199)&amp;""/"",$H199)),""""))"),"levesund/6292")</f>
        <v>levesund/6292</v>
      </c>
      <c r="L199" s="19" t="b">
        <v>1</v>
      </c>
      <c r="M199" s="12">
        <f t="shared" si="1"/>
        <v>2</v>
      </c>
      <c r="N199" s="13"/>
      <c r="O199" s="13"/>
      <c r="P199" s="15"/>
    </row>
    <row r="200">
      <c r="A200" s="15" t="s">
        <v>305</v>
      </c>
      <c r="B200" s="16">
        <v>12.0</v>
      </c>
      <c r="C200" s="16">
        <v>4.0</v>
      </c>
      <c r="D200" s="17">
        <v>44.864493550278</v>
      </c>
      <c r="E200" s="17">
        <v>-93.33625028992</v>
      </c>
      <c r="F200" s="16" t="s">
        <v>16</v>
      </c>
      <c r="G200" s="16" t="s">
        <v>17</v>
      </c>
      <c r="H200" s="18" t="s">
        <v>306</v>
      </c>
      <c r="I200" s="19">
        <v>4561.0</v>
      </c>
      <c r="J200" s="20"/>
      <c r="K200" s="11" t="str">
        <f>IFERROR(__xludf.DUMMYFUNCTION("IF(AND(REGEXMATCH($H200,""50( ?['fF]([oO]{2})?[tT]?)?( ?[eE][rR]{2}[oO][rR])"")=FALSE,$H200&lt;&gt;"""",$I200&lt;&gt;""""),HYPERLINK(""https://www.munzee.com/m/""&amp;$H200&amp;""/""&amp;$I200&amp;""/map/?lat=""&amp;$D200&amp;""&amp;lon=""&amp;$E200&amp;""&amp;type=""&amp;$G200&amp;""&amp;name=""&amp;SUBSTITUTE($A200,""#"&amp;""",""%23""),$H200&amp;""/""&amp;$I200),IF($H200&lt;&gt;"""",IF(REGEXMATCH($H200,""50( ?['fF]([oO]{2})?[tT]?)?( ?[eE][rR]{2}[oO][rR])""),HYPERLINK(""https://www.munzee.com/map/?sandbox=1&amp;lat=""&amp;$D200&amp;""&amp;lon=""&amp;$E200&amp;""&amp;name=""&amp;SUBSTITUTE($A200,""#"",""%23""),""SANDBOX"""&amp;"),HYPERLINK(""https://www.munzee.com/m/""&amp;$H200&amp;""/deploys/0/type/""&amp;IFNA(VLOOKUP($G200,IMPORTRANGE(""https://docs.google.com/spreadsheets/d/1DliIGyDywdzxhd4svtjaewR0p9Y5UBTMNMQ2PcXsqss"",""type data!E2:F""),2,FALSE),$G200)&amp;""/"",$H200)),""""))"),"FindersGirl/4561")</f>
        <v>FindersGirl/4561</v>
      </c>
      <c r="L200" s="19" t="b">
        <v>1</v>
      </c>
      <c r="M200" s="12">
        <f t="shared" si="1"/>
        <v>2</v>
      </c>
      <c r="N200" s="13"/>
      <c r="O200" s="13"/>
      <c r="P200" s="29"/>
    </row>
    <row r="201">
      <c r="A201" s="15" t="s">
        <v>307</v>
      </c>
      <c r="B201" s="16">
        <v>12.0</v>
      </c>
      <c r="C201" s="16">
        <v>5.0</v>
      </c>
      <c r="D201" s="17">
        <v>44.864493550099</v>
      </c>
      <c r="E201" s="17">
        <v>-93.336047503404</v>
      </c>
      <c r="F201" s="16" t="s">
        <v>41</v>
      </c>
      <c r="G201" s="16" t="s">
        <v>17</v>
      </c>
      <c r="H201" s="18" t="s">
        <v>308</v>
      </c>
      <c r="I201" s="19">
        <v>3058.0</v>
      </c>
      <c r="J201" s="20"/>
      <c r="K201" s="11" t="str">
        <f>IFERROR(__xludf.DUMMYFUNCTION("IF(AND(REGEXMATCH($H201,""50( ?['fF]([oO]{2})?[tT]?)?( ?[eE][rR]{2}[oO][rR])"")=FALSE,$H201&lt;&gt;"""",$I201&lt;&gt;""""),HYPERLINK(""https://www.munzee.com/m/""&amp;$H201&amp;""/""&amp;$I201&amp;""/map/?lat=""&amp;$D201&amp;""&amp;lon=""&amp;$E201&amp;""&amp;type=""&amp;$G201&amp;""&amp;name=""&amp;SUBSTITUTE($A201,""#"&amp;""",""%23""),$H201&amp;""/""&amp;$I201),IF($H201&lt;&gt;"""",IF(REGEXMATCH($H201,""50( ?['fF]([oO]{2})?[tT]?)?( ?[eE][rR]{2}[oO][rR])""),HYPERLINK(""https://www.munzee.com/map/?sandbox=1&amp;lat=""&amp;$D201&amp;""&amp;lon=""&amp;$E201&amp;""&amp;name=""&amp;SUBSTITUTE($A201,""#"",""%23""),""SANDBOX"""&amp;"),HYPERLINK(""https://www.munzee.com/m/""&amp;$H201&amp;""/deploys/0/type/""&amp;IFNA(VLOOKUP($G201,IMPORTRANGE(""https://docs.google.com/spreadsheets/d/1DliIGyDywdzxhd4svtjaewR0p9Y5UBTMNMQ2PcXsqss"",""type data!E2:F""),2,FALSE),$G201)&amp;""/"",$H201)),""""))"),"Nomadicjp/3058")</f>
        <v>Nomadicjp/3058</v>
      </c>
      <c r="L201" s="19" t="b">
        <v>1</v>
      </c>
      <c r="M201" s="12">
        <f t="shared" si="1"/>
        <v>1</v>
      </c>
      <c r="N201" s="13"/>
      <c r="O201" s="13"/>
      <c r="P201" s="15"/>
    </row>
    <row r="202">
      <c r="A202" s="15" t="s">
        <v>309</v>
      </c>
      <c r="B202" s="16">
        <v>12.0</v>
      </c>
      <c r="C202" s="16">
        <v>6.0</v>
      </c>
      <c r="D202" s="17">
        <v>44.864493549919</v>
      </c>
      <c r="E202" s="17">
        <v>-93.335844716889</v>
      </c>
      <c r="F202" s="16" t="s">
        <v>41</v>
      </c>
      <c r="G202" s="16" t="s">
        <v>17</v>
      </c>
      <c r="H202" s="18" t="s">
        <v>291</v>
      </c>
      <c r="I202" s="19">
        <v>269.0</v>
      </c>
      <c r="J202" s="20"/>
      <c r="K202" s="11" t="str">
        <f>IFERROR(__xludf.DUMMYFUNCTION("IF(AND(REGEXMATCH($H202,""50( ?['fF]([oO]{2})?[tT]?)?( ?[eE][rR]{2}[oO][rR])"")=FALSE,$H202&lt;&gt;"""",$I202&lt;&gt;""""),HYPERLINK(""https://www.munzee.com/m/""&amp;$H202&amp;""/""&amp;$I202&amp;""/map/?lat=""&amp;$D202&amp;""&amp;lon=""&amp;$E202&amp;""&amp;type=""&amp;$G202&amp;""&amp;name=""&amp;SUBSTITUTE($A202,""#"&amp;""",""%23""),$H202&amp;""/""&amp;$I202),IF($H202&lt;&gt;"""",IF(REGEXMATCH($H202,""50( ?['fF]([oO]{2})?[tT]?)?( ?[eE][rR]{2}[oO][rR])""),HYPERLINK(""https://www.munzee.com/map/?sandbox=1&amp;lat=""&amp;$D202&amp;""&amp;lon=""&amp;$E202&amp;""&amp;name=""&amp;SUBSTITUTE($A202,""#"",""%23""),""SANDBOX"""&amp;"),HYPERLINK(""https://www.munzee.com/m/""&amp;$H202&amp;""/deploys/0/type/""&amp;IFNA(VLOOKUP($G202,IMPORTRANGE(""https://docs.google.com/spreadsheets/d/1DliIGyDywdzxhd4svtjaewR0p9Y5UBTMNMQ2PcXsqss"",""type data!E2:F""),2,FALSE),$G202)&amp;""/"",$H202)),""""))"),"gaprincess13/269")</f>
        <v>gaprincess13/269</v>
      </c>
      <c r="L202" s="19" t="b">
        <v>1</v>
      </c>
      <c r="M202" s="12">
        <f t="shared" si="1"/>
        <v>4</v>
      </c>
      <c r="N202" s="13"/>
      <c r="O202" s="13"/>
      <c r="P202" s="15"/>
    </row>
    <row r="203">
      <c r="A203" s="15" t="s">
        <v>310</v>
      </c>
      <c r="B203" s="16">
        <v>12.0</v>
      </c>
      <c r="C203" s="16">
        <v>7.0</v>
      </c>
      <c r="D203" s="17">
        <v>44.86449354974</v>
      </c>
      <c r="E203" s="17">
        <v>-93.335641930373</v>
      </c>
      <c r="F203" s="16" t="s">
        <v>41</v>
      </c>
      <c r="G203" s="16" t="s">
        <v>17</v>
      </c>
      <c r="H203" s="18" t="s">
        <v>138</v>
      </c>
      <c r="I203" s="19">
        <v>3791.0</v>
      </c>
      <c r="J203" s="21"/>
      <c r="K203" s="11" t="str">
        <f>IFERROR(__xludf.DUMMYFUNCTION("IF(AND(REGEXMATCH($H203,""50( ?['fF]([oO]{2})?[tT]?)?( ?[eE][rR]{2}[oO][rR])"")=FALSE,$H203&lt;&gt;"""",$I203&lt;&gt;""""),HYPERLINK(""https://www.munzee.com/m/""&amp;$H203&amp;""/""&amp;$I203&amp;""/map/?lat=""&amp;$D203&amp;""&amp;lon=""&amp;$E203&amp;""&amp;type=""&amp;$G203&amp;""&amp;name=""&amp;SUBSTITUTE($A203,""#"&amp;""",""%23""),$H203&amp;""/""&amp;$I203),IF($H203&lt;&gt;"""",IF(REGEXMATCH($H203,""50( ?['fF]([oO]{2})?[tT]?)?( ?[eE][rR]{2}[oO][rR])""),HYPERLINK(""https://www.munzee.com/map/?sandbox=1&amp;lat=""&amp;$D203&amp;""&amp;lon=""&amp;$E203&amp;""&amp;name=""&amp;SUBSTITUTE($A203,""#"",""%23""),""SANDBOX"""&amp;"),HYPERLINK(""https://www.munzee.com/m/""&amp;$H203&amp;""/deploys/0/type/""&amp;IFNA(VLOOKUP($G203,IMPORTRANGE(""https://docs.google.com/spreadsheets/d/1DliIGyDywdzxhd4svtjaewR0p9Y5UBTMNMQ2PcXsqss"",""type data!E2:F""),2,FALSE),$G203)&amp;""/"",$H203)),""""))"),"Tornado/3791")</f>
        <v>Tornado/3791</v>
      </c>
      <c r="L203" s="19" t="b">
        <v>1</v>
      </c>
      <c r="M203" s="12">
        <f t="shared" si="1"/>
        <v>2</v>
      </c>
      <c r="N203" s="13"/>
      <c r="O203" s="13"/>
      <c r="P203" s="15"/>
    </row>
    <row r="204">
      <c r="A204" s="15" t="s">
        <v>311</v>
      </c>
      <c r="B204" s="16">
        <v>12.0</v>
      </c>
      <c r="C204" s="16">
        <v>8.0</v>
      </c>
      <c r="D204" s="17">
        <v>44.86449354956</v>
      </c>
      <c r="E204" s="17">
        <v>-93.335439143857</v>
      </c>
      <c r="F204" s="16" t="s">
        <v>41</v>
      </c>
      <c r="G204" s="16" t="s">
        <v>17</v>
      </c>
      <c r="H204" s="18" t="s">
        <v>312</v>
      </c>
      <c r="I204" s="19">
        <v>1153.0</v>
      </c>
      <c r="J204" s="21"/>
      <c r="K204" s="11" t="str">
        <f>IFERROR(__xludf.DUMMYFUNCTION("IF(AND(REGEXMATCH($H204,""50( ?['fF]([oO]{2})?[tT]?)?( ?[eE][rR]{2}[oO][rR])"")=FALSE,$H204&lt;&gt;"""",$I204&lt;&gt;""""),HYPERLINK(""https://www.munzee.com/m/""&amp;$H204&amp;""/""&amp;$I204&amp;""/map/?lat=""&amp;$D204&amp;""&amp;lon=""&amp;$E204&amp;""&amp;type=""&amp;$G204&amp;""&amp;name=""&amp;SUBSTITUTE($A204,""#"&amp;""",""%23""),$H204&amp;""/""&amp;$I204),IF($H204&lt;&gt;"""",IF(REGEXMATCH($H204,""50( ?['fF]([oO]{2})?[tT]?)?( ?[eE][rR]{2}[oO][rR])""),HYPERLINK(""https://www.munzee.com/map/?sandbox=1&amp;lat=""&amp;$D204&amp;""&amp;lon=""&amp;$E204&amp;""&amp;name=""&amp;SUBSTITUTE($A204,""#"",""%23""),""SANDBOX"""&amp;"),HYPERLINK(""https://www.munzee.com/m/""&amp;$H204&amp;""/deploys/0/type/""&amp;IFNA(VLOOKUP($G204,IMPORTRANGE(""https://docs.google.com/spreadsheets/d/1DliIGyDywdzxhd4svtjaewR0p9Y5UBTMNMQ2PcXsqss"",""type data!E2:F""),2,FALSE),$G204)&amp;""/"",$H204)),""""))"),"Atzepeng84/1153")</f>
        <v>Atzepeng84/1153</v>
      </c>
      <c r="L204" s="19" t="b">
        <v>1</v>
      </c>
      <c r="M204" s="12">
        <f t="shared" si="1"/>
        <v>1</v>
      </c>
      <c r="N204" s="13"/>
      <c r="O204" s="13"/>
      <c r="P204" s="15"/>
    </row>
    <row r="205">
      <c r="A205" s="15" t="s">
        <v>313</v>
      </c>
      <c r="B205" s="16">
        <v>12.0</v>
      </c>
      <c r="C205" s="16">
        <v>9.0</v>
      </c>
      <c r="D205" s="17">
        <v>44.864493549381</v>
      </c>
      <c r="E205" s="17">
        <v>-93.335236357341</v>
      </c>
      <c r="F205" s="16" t="s">
        <v>41</v>
      </c>
      <c r="G205" s="16" t="s">
        <v>17</v>
      </c>
      <c r="H205" s="18" t="s">
        <v>314</v>
      </c>
      <c r="I205" s="19">
        <v>2244.0</v>
      </c>
      <c r="J205" s="20"/>
      <c r="K205" s="11" t="str">
        <f>IFERROR(__xludf.DUMMYFUNCTION("IF(AND(REGEXMATCH($H205,""50( ?['fF]([oO]{2})?[tT]?)?( ?[eE][rR]{2}[oO][rR])"")=FALSE,$H205&lt;&gt;"""",$I205&lt;&gt;""""),HYPERLINK(""https://www.munzee.com/m/""&amp;$H205&amp;""/""&amp;$I205&amp;""/map/?lat=""&amp;$D205&amp;""&amp;lon=""&amp;$E205&amp;""&amp;type=""&amp;$G205&amp;""&amp;name=""&amp;SUBSTITUTE($A205,""#"&amp;""",""%23""),$H205&amp;""/""&amp;$I205),IF($H205&lt;&gt;"""",IF(REGEXMATCH($H205,""50( ?['fF]([oO]{2})?[tT]?)?( ?[eE][rR]{2}[oO][rR])""),HYPERLINK(""https://www.munzee.com/map/?sandbox=1&amp;lat=""&amp;$D205&amp;""&amp;lon=""&amp;$E205&amp;""&amp;name=""&amp;SUBSTITUTE($A205,""#"",""%23""),""SANDBOX"""&amp;"),HYPERLINK(""https://www.munzee.com/m/""&amp;$H205&amp;""/deploys/0/type/""&amp;IFNA(VLOOKUP($G205,IMPORTRANGE(""https://docs.google.com/spreadsheets/d/1DliIGyDywdzxhd4svtjaewR0p9Y5UBTMNMQ2PcXsqss"",""type data!E2:F""),2,FALSE),$G205)&amp;""/"",$H205)),""""))"),"irca/2244")</f>
        <v>irca/2244</v>
      </c>
      <c r="L205" s="19" t="b">
        <v>1</v>
      </c>
      <c r="M205" s="12">
        <f t="shared" si="1"/>
        <v>2</v>
      </c>
      <c r="N205" s="13"/>
      <c r="O205" s="13"/>
      <c r="P205" s="29"/>
    </row>
    <row r="206">
      <c r="A206" s="15" t="s">
        <v>315</v>
      </c>
      <c r="B206" s="16">
        <v>12.0</v>
      </c>
      <c r="C206" s="16">
        <v>10.0</v>
      </c>
      <c r="D206" s="17">
        <v>44.864493549202</v>
      </c>
      <c r="E206" s="17">
        <v>-93.335033570825</v>
      </c>
      <c r="F206" s="16" t="s">
        <v>41</v>
      </c>
      <c r="G206" s="16" t="s">
        <v>17</v>
      </c>
      <c r="H206" s="18" t="s">
        <v>316</v>
      </c>
      <c r="I206" s="19">
        <v>2680.0</v>
      </c>
      <c r="J206" s="21"/>
      <c r="K206" s="11" t="str">
        <f>IFERROR(__xludf.DUMMYFUNCTION("IF(AND(REGEXMATCH($H206,""50( ?['fF]([oO]{2})?[tT]?)?( ?[eE][rR]{2}[oO][rR])"")=FALSE,$H206&lt;&gt;"""",$I206&lt;&gt;""""),HYPERLINK(""https://www.munzee.com/m/""&amp;$H206&amp;""/""&amp;$I206&amp;""/map/?lat=""&amp;$D206&amp;""&amp;lon=""&amp;$E206&amp;""&amp;type=""&amp;$G206&amp;""&amp;name=""&amp;SUBSTITUTE($A206,""#"&amp;""",""%23""),$H206&amp;""/""&amp;$I206),IF($H206&lt;&gt;"""",IF(REGEXMATCH($H206,""50( ?['fF]([oO]{2})?[tT]?)?( ?[eE][rR]{2}[oO][rR])""),HYPERLINK(""https://www.munzee.com/map/?sandbox=1&amp;lat=""&amp;$D206&amp;""&amp;lon=""&amp;$E206&amp;""&amp;name=""&amp;SUBSTITUTE($A206,""#"",""%23""),""SANDBOX"""&amp;"),HYPERLINK(""https://www.munzee.com/m/""&amp;$H206&amp;""/deploys/0/type/""&amp;IFNA(VLOOKUP($G206,IMPORTRANGE(""https://docs.google.com/spreadsheets/d/1DliIGyDywdzxhd4svtjaewR0p9Y5UBTMNMQ2PcXsqss"",""type data!E2:F""),2,FALSE),$G206)&amp;""/"",$H206)),""""))"),"mortonfox/2680")</f>
        <v>mortonfox/2680</v>
      </c>
      <c r="L206" s="19" t="b">
        <v>1</v>
      </c>
      <c r="M206" s="12">
        <f t="shared" si="1"/>
        <v>3</v>
      </c>
      <c r="N206" s="13"/>
      <c r="O206" s="13"/>
      <c r="P206" s="29"/>
    </row>
    <row r="207">
      <c r="A207" s="15" t="s">
        <v>317</v>
      </c>
      <c r="B207" s="16">
        <v>12.0</v>
      </c>
      <c r="C207" s="16">
        <v>11.0</v>
      </c>
      <c r="D207" s="17">
        <v>44.864493549022</v>
      </c>
      <c r="E207" s="17">
        <v>-93.334830784309</v>
      </c>
      <c r="F207" s="16" t="s">
        <v>318</v>
      </c>
      <c r="G207" s="16" t="s">
        <v>17</v>
      </c>
      <c r="H207" s="18" t="s">
        <v>42</v>
      </c>
      <c r="I207" s="19">
        <v>2457.0</v>
      </c>
      <c r="J207" s="20"/>
      <c r="K207" s="11" t="str">
        <f>IFERROR(__xludf.DUMMYFUNCTION("IF(AND(REGEXMATCH($H207,""50( ?['fF]([oO]{2})?[tT]?)?( ?[eE][rR]{2}[oO][rR])"")=FALSE,$H207&lt;&gt;"""",$I207&lt;&gt;""""),HYPERLINK(""https://www.munzee.com/m/""&amp;$H207&amp;""/""&amp;$I207&amp;""/map/?lat=""&amp;$D207&amp;""&amp;lon=""&amp;$E207&amp;""&amp;type=""&amp;$G207&amp;""&amp;name=""&amp;SUBSTITUTE($A207,""#"&amp;""",""%23""),$H207&amp;""/""&amp;$I207),IF($H207&lt;&gt;"""",IF(REGEXMATCH($H207,""50( ?['fF]([oO]{2})?[tT]?)?( ?[eE][rR]{2}[oO][rR])""),HYPERLINK(""https://www.munzee.com/map/?sandbox=1&amp;lat=""&amp;$D207&amp;""&amp;lon=""&amp;$E207&amp;""&amp;name=""&amp;SUBSTITUTE($A207,""#"",""%23""),""SANDBOX"""&amp;"),HYPERLINK(""https://www.munzee.com/m/""&amp;$H207&amp;""/deploys/0/type/""&amp;IFNA(VLOOKUP($G207,IMPORTRANGE(""https://docs.google.com/spreadsheets/d/1DliIGyDywdzxhd4svtjaewR0p9Y5UBTMNMQ2PcXsqss"",""type data!E2:F""),2,FALSE),$G207)&amp;""/"",$H207)),""""))"),"snakelips/2457")</f>
        <v>snakelips/2457</v>
      </c>
      <c r="L207" s="19" t="b">
        <v>1</v>
      </c>
      <c r="M207" s="12">
        <f t="shared" si="1"/>
        <v>7</v>
      </c>
      <c r="N207" s="13"/>
      <c r="O207" s="13"/>
      <c r="P207" s="29"/>
    </row>
    <row r="208">
      <c r="A208" s="15" t="s">
        <v>319</v>
      </c>
      <c r="B208" s="16">
        <v>12.0</v>
      </c>
      <c r="C208" s="16">
        <v>12.0</v>
      </c>
      <c r="D208" s="17">
        <v>44.864493548843</v>
      </c>
      <c r="E208" s="17">
        <v>-93.334627997793</v>
      </c>
      <c r="F208" s="16" t="s">
        <v>318</v>
      </c>
      <c r="G208" s="16" t="s">
        <v>17</v>
      </c>
      <c r="H208" s="18" t="s">
        <v>47</v>
      </c>
      <c r="I208" s="19">
        <v>862.0</v>
      </c>
      <c r="J208" s="20"/>
      <c r="K208" s="11" t="str">
        <f>IFERROR(__xludf.DUMMYFUNCTION("IF(AND(REGEXMATCH($H208,""50( ?['fF]([oO]{2})?[tT]?)?( ?[eE][rR]{2}[oO][rR])"")=FALSE,$H208&lt;&gt;"""",$I208&lt;&gt;""""),HYPERLINK(""https://www.munzee.com/m/""&amp;$H208&amp;""/""&amp;$I208&amp;""/map/?lat=""&amp;$D208&amp;""&amp;lon=""&amp;$E208&amp;""&amp;type=""&amp;$G208&amp;""&amp;name=""&amp;SUBSTITUTE($A208,""#"&amp;""",""%23""),$H208&amp;""/""&amp;$I208),IF($H208&lt;&gt;"""",IF(REGEXMATCH($H208,""50( ?['fF]([oO]{2})?[tT]?)?( ?[eE][rR]{2}[oO][rR])""),HYPERLINK(""https://www.munzee.com/map/?sandbox=1&amp;lat=""&amp;$D208&amp;""&amp;lon=""&amp;$E208&amp;""&amp;name=""&amp;SUBSTITUTE($A208,""#"",""%23""),""SANDBOX"""&amp;"),HYPERLINK(""https://www.munzee.com/m/""&amp;$H208&amp;""/deploys/0/type/""&amp;IFNA(VLOOKUP($G208,IMPORTRANGE(""https://docs.google.com/spreadsheets/d/1DliIGyDywdzxhd4svtjaewR0p9Y5UBTMNMQ2PcXsqss"",""type data!E2:F""),2,FALSE),$G208)&amp;""/"",$H208)),""""))"),"Qdog/862")</f>
        <v>Qdog/862</v>
      </c>
      <c r="L208" s="19" t="b">
        <v>1</v>
      </c>
      <c r="M208" s="12">
        <f t="shared" si="1"/>
        <v>5</v>
      </c>
      <c r="N208" s="13"/>
      <c r="O208" s="13"/>
      <c r="P208" s="29"/>
    </row>
    <row r="209">
      <c r="A209" s="15" t="s">
        <v>320</v>
      </c>
      <c r="B209" s="16">
        <v>12.0</v>
      </c>
      <c r="C209" s="16">
        <v>13.0</v>
      </c>
      <c r="D209" s="17">
        <v>44.864493548663</v>
      </c>
      <c r="E209" s="17">
        <v>-93.334425211277</v>
      </c>
      <c r="F209" s="16" t="s">
        <v>41</v>
      </c>
      <c r="G209" s="16" t="s">
        <v>17</v>
      </c>
      <c r="H209" s="18" t="s">
        <v>291</v>
      </c>
      <c r="I209" s="19">
        <v>270.0</v>
      </c>
      <c r="J209" s="20"/>
      <c r="K209" s="11" t="str">
        <f>IFERROR(__xludf.DUMMYFUNCTION("IF(AND(REGEXMATCH($H209,""50( ?['fF]([oO]{2})?[tT]?)?( ?[eE][rR]{2}[oO][rR])"")=FALSE,$H209&lt;&gt;"""",$I209&lt;&gt;""""),HYPERLINK(""https://www.munzee.com/m/""&amp;$H209&amp;""/""&amp;$I209&amp;""/map/?lat=""&amp;$D209&amp;""&amp;lon=""&amp;$E209&amp;""&amp;type=""&amp;$G209&amp;""&amp;name=""&amp;SUBSTITUTE($A209,""#"&amp;""",""%23""),$H209&amp;""/""&amp;$I209),IF($H209&lt;&gt;"""",IF(REGEXMATCH($H209,""50( ?['fF]([oO]{2})?[tT]?)?( ?[eE][rR]{2}[oO][rR])""),HYPERLINK(""https://www.munzee.com/map/?sandbox=1&amp;lat=""&amp;$D209&amp;""&amp;lon=""&amp;$E209&amp;""&amp;name=""&amp;SUBSTITUTE($A209,""#"",""%23""),""SANDBOX"""&amp;"),HYPERLINK(""https://www.munzee.com/m/""&amp;$H209&amp;""/deploys/0/type/""&amp;IFNA(VLOOKUP($G209,IMPORTRANGE(""https://docs.google.com/spreadsheets/d/1DliIGyDywdzxhd4svtjaewR0p9Y5UBTMNMQ2PcXsqss"",""type data!E2:F""),2,FALSE),$G209)&amp;""/"",$H209)),""""))"),"gaprincess13/270")</f>
        <v>gaprincess13/270</v>
      </c>
      <c r="L209" s="19" t="b">
        <v>1</v>
      </c>
      <c r="M209" s="12">
        <f t="shared" si="1"/>
        <v>4</v>
      </c>
      <c r="N209" s="13"/>
      <c r="O209" s="13"/>
      <c r="P209" s="29"/>
    </row>
    <row r="210">
      <c r="A210" s="15" t="s">
        <v>321</v>
      </c>
      <c r="B210" s="16">
        <v>12.0</v>
      </c>
      <c r="C210" s="16">
        <v>14.0</v>
      </c>
      <c r="D210" s="17">
        <v>44.864493548484</v>
      </c>
      <c r="E210" s="17">
        <v>-93.334222424761</v>
      </c>
      <c r="F210" s="16" t="s">
        <v>41</v>
      </c>
      <c r="G210" s="16" t="s">
        <v>17</v>
      </c>
      <c r="H210" s="18" t="s">
        <v>322</v>
      </c>
      <c r="I210" s="19">
        <v>5082.0</v>
      </c>
      <c r="J210" s="21"/>
      <c r="K210" s="11" t="str">
        <f>IFERROR(__xludf.DUMMYFUNCTION("IF(AND(REGEXMATCH($H210,""50( ?['fF]([oO]{2})?[tT]?)?( ?[eE][rR]{2}[oO][rR])"")=FALSE,$H210&lt;&gt;"""",$I210&lt;&gt;""""),HYPERLINK(""https://www.munzee.com/m/""&amp;$H210&amp;""/""&amp;$I210&amp;""/map/?lat=""&amp;$D210&amp;""&amp;lon=""&amp;$E210&amp;""&amp;type=""&amp;$G210&amp;""&amp;name=""&amp;SUBSTITUTE($A210,""#"&amp;""",""%23""),$H210&amp;""/""&amp;$I210),IF($H210&lt;&gt;"""",IF(REGEXMATCH($H210,""50( ?['fF]([oO]{2})?[tT]?)?( ?[eE][rR]{2}[oO][rR])""),HYPERLINK(""https://www.munzee.com/map/?sandbox=1&amp;lat=""&amp;$D210&amp;""&amp;lon=""&amp;$E210&amp;""&amp;name=""&amp;SUBSTITUTE($A210,""#"",""%23""),""SANDBOX"""&amp;"),HYPERLINK(""https://www.munzee.com/m/""&amp;$H210&amp;""/deploys/0/type/""&amp;IFNA(VLOOKUP($G210,IMPORTRANGE(""https://docs.google.com/spreadsheets/d/1DliIGyDywdzxhd4svtjaewR0p9Y5UBTMNMQ2PcXsqss"",""type data!E2:F""),2,FALSE),$G210)&amp;""/"",$H210)),""""))"),"donbadabon/5082")</f>
        <v>donbadabon/5082</v>
      </c>
      <c r="L210" s="19" t="b">
        <v>1</v>
      </c>
      <c r="M210" s="12">
        <f t="shared" si="1"/>
        <v>5</v>
      </c>
      <c r="N210" s="13"/>
      <c r="O210" s="13"/>
      <c r="P210" s="29"/>
    </row>
    <row r="211">
      <c r="A211" s="15" t="s">
        <v>323</v>
      </c>
      <c r="B211" s="16">
        <v>12.0</v>
      </c>
      <c r="C211" s="16">
        <v>15.0</v>
      </c>
      <c r="D211" s="17">
        <v>44.864493548304</v>
      </c>
      <c r="E211" s="17">
        <v>-93.334019638245</v>
      </c>
      <c r="F211" s="16" t="s">
        <v>41</v>
      </c>
      <c r="G211" s="16" t="s">
        <v>17</v>
      </c>
      <c r="H211" s="18" t="s">
        <v>324</v>
      </c>
      <c r="I211" s="19">
        <v>846.0</v>
      </c>
      <c r="J211" s="21"/>
      <c r="K211" s="11" t="str">
        <f>IFERROR(__xludf.DUMMYFUNCTION("IF(AND(REGEXMATCH($H211,""50( ?['fF]([oO]{2})?[tT]?)?( ?[eE][rR]{2}[oO][rR])"")=FALSE,$H211&lt;&gt;"""",$I211&lt;&gt;""""),HYPERLINK(""https://www.munzee.com/m/""&amp;$H211&amp;""/""&amp;$I211&amp;""/map/?lat=""&amp;$D211&amp;""&amp;lon=""&amp;$E211&amp;""&amp;type=""&amp;$G211&amp;""&amp;name=""&amp;SUBSTITUTE($A211,""#"&amp;""",""%23""),$H211&amp;""/""&amp;$I211),IF($H211&lt;&gt;"""",IF(REGEXMATCH($H211,""50( ?['fF]([oO]{2})?[tT]?)?( ?[eE][rR]{2}[oO][rR])""),HYPERLINK(""https://www.munzee.com/map/?sandbox=1&amp;lat=""&amp;$D211&amp;""&amp;lon=""&amp;$E211&amp;""&amp;name=""&amp;SUBSTITUTE($A211,""#"",""%23""),""SANDBOX"""&amp;"),HYPERLINK(""https://www.munzee.com/m/""&amp;$H211&amp;""/deploys/0/type/""&amp;IFNA(VLOOKUP($G211,IMPORTRANGE(""https://docs.google.com/spreadsheets/d/1DliIGyDywdzxhd4svtjaewR0p9Y5UBTMNMQ2PcXsqss"",""type data!E2:F""),2,FALSE),$G211)&amp;""/"",$H211)),""""))"),"Noisette/846")</f>
        <v>Noisette/846</v>
      </c>
      <c r="L211" s="19" t="b">
        <v>1</v>
      </c>
      <c r="M211" s="12">
        <f t="shared" si="1"/>
        <v>3</v>
      </c>
      <c r="N211" s="13"/>
      <c r="O211" s="13"/>
      <c r="P211" s="29"/>
    </row>
    <row r="212">
      <c r="A212" s="15" t="s">
        <v>325</v>
      </c>
      <c r="B212" s="16">
        <v>12.0</v>
      </c>
      <c r="C212" s="16">
        <v>16.0</v>
      </c>
      <c r="D212" s="17">
        <v>44.864493548125</v>
      </c>
      <c r="E212" s="17">
        <v>-93.333816851729</v>
      </c>
      <c r="F212" s="16" t="s">
        <v>41</v>
      </c>
      <c r="G212" s="16" t="s">
        <v>17</v>
      </c>
      <c r="H212" s="18" t="s">
        <v>326</v>
      </c>
      <c r="I212" s="19">
        <v>3128.0</v>
      </c>
      <c r="J212" s="22"/>
      <c r="K212" s="11" t="str">
        <f>IFERROR(__xludf.DUMMYFUNCTION("IF(AND(REGEXMATCH($H212,""50( ?['fF]([oO]{2})?[tT]?)?( ?[eE][rR]{2}[oO][rR])"")=FALSE,$H212&lt;&gt;"""",$I212&lt;&gt;""""),HYPERLINK(""https://www.munzee.com/m/""&amp;$H212&amp;""/""&amp;$I212&amp;""/map/?lat=""&amp;$D212&amp;""&amp;lon=""&amp;$E212&amp;""&amp;type=""&amp;$G212&amp;""&amp;name=""&amp;SUBSTITUTE($A212,""#"&amp;""",""%23""),$H212&amp;""/""&amp;$I212),IF($H212&lt;&gt;"""",IF(REGEXMATCH($H212,""50( ?['fF]([oO]{2})?[tT]?)?( ?[eE][rR]{2}[oO][rR])""),HYPERLINK(""https://www.munzee.com/map/?sandbox=1&amp;lat=""&amp;$D212&amp;""&amp;lon=""&amp;$E212&amp;""&amp;name=""&amp;SUBSTITUTE($A212,""#"",""%23""),""SANDBOX"""&amp;"),HYPERLINK(""https://www.munzee.com/m/""&amp;$H212&amp;""/deploys/0/type/""&amp;IFNA(VLOOKUP($G212,IMPORTRANGE(""https://docs.google.com/spreadsheets/d/1DliIGyDywdzxhd4svtjaewR0p9Y5UBTMNMQ2PcXsqss"",""type data!E2:F""),2,FALSE),$G212)&amp;""/"",$H212)),""""))"),"rbct109/3128")</f>
        <v>rbct109/3128</v>
      </c>
      <c r="L212" s="19" t="b">
        <v>1</v>
      </c>
      <c r="M212" s="12">
        <f t="shared" si="1"/>
        <v>4</v>
      </c>
      <c r="N212" s="13"/>
      <c r="O212" s="13"/>
      <c r="P212" s="15"/>
    </row>
    <row r="213">
      <c r="A213" s="15" t="s">
        <v>327</v>
      </c>
      <c r="B213" s="16">
        <v>12.0</v>
      </c>
      <c r="C213" s="16">
        <v>17.0</v>
      </c>
      <c r="D213" s="17">
        <v>44.864493547946</v>
      </c>
      <c r="E213" s="17">
        <v>-93.333614065213</v>
      </c>
      <c r="F213" s="16" t="s">
        <v>318</v>
      </c>
      <c r="G213" s="16" t="s">
        <v>17</v>
      </c>
      <c r="H213" s="18" t="s">
        <v>328</v>
      </c>
      <c r="I213" s="19">
        <v>747.0</v>
      </c>
      <c r="J213" s="20"/>
      <c r="K213" s="11" t="str">
        <f>IFERROR(__xludf.DUMMYFUNCTION("IF(AND(REGEXMATCH($H213,""50( ?['fF]([oO]{2})?[tT]?)?( ?[eE][rR]{2}[oO][rR])"")=FALSE,$H213&lt;&gt;"""",$I213&lt;&gt;""""),HYPERLINK(""https://www.munzee.com/m/""&amp;$H213&amp;""/""&amp;$I213&amp;""/map/?lat=""&amp;$D213&amp;""&amp;lon=""&amp;$E213&amp;""&amp;type=""&amp;$G213&amp;""&amp;name=""&amp;SUBSTITUTE($A213,""#"&amp;""",""%23""),$H213&amp;""/""&amp;$I213),IF($H213&lt;&gt;"""",IF(REGEXMATCH($H213,""50( ?['fF]([oO]{2})?[tT]?)?( ?[eE][rR]{2}[oO][rR])""),HYPERLINK(""https://www.munzee.com/map/?sandbox=1&amp;lat=""&amp;$D213&amp;""&amp;lon=""&amp;$E213&amp;""&amp;name=""&amp;SUBSTITUTE($A213,""#"",""%23""),""SANDBOX"""&amp;"),HYPERLINK(""https://www.munzee.com/m/""&amp;$H213&amp;""/deploys/0/type/""&amp;IFNA(VLOOKUP($G213,IMPORTRANGE(""https://docs.google.com/spreadsheets/d/1DliIGyDywdzxhd4svtjaewR0p9Y5UBTMNMQ2PcXsqss"",""type data!E2:F""),2,FALSE),$G213)&amp;""/"",$H213)),""""))"),"SKlick/747")</f>
        <v>SKlick/747</v>
      </c>
      <c r="L213" s="19" t="b">
        <v>1</v>
      </c>
      <c r="M213" s="12">
        <f t="shared" si="1"/>
        <v>4</v>
      </c>
      <c r="N213" s="13"/>
      <c r="O213" s="13"/>
      <c r="P213" s="29"/>
    </row>
    <row r="214">
      <c r="A214" s="15" t="s">
        <v>329</v>
      </c>
      <c r="B214" s="16">
        <v>12.0</v>
      </c>
      <c r="C214" s="16">
        <v>18.0</v>
      </c>
      <c r="D214" s="17">
        <v>44.864493547766</v>
      </c>
      <c r="E214" s="17">
        <v>-93.333411278698</v>
      </c>
      <c r="F214" s="16" t="s">
        <v>318</v>
      </c>
      <c r="G214" s="16" t="s">
        <v>17</v>
      </c>
      <c r="H214" s="18" t="s">
        <v>162</v>
      </c>
      <c r="I214" s="19">
        <v>2127.0</v>
      </c>
      <c r="J214" s="21"/>
      <c r="K214" s="11" t="str">
        <f>IFERROR(__xludf.DUMMYFUNCTION("IF(AND(REGEXMATCH($H214,""50( ?['fF]([oO]{2})?[tT]?)?( ?[eE][rR]{2}[oO][rR])"")=FALSE,$H214&lt;&gt;"""",$I214&lt;&gt;""""),HYPERLINK(""https://www.munzee.com/m/""&amp;$H214&amp;""/""&amp;$I214&amp;""/map/?lat=""&amp;$D214&amp;""&amp;lon=""&amp;$E214&amp;""&amp;type=""&amp;$G214&amp;""&amp;name=""&amp;SUBSTITUTE($A214,""#"&amp;""",""%23""),$H214&amp;""/""&amp;$I214),IF($H214&lt;&gt;"""",IF(REGEXMATCH($H214,""50( ?['fF]([oO]{2})?[tT]?)?( ?[eE][rR]{2}[oO][rR])""),HYPERLINK(""https://www.munzee.com/map/?sandbox=1&amp;lat=""&amp;$D214&amp;""&amp;lon=""&amp;$E214&amp;""&amp;name=""&amp;SUBSTITUTE($A214,""#"",""%23""),""SANDBOX"""&amp;"),HYPERLINK(""https://www.munzee.com/m/""&amp;$H214&amp;""/deploys/0/type/""&amp;IFNA(VLOOKUP($G214,IMPORTRANGE(""https://docs.google.com/spreadsheets/d/1DliIGyDywdzxhd4svtjaewR0p9Y5UBTMNMQ2PcXsqss"",""type data!E2:F""),2,FALSE),$G214)&amp;""/"",$H214)),""""))"),"CoffeeBender/2127")</f>
        <v>CoffeeBender/2127</v>
      </c>
      <c r="L214" s="19" t="b">
        <v>1</v>
      </c>
      <c r="M214" s="12">
        <f t="shared" si="1"/>
        <v>9</v>
      </c>
      <c r="N214" s="13"/>
      <c r="O214" s="13"/>
      <c r="P214" s="15"/>
    </row>
    <row r="215">
      <c r="A215" s="15" t="s">
        <v>330</v>
      </c>
      <c r="B215" s="16">
        <v>12.0</v>
      </c>
      <c r="C215" s="16">
        <v>19.0</v>
      </c>
      <c r="D215" s="17">
        <v>44.864493547587</v>
      </c>
      <c r="E215" s="17">
        <v>-93.333208492182</v>
      </c>
      <c r="F215" s="16" t="s">
        <v>41</v>
      </c>
      <c r="G215" s="16" t="s">
        <v>17</v>
      </c>
      <c r="H215" s="18" t="s">
        <v>331</v>
      </c>
      <c r="I215" s="19">
        <v>2339.0</v>
      </c>
      <c r="J215" s="20"/>
      <c r="K215" s="11" t="str">
        <f>IFERROR(__xludf.DUMMYFUNCTION("IF(AND(REGEXMATCH($H215,""50( ?['fF]([oO]{2})?[tT]?)?( ?[eE][rR]{2}[oO][rR])"")=FALSE,$H215&lt;&gt;"""",$I215&lt;&gt;""""),HYPERLINK(""https://www.munzee.com/m/""&amp;$H215&amp;""/""&amp;$I215&amp;""/map/?lat=""&amp;$D215&amp;""&amp;lon=""&amp;$E215&amp;""&amp;type=""&amp;$G215&amp;""&amp;name=""&amp;SUBSTITUTE($A215,""#"&amp;""",""%23""),$H215&amp;""/""&amp;$I215),IF($H215&lt;&gt;"""",IF(REGEXMATCH($H215,""50( ?['fF]([oO]{2})?[tT]?)?( ?[eE][rR]{2}[oO][rR])""),HYPERLINK(""https://www.munzee.com/map/?sandbox=1&amp;lat=""&amp;$D215&amp;""&amp;lon=""&amp;$E215&amp;""&amp;name=""&amp;SUBSTITUTE($A215,""#"",""%23""),""SANDBOX"""&amp;"),HYPERLINK(""https://www.munzee.com/m/""&amp;$H215&amp;""/deploys/0/type/""&amp;IFNA(VLOOKUP($G215,IMPORTRANGE(""https://docs.google.com/spreadsheets/d/1DliIGyDywdzxhd4svtjaewR0p9Y5UBTMNMQ2PcXsqss"",""type data!E2:F""),2,FALSE),$G215)&amp;""/"",$H215)),""""))"),"tlmeadowlark/2339")</f>
        <v>tlmeadowlark/2339</v>
      </c>
      <c r="L215" s="19" t="b">
        <v>1</v>
      </c>
      <c r="M215" s="12">
        <f t="shared" si="1"/>
        <v>3</v>
      </c>
      <c r="N215" s="13"/>
      <c r="O215" s="13"/>
      <c r="P215" s="29"/>
    </row>
    <row r="216">
      <c r="A216" s="15" t="s">
        <v>332</v>
      </c>
      <c r="B216" s="16">
        <v>12.0</v>
      </c>
      <c r="C216" s="16">
        <v>20.0</v>
      </c>
      <c r="D216" s="17">
        <v>44.864493547407</v>
      </c>
      <c r="E216" s="17">
        <v>-93.333005705666</v>
      </c>
      <c r="F216" s="16" t="s">
        <v>41</v>
      </c>
      <c r="G216" s="16" t="s">
        <v>17</v>
      </c>
      <c r="H216" s="18" t="s">
        <v>333</v>
      </c>
      <c r="I216" s="19">
        <v>5754.0</v>
      </c>
      <c r="J216" s="20"/>
      <c r="K216" s="11" t="str">
        <f>IFERROR(__xludf.DUMMYFUNCTION("IF(AND(REGEXMATCH($H216,""50( ?['fF]([oO]{2})?[tT]?)?( ?[eE][rR]{2}[oO][rR])"")=FALSE,$H216&lt;&gt;"""",$I216&lt;&gt;""""),HYPERLINK(""https://www.munzee.com/m/""&amp;$H216&amp;""/""&amp;$I216&amp;""/map/?lat=""&amp;$D216&amp;""&amp;lon=""&amp;$E216&amp;""&amp;type=""&amp;$G216&amp;""&amp;name=""&amp;SUBSTITUTE($A216,""#"&amp;""",""%23""),$H216&amp;""/""&amp;$I216),IF($H216&lt;&gt;"""",IF(REGEXMATCH($H216,""50( ?['fF]([oO]{2})?[tT]?)?( ?[eE][rR]{2}[oO][rR])""),HYPERLINK(""https://www.munzee.com/map/?sandbox=1&amp;lat=""&amp;$D216&amp;""&amp;lon=""&amp;$E216&amp;""&amp;name=""&amp;SUBSTITUTE($A216,""#"",""%23""),""SANDBOX"""&amp;"),HYPERLINK(""https://www.munzee.com/m/""&amp;$H216&amp;""/deploys/0/type/""&amp;IFNA(VLOOKUP($G216,IMPORTRANGE(""https://docs.google.com/spreadsheets/d/1DliIGyDywdzxhd4svtjaewR0p9Y5UBTMNMQ2PcXsqss"",""type data!E2:F""),2,FALSE),$G216)&amp;""/"",$H216)),""""))"),"Minerva123/5754")</f>
        <v>Minerva123/5754</v>
      </c>
      <c r="L216" s="19" t="b">
        <v>1</v>
      </c>
      <c r="M216" s="12">
        <f t="shared" si="1"/>
        <v>1</v>
      </c>
      <c r="N216" s="13"/>
      <c r="O216" s="13"/>
      <c r="P216" s="29"/>
    </row>
    <row r="217">
      <c r="A217" s="15" t="s">
        <v>334</v>
      </c>
      <c r="B217" s="16">
        <v>12.0</v>
      </c>
      <c r="C217" s="16">
        <v>21.0</v>
      </c>
      <c r="D217" s="17">
        <v>44.864493547228</v>
      </c>
      <c r="E217" s="17">
        <v>-93.33280291915</v>
      </c>
      <c r="F217" s="16" t="s">
        <v>41</v>
      </c>
      <c r="G217" s="16" t="s">
        <v>17</v>
      </c>
      <c r="H217" s="18" t="s">
        <v>335</v>
      </c>
      <c r="I217" s="19">
        <v>7336.0</v>
      </c>
      <c r="J217" s="20"/>
      <c r="K217" s="11" t="str">
        <f>IFERROR(__xludf.DUMMYFUNCTION("IF(AND(REGEXMATCH($H217,""50( ?['fF]([oO]{2})?[tT]?)?( ?[eE][rR]{2}[oO][rR])"")=FALSE,$H217&lt;&gt;"""",$I217&lt;&gt;""""),HYPERLINK(""https://www.munzee.com/m/""&amp;$H217&amp;""/""&amp;$I217&amp;""/map/?lat=""&amp;$D217&amp;""&amp;lon=""&amp;$E217&amp;""&amp;type=""&amp;$G217&amp;""&amp;name=""&amp;SUBSTITUTE($A217,""#"&amp;""",""%23""),$H217&amp;""/""&amp;$I217),IF($H217&lt;&gt;"""",IF(REGEXMATCH($H217,""50( ?['fF]([oO]{2})?[tT]?)?( ?[eE][rR]{2}[oO][rR])""),HYPERLINK(""https://www.munzee.com/map/?sandbox=1&amp;lat=""&amp;$D217&amp;""&amp;lon=""&amp;$E217&amp;""&amp;name=""&amp;SUBSTITUTE($A217,""#"",""%23""),""SANDBOX"""&amp;"),HYPERLINK(""https://www.munzee.com/m/""&amp;$H217&amp;""/deploys/0/type/""&amp;IFNA(VLOOKUP($G217,IMPORTRANGE(""https://docs.google.com/spreadsheets/d/1DliIGyDywdzxhd4svtjaewR0p9Y5UBTMNMQ2PcXsqss"",""type data!E2:F""),2,FALSE),$G217)&amp;""/"",$H217)),""""))"),"h0tdog/7336")</f>
        <v>h0tdog/7336</v>
      </c>
      <c r="L217" s="19" t="b">
        <v>1</v>
      </c>
      <c r="M217" s="12">
        <f t="shared" si="1"/>
        <v>1</v>
      </c>
      <c r="N217" s="13"/>
      <c r="O217" s="13"/>
      <c r="P217" s="15"/>
    </row>
    <row r="218">
      <c r="A218" s="15" t="s">
        <v>336</v>
      </c>
      <c r="B218" s="16">
        <v>12.0</v>
      </c>
      <c r="C218" s="16">
        <v>22.0</v>
      </c>
      <c r="D218" s="17">
        <v>44.864493547048</v>
      </c>
      <c r="E218" s="17">
        <v>-93.332600132634</v>
      </c>
      <c r="F218" s="16" t="s">
        <v>41</v>
      </c>
      <c r="G218" s="16" t="s">
        <v>17</v>
      </c>
      <c r="H218" s="18" t="s">
        <v>314</v>
      </c>
      <c r="I218" s="19">
        <v>2245.0</v>
      </c>
      <c r="J218" s="20"/>
      <c r="K218" s="11" t="str">
        <f>IFERROR(__xludf.DUMMYFUNCTION("IF(AND(REGEXMATCH($H218,""50( ?['fF]([oO]{2})?[tT]?)?( ?[eE][rR]{2}[oO][rR])"")=FALSE,$H218&lt;&gt;"""",$I218&lt;&gt;""""),HYPERLINK(""https://www.munzee.com/m/""&amp;$H218&amp;""/""&amp;$I218&amp;""/map/?lat=""&amp;$D218&amp;""&amp;lon=""&amp;$E218&amp;""&amp;type=""&amp;$G218&amp;""&amp;name=""&amp;SUBSTITUTE($A218,""#"&amp;""",""%23""),$H218&amp;""/""&amp;$I218),IF($H218&lt;&gt;"""",IF(REGEXMATCH($H218,""50( ?['fF]([oO]{2})?[tT]?)?( ?[eE][rR]{2}[oO][rR])""),HYPERLINK(""https://www.munzee.com/map/?sandbox=1&amp;lat=""&amp;$D218&amp;""&amp;lon=""&amp;$E218&amp;""&amp;name=""&amp;SUBSTITUTE($A218,""#"",""%23""),""SANDBOX"""&amp;"),HYPERLINK(""https://www.munzee.com/m/""&amp;$H218&amp;""/deploys/0/type/""&amp;IFNA(VLOOKUP($G218,IMPORTRANGE(""https://docs.google.com/spreadsheets/d/1DliIGyDywdzxhd4svtjaewR0p9Y5UBTMNMQ2PcXsqss"",""type data!E2:F""),2,FALSE),$G218)&amp;""/"",$H218)),""""))"),"irca/2245")</f>
        <v>irca/2245</v>
      </c>
      <c r="L218" s="19" t="b">
        <v>1</v>
      </c>
      <c r="M218" s="12">
        <f t="shared" si="1"/>
        <v>2</v>
      </c>
      <c r="N218" s="13"/>
      <c r="O218" s="13"/>
      <c r="P218" s="15"/>
    </row>
    <row r="219">
      <c r="A219" s="15" t="s">
        <v>337</v>
      </c>
      <c r="B219" s="16">
        <v>12.0</v>
      </c>
      <c r="C219" s="16">
        <v>23.0</v>
      </c>
      <c r="D219" s="17">
        <v>44.864493546869</v>
      </c>
      <c r="E219" s="17">
        <v>-93.332397346118</v>
      </c>
      <c r="F219" s="16" t="s">
        <v>41</v>
      </c>
      <c r="G219" s="16" t="s">
        <v>17</v>
      </c>
      <c r="H219" s="18" t="s">
        <v>322</v>
      </c>
      <c r="I219" s="19">
        <v>5079.0</v>
      </c>
      <c r="J219" s="21"/>
      <c r="K219" s="11" t="str">
        <f>IFERROR(__xludf.DUMMYFUNCTION("IF(AND(REGEXMATCH($H219,""50( ?['fF]([oO]{2})?[tT]?)?( ?[eE][rR]{2}[oO][rR])"")=FALSE,$H219&lt;&gt;"""",$I219&lt;&gt;""""),HYPERLINK(""https://www.munzee.com/m/""&amp;$H219&amp;""/""&amp;$I219&amp;""/map/?lat=""&amp;$D219&amp;""&amp;lon=""&amp;$E219&amp;""&amp;type=""&amp;$G219&amp;""&amp;name=""&amp;SUBSTITUTE($A219,""#"&amp;""",""%23""),$H219&amp;""/""&amp;$I219),IF($H219&lt;&gt;"""",IF(REGEXMATCH($H219,""50( ?['fF]([oO]{2})?[tT]?)?( ?[eE][rR]{2}[oO][rR])""),HYPERLINK(""https://www.munzee.com/map/?sandbox=1&amp;lat=""&amp;$D219&amp;""&amp;lon=""&amp;$E219&amp;""&amp;name=""&amp;SUBSTITUTE($A219,""#"",""%23""),""SANDBOX"""&amp;"),HYPERLINK(""https://www.munzee.com/m/""&amp;$H219&amp;""/deploys/0/type/""&amp;IFNA(VLOOKUP($G219,IMPORTRANGE(""https://docs.google.com/spreadsheets/d/1DliIGyDywdzxhd4svtjaewR0p9Y5UBTMNMQ2PcXsqss"",""type data!E2:F""),2,FALSE),$G219)&amp;""/"",$H219)),""""))"),"donbadabon/5079")</f>
        <v>donbadabon/5079</v>
      </c>
      <c r="L219" s="19" t="b">
        <v>1</v>
      </c>
      <c r="M219" s="12">
        <f t="shared" si="1"/>
        <v>5</v>
      </c>
      <c r="N219" s="13"/>
      <c r="O219" s="13"/>
      <c r="P219" s="15"/>
    </row>
    <row r="220">
      <c r="A220" s="15" t="s">
        <v>338</v>
      </c>
      <c r="B220" s="16">
        <v>12.0</v>
      </c>
      <c r="C220" s="16">
        <v>24.0</v>
      </c>
      <c r="D220" s="17">
        <v>44.86449354669</v>
      </c>
      <c r="E220" s="17">
        <v>-93.332194559602</v>
      </c>
      <c r="F220" s="16" t="s">
        <v>41</v>
      </c>
      <c r="G220" s="16" t="s">
        <v>17</v>
      </c>
      <c r="H220" s="18" t="s">
        <v>273</v>
      </c>
      <c r="I220" s="19">
        <v>1999.0</v>
      </c>
      <c r="J220" s="21"/>
      <c r="K220" s="11" t="str">
        <f>IFERROR(__xludf.DUMMYFUNCTION("IF(AND(REGEXMATCH($H220,""50( ?['fF]([oO]{2})?[tT]?)?( ?[eE][rR]{2}[oO][rR])"")=FALSE,$H220&lt;&gt;"""",$I220&lt;&gt;""""),HYPERLINK(""https://www.munzee.com/m/""&amp;$H220&amp;""/""&amp;$I220&amp;""/map/?lat=""&amp;$D220&amp;""&amp;lon=""&amp;$E220&amp;""&amp;type=""&amp;$G220&amp;""&amp;name=""&amp;SUBSTITUTE($A220,""#"&amp;""",""%23""),$H220&amp;""/""&amp;$I220),IF($H220&lt;&gt;"""",IF(REGEXMATCH($H220,""50( ?['fF]([oO]{2})?[tT]?)?( ?[eE][rR]{2}[oO][rR])""),HYPERLINK(""https://www.munzee.com/map/?sandbox=1&amp;lat=""&amp;$D220&amp;""&amp;lon=""&amp;$E220&amp;""&amp;name=""&amp;SUBSTITUTE($A220,""#"",""%23""),""SANDBOX"""&amp;"),HYPERLINK(""https://www.munzee.com/m/""&amp;$H220&amp;""/deploys/0/type/""&amp;IFNA(VLOOKUP($G220,IMPORTRANGE(""https://docs.google.com/spreadsheets/d/1DliIGyDywdzxhd4svtjaewR0p9Y5UBTMNMQ2PcXsqss"",""type data!E2:F""),2,FALSE),$G220)&amp;""/"",$H220)),""""))"),"yhtak57/1999")</f>
        <v>yhtak57/1999</v>
      </c>
      <c r="L220" s="19" t="b">
        <v>1</v>
      </c>
      <c r="M220" s="12">
        <f t="shared" si="1"/>
        <v>12</v>
      </c>
      <c r="N220" s="13"/>
      <c r="O220" s="13"/>
      <c r="P220" s="29"/>
    </row>
    <row r="221">
      <c r="A221" s="15" t="s">
        <v>339</v>
      </c>
      <c r="B221" s="16">
        <v>12.0</v>
      </c>
      <c r="C221" s="16">
        <v>25.0</v>
      </c>
      <c r="D221" s="17">
        <v>44.86449354651</v>
      </c>
      <c r="E221" s="17">
        <v>-93.331991773086</v>
      </c>
      <c r="F221" s="16" t="s">
        <v>16</v>
      </c>
      <c r="G221" s="16" t="s">
        <v>17</v>
      </c>
      <c r="H221" s="18" t="s">
        <v>340</v>
      </c>
      <c r="I221" s="19">
        <v>2128.0</v>
      </c>
      <c r="J221" s="20"/>
      <c r="K221" s="11" t="str">
        <f>IFERROR(__xludf.DUMMYFUNCTION("IF(AND(REGEXMATCH($H221,""50( ?['fF]([oO]{2})?[tT]?)?( ?[eE][rR]{2}[oO][rR])"")=FALSE,$H221&lt;&gt;"""",$I221&lt;&gt;""""),HYPERLINK(""https://www.munzee.com/m/""&amp;$H221&amp;""/""&amp;$I221&amp;""/map/?lat=""&amp;$D221&amp;""&amp;lon=""&amp;$E221&amp;""&amp;type=""&amp;$G221&amp;""&amp;name=""&amp;SUBSTITUTE($A221,""#"&amp;""",""%23""),$H221&amp;""/""&amp;$I221),IF($H221&lt;&gt;"""",IF(REGEXMATCH($H221,""50( ?['fF]([oO]{2})?[tT]?)?( ?[eE][rR]{2}[oO][rR])""),HYPERLINK(""https://www.munzee.com/map/?sandbox=1&amp;lat=""&amp;$D221&amp;""&amp;lon=""&amp;$E221&amp;""&amp;name=""&amp;SUBSTITUTE($A221,""#"",""%23""),""SANDBOX"""&amp;"),HYPERLINK(""https://www.munzee.com/m/""&amp;$H221&amp;""/deploys/0/type/""&amp;IFNA(VLOOKUP($G221,IMPORTRANGE(""https://docs.google.com/spreadsheets/d/1DliIGyDywdzxhd4svtjaewR0p9Y5UBTMNMQ2PcXsqss"",""type data!E2:F""),2,FALSE),$G221)&amp;""/"",$H221)),""""))"),"Fire2water/2128")</f>
        <v>Fire2water/2128</v>
      </c>
      <c r="L221" s="19" t="b">
        <v>1</v>
      </c>
      <c r="M221" s="12">
        <f t="shared" si="1"/>
        <v>5</v>
      </c>
      <c r="N221" s="13"/>
      <c r="O221" s="13"/>
      <c r="P221" s="29"/>
    </row>
    <row r="222">
      <c r="A222" s="15" t="s">
        <v>341</v>
      </c>
      <c r="B222" s="16">
        <v>13.0</v>
      </c>
      <c r="C222" s="16">
        <v>4.0</v>
      </c>
      <c r="D222" s="17">
        <v>44.864349819833</v>
      </c>
      <c r="E222" s="17">
        <v>-93.33625029954</v>
      </c>
      <c r="F222" s="16" t="s">
        <v>16</v>
      </c>
      <c r="G222" s="16" t="s">
        <v>17</v>
      </c>
      <c r="H222" s="18" t="s">
        <v>14</v>
      </c>
      <c r="I222" s="19">
        <v>614.0</v>
      </c>
      <c r="J222" s="20"/>
      <c r="K222" s="11" t="str">
        <f>IFERROR(__xludf.DUMMYFUNCTION("IF(AND(REGEXMATCH($H222,""50( ?['fF]([oO]{2})?[tT]?)?( ?[eE][rR]{2}[oO][rR])"")=FALSE,$H222&lt;&gt;"""",$I222&lt;&gt;""""),HYPERLINK(""https://www.munzee.com/m/""&amp;$H222&amp;""/""&amp;$I222&amp;""/map/?lat=""&amp;$D222&amp;""&amp;lon=""&amp;$E222&amp;""&amp;type=""&amp;$G222&amp;""&amp;name=""&amp;SUBSTITUTE($A222,""#"&amp;""",""%23""),$H222&amp;""/""&amp;$I222),IF($H222&lt;&gt;"""",IF(REGEXMATCH($H222,""50( ?['fF]([oO]{2})?[tT]?)?( ?[eE][rR]{2}[oO][rR])""),HYPERLINK(""https://www.munzee.com/map/?sandbox=1&amp;lat=""&amp;$D222&amp;""&amp;lon=""&amp;$E222&amp;""&amp;name=""&amp;SUBSTITUTE($A222,""#"",""%23""),""SANDBOX"""&amp;"),HYPERLINK(""https://www.munzee.com/m/""&amp;$H222&amp;""/deploys/0/type/""&amp;IFNA(VLOOKUP($G222,IMPORTRANGE(""https://docs.google.com/spreadsheets/d/1DliIGyDywdzxhd4svtjaewR0p9Y5UBTMNMQ2PcXsqss"",""type data!E2:F""),2,FALSE),$G222)&amp;""/"",$H222)),""""))"),"JABIE28/614")</f>
        <v>JABIE28/614</v>
      </c>
      <c r="L222" s="19" t="b">
        <v>1</v>
      </c>
      <c r="M222" s="12">
        <f t="shared" si="1"/>
        <v>85</v>
      </c>
      <c r="N222" s="13"/>
      <c r="O222" s="13"/>
      <c r="P222" s="15"/>
    </row>
    <row r="223">
      <c r="A223" s="15" t="s">
        <v>342</v>
      </c>
      <c r="B223" s="16">
        <v>13.0</v>
      </c>
      <c r="C223" s="16">
        <v>5.0</v>
      </c>
      <c r="D223" s="17">
        <v>44.864349819653</v>
      </c>
      <c r="E223" s="17">
        <v>-93.336047513531</v>
      </c>
      <c r="F223" s="16" t="s">
        <v>16</v>
      </c>
      <c r="G223" s="16" t="s">
        <v>17</v>
      </c>
      <c r="H223" s="18" t="s">
        <v>343</v>
      </c>
      <c r="I223" s="19">
        <v>443.0</v>
      </c>
      <c r="J223" s="21"/>
      <c r="K223" s="11" t="str">
        <f>IFERROR(__xludf.DUMMYFUNCTION("IF(AND(REGEXMATCH($H223,""50( ?['fF]([oO]{2})?[tT]?)?( ?[eE][rR]{2}[oO][rR])"")=FALSE,$H223&lt;&gt;"""",$I223&lt;&gt;""""),HYPERLINK(""https://www.munzee.com/m/""&amp;$H223&amp;""/""&amp;$I223&amp;""/map/?lat=""&amp;$D223&amp;""&amp;lon=""&amp;$E223&amp;""&amp;type=""&amp;$G223&amp;""&amp;name=""&amp;SUBSTITUTE($A223,""#"&amp;""",""%23""),$H223&amp;""/""&amp;$I223),IF($H223&lt;&gt;"""",IF(REGEXMATCH($H223,""50( ?['fF]([oO]{2})?[tT]?)?( ?[eE][rR]{2}[oO][rR])""),HYPERLINK(""https://www.munzee.com/map/?sandbox=1&amp;lat=""&amp;$D223&amp;""&amp;lon=""&amp;$E223&amp;""&amp;name=""&amp;SUBSTITUTE($A223,""#"",""%23""),""SANDBOX"""&amp;"),HYPERLINK(""https://www.munzee.com/m/""&amp;$H223&amp;""/deploys/0/type/""&amp;IFNA(VLOOKUP($G223,IMPORTRANGE(""https://docs.google.com/spreadsheets/d/1DliIGyDywdzxhd4svtjaewR0p9Y5UBTMNMQ2PcXsqss"",""type data!E2:F""),2,FALSE),$G223)&amp;""/"",$H223)),""""))"),"jens985/443")</f>
        <v>jens985/443</v>
      </c>
      <c r="L223" s="19" t="b">
        <v>1</v>
      </c>
      <c r="M223" s="12">
        <f t="shared" si="1"/>
        <v>5</v>
      </c>
      <c r="N223" s="13"/>
      <c r="O223" s="13"/>
      <c r="P223" s="15"/>
    </row>
    <row r="224">
      <c r="A224" s="15" t="s">
        <v>344</v>
      </c>
      <c r="B224" s="16">
        <v>13.0</v>
      </c>
      <c r="C224" s="16">
        <v>6.0</v>
      </c>
      <c r="D224" s="17">
        <v>44.864349819474</v>
      </c>
      <c r="E224" s="17">
        <v>-93.335844727521</v>
      </c>
      <c r="F224" s="16" t="s">
        <v>41</v>
      </c>
      <c r="G224" s="16" t="s">
        <v>17</v>
      </c>
      <c r="H224" s="18" t="s">
        <v>95</v>
      </c>
      <c r="I224" s="19">
        <v>1495.0</v>
      </c>
      <c r="J224" s="21"/>
      <c r="K224" s="11" t="str">
        <f>IFERROR(__xludf.DUMMYFUNCTION("IF(AND(REGEXMATCH($H224,""50( ?['fF]([oO]{2})?[tT]?)?( ?[eE][rR]{2}[oO][rR])"")=FALSE,$H224&lt;&gt;"""",$I224&lt;&gt;""""),HYPERLINK(""https://www.munzee.com/m/""&amp;$H224&amp;""/""&amp;$I224&amp;""/map/?lat=""&amp;$D224&amp;""&amp;lon=""&amp;$E224&amp;""&amp;type=""&amp;$G224&amp;""&amp;name=""&amp;SUBSTITUTE($A224,""#"&amp;""",""%23""),$H224&amp;""/""&amp;$I224),IF($H224&lt;&gt;"""",IF(REGEXMATCH($H224,""50( ?['fF]([oO]{2})?[tT]?)?( ?[eE][rR]{2}[oO][rR])""),HYPERLINK(""https://www.munzee.com/map/?sandbox=1&amp;lat=""&amp;$D224&amp;""&amp;lon=""&amp;$E224&amp;""&amp;name=""&amp;SUBSTITUTE($A224,""#"",""%23""),""SANDBOX"""&amp;"),HYPERLINK(""https://www.munzee.com/m/""&amp;$H224&amp;""/deploys/0/type/""&amp;IFNA(VLOOKUP($G224,IMPORTRANGE(""https://docs.google.com/spreadsheets/d/1DliIGyDywdzxhd4svtjaewR0p9Y5UBTMNMQ2PcXsqss"",""type data!E2:F""),2,FALSE),$G224)&amp;""/"",$H224)),""""))"),"munzeepa/1495")</f>
        <v>munzeepa/1495</v>
      </c>
      <c r="L224" s="19" t="b">
        <v>1</v>
      </c>
      <c r="M224" s="12">
        <f t="shared" si="1"/>
        <v>20</v>
      </c>
      <c r="N224" s="13"/>
      <c r="O224" s="13"/>
      <c r="P224" s="29"/>
    </row>
    <row r="225">
      <c r="A225" s="15" t="s">
        <v>345</v>
      </c>
      <c r="B225" s="16">
        <v>13.0</v>
      </c>
      <c r="C225" s="16">
        <v>7.0</v>
      </c>
      <c r="D225" s="17">
        <v>44.864349819294</v>
      </c>
      <c r="E225" s="17">
        <v>-93.335641941511</v>
      </c>
      <c r="F225" s="16" t="s">
        <v>41</v>
      </c>
      <c r="G225" s="16" t="s">
        <v>17</v>
      </c>
      <c r="H225" s="18" t="s">
        <v>14</v>
      </c>
      <c r="I225" s="19">
        <v>612.0</v>
      </c>
      <c r="J225" s="20"/>
      <c r="K225" s="11" t="str">
        <f>IFERROR(__xludf.DUMMYFUNCTION("IF(AND(REGEXMATCH($H225,""50( ?['fF]([oO]{2})?[tT]?)?( ?[eE][rR]{2}[oO][rR])"")=FALSE,$H225&lt;&gt;"""",$I225&lt;&gt;""""),HYPERLINK(""https://www.munzee.com/m/""&amp;$H225&amp;""/""&amp;$I225&amp;""/map/?lat=""&amp;$D225&amp;""&amp;lon=""&amp;$E225&amp;""&amp;type=""&amp;$G225&amp;""&amp;name=""&amp;SUBSTITUTE($A225,""#"&amp;""",""%23""),$H225&amp;""/""&amp;$I225),IF($H225&lt;&gt;"""",IF(REGEXMATCH($H225,""50( ?['fF]([oO]{2})?[tT]?)?( ?[eE][rR]{2}[oO][rR])""),HYPERLINK(""https://www.munzee.com/map/?sandbox=1&amp;lat=""&amp;$D225&amp;""&amp;lon=""&amp;$E225&amp;""&amp;name=""&amp;SUBSTITUTE($A225,""#"",""%23""),""SANDBOX"""&amp;"),HYPERLINK(""https://www.munzee.com/m/""&amp;$H225&amp;""/deploys/0/type/""&amp;IFNA(VLOOKUP($G225,IMPORTRANGE(""https://docs.google.com/spreadsheets/d/1DliIGyDywdzxhd4svtjaewR0p9Y5UBTMNMQ2PcXsqss"",""type data!E2:F""),2,FALSE),$G225)&amp;""/"",$H225)),""""))"),"JABIE28/612")</f>
        <v>JABIE28/612</v>
      </c>
      <c r="L225" s="19" t="b">
        <v>1</v>
      </c>
      <c r="M225" s="12">
        <f t="shared" si="1"/>
        <v>85</v>
      </c>
      <c r="N225" s="13"/>
      <c r="O225" s="13"/>
      <c r="P225" s="29"/>
    </row>
    <row r="226">
      <c r="A226" s="15" t="s">
        <v>346</v>
      </c>
      <c r="B226" s="16">
        <v>13.0</v>
      </c>
      <c r="C226" s="16">
        <v>8.0</v>
      </c>
      <c r="D226" s="17">
        <v>44.864349819115</v>
      </c>
      <c r="E226" s="17">
        <v>-93.335439155502</v>
      </c>
      <c r="F226" s="16" t="s">
        <v>41</v>
      </c>
      <c r="G226" s="16" t="s">
        <v>17</v>
      </c>
      <c r="H226" s="18" t="s">
        <v>99</v>
      </c>
      <c r="I226" s="19">
        <v>1401.0</v>
      </c>
      <c r="J226" s="21"/>
      <c r="K226" s="11" t="str">
        <f>IFERROR(__xludf.DUMMYFUNCTION("IF(AND(REGEXMATCH($H226,""50( ?['fF]([oO]{2})?[tT]?)?( ?[eE][rR]{2}[oO][rR])"")=FALSE,$H226&lt;&gt;"""",$I226&lt;&gt;""""),HYPERLINK(""https://www.munzee.com/m/""&amp;$H226&amp;""/""&amp;$I226&amp;""/map/?lat=""&amp;$D226&amp;""&amp;lon=""&amp;$E226&amp;""&amp;type=""&amp;$G226&amp;""&amp;name=""&amp;SUBSTITUTE($A226,""#"&amp;""",""%23""),$H226&amp;""/""&amp;$I226),IF($H226&lt;&gt;"""",IF(REGEXMATCH($H226,""50( ?['fF]([oO]{2})?[tT]?)?( ?[eE][rR]{2}[oO][rR])""),HYPERLINK(""https://www.munzee.com/map/?sandbox=1&amp;lat=""&amp;$D226&amp;""&amp;lon=""&amp;$E226&amp;""&amp;name=""&amp;SUBSTITUTE($A226,""#"",""%23""),""SANDBOX"""&amp;"),HYPERLINK(""https://www.munzee.com/m/""&amp;$H226&amp;""/deploys/0/type/""&amp;IFNA(VLOOKUP($G226,IMPORTRANGE(""https://docs.google.com/spreadsheets/d/1DliIGyDywdzxhd4svtjaewR0p9Y5UBTMNMQ2PcXsqss"",""type data!E2:F""),2,FALSE),$G226)&amp;""/"",$H226)),""""))"),"jsamundson/1401")</f>
        <v>jsamundson/1401</v>
      </c>
      <c r="L226" s="19" t="b">
        <v>1</v>
      </c>
      <c r="M226" s="12">
        <f t="shared" si="1"/>
        <v>20</v>
      </c>
      <c r="N226" s="13"/>
      <c r="O226" s="13"/>
      <c r="P226" s="15"/>
    </row>
    <row r="227">
      <c r="A227" s="15" t="s">
        <v>347</v>
      </c>
      <c r="B227" s="16">
        <v>13.0</v>
      </c>
      <c r="C227" s="16">
        <v>9.0</v>
      </c>
      <c r="D227" s="17">
        <v>44.864349818936</v>
      </c>
      <c r="E227" s="17">
        <v>-93.335236369492</v>
      </c>
      <c r="F227" s="16" t="s">
        <v>41</v>
      </c>
      <c r="G227" s="16" t="s">
        <v>17</v>
      </c>
      <c r="H227" s="18" t="s">
        <v>58</v>
      </c>
      <c r="I227" s="19">
        <v>733.0</v>
      </c>
      <c r="J227" s="20"/>
      <c r="K227" s="11" t="str">
        <f>IFERROR(__xludf.DUMMYFUNCTION("IF(AND(REGEXMATCH($H227,""50( ?['fF]([oO]{2})?[tT]?)?( ?[eE][rR]{2}[oO][rR])"")=FALSE,$H227&lt;&gt;"""",$I227&lt;&gt;""""),HYPERLINK(""https://www.munzee.com/m/""&amp;$H227&amp;""/""&amp;$I227&amp;""/map/?lat=""&amp;$D227&amp;""&amp;lon=""&amp;$E227&amp;""&amp;type=""&amp;$G227&amp;""&amp;name=""&amp;SUBSTITUTE($A227,""#"&amp;""",""%23""),$H227&amp;""/""&amp;$I227),IF($H227&lt;&gt;"""",IF(REGEXMATCH($H227,""50( ?['fF]([oO]{2})?[tT]?)?( ?[eE][rR]{2}[oO][rR])""),HYPERLINK(""https://www.munzee.com/map/?sandbox=1&amp;lat=""&amp;$D227&amp;""&amp;lon=""&amp;$E227&amp;""&amp;name=""&amp;SUBSTITUTE($A227,""#"",""%23""),""SANDBOX"""&amp;"),HYPERLINK(""https://www.munzee.com/m/""&amp;$H227&amp;""/deploys/0/type/""&amp;IFNA(VLOOKUP($G227,IMPORTRANGE(""https://docs.google.com/spreadsheets/d/1DliIGyDywdzxhd4svtjaewR0p9Y5UBTMNMQ2PcXsqss"",""type data!E2:F""),2,FALSE),$G227)&amp;""/"",$H227)),""""))"),"cdwilliams1/733")</f>
        <v>cdwilliams1/733</v>
      </c>
      <c r="L227" s="19" t="b">
        <v>1</v>
      </c>
      <c r="M227" s="12">
        <f t="shared" si="1"/>
        <v>10</v>
      </c>
      <c r="N227" s="13"/>
      <c r="O227" s="13"/>
      <c r="P227" s="29"/>
    </row>
    <row r="228">
      <c r="A228" s="15" t="s">
        <v>348</v>
      </c>
      <c r="B228" s="16">
        <v>13.0</v>
      </c>
      <c r="C228" s="16">
        <v>10.0</v>
      </c>
      <c r="D228" s="17">
        <v>44.864349818756</v>
      </c>
      <c r="E228" s="17">
        <v>-93.335033583483</v>
      </c>
      <c r="F228" s="16" t="s">
        <v>41</v>
      </c>
      <c r="G228" s="16" t="s">
        <v>17</v>
      </c>
      <c r="H228" s="18" t="s">
        <v>14</v>
      </c>
      <c r="I228" s="19">
        <v>606.0</v>
      </c>
      <c r="J228" s="20"/>
      <c r="K228" s="11" t="str">
        <f>IFERROR(__xludf.DUMMYFUNCTION("IF(AND(REGEXMATCH($H228,""50( ?['fF]([oO]{2})?[tT]?)?( ?[eE][rR]{2}[oO][rR])"")=FALSE,$H228&lt;&gt;"""",$I228&lt;&gt;""""),HYPERLINK(""https://www.munzee.com/m/""&amp;$H228&amp;""/""&amp;$I228&amp;""/map/?lat=""&amp;$D228&amp;""&amp;lon=""&amp;$E228&amp;""&amp;type=""&amp;$G228&amp;""&amp;name=""&amp;SUBSTITUTE($A228,""#"&amp;""",""%23""),$H228&amp;""/""&amp;$I228),IF($H228&lt;&gt;"""",IF(REGEXMATCH($H228,""50( ?['fF]([oO]{2})?[tT]?)?( ?[eE][rR]{2}[oO][rR])""),HYPERLINK(""https://www.munzee.com/map/?sandbox=1&amp;lat=""&amp;$D228&amp;""&amp;lon=""&amp;$E228&amp;""&amp;name=""&amp;SUBSTITUTE($A228,""#"",""%23""),""SANDBOX"""&amp;"),HYPERLINK(""https://www.munzee.com/m/""&amp;$H228&amp;""/deploys/0/type/""&amp;IFNA(VLOOKUP($G228,IMPORTRANGE(""https://docs.google.com/spreadsheets/d/1DliIGyDywdzxhd4svtjaewR0p9Y5UBTMNMQ2PcXsqss"",""type data!E2:F""),2,FALSE),$G228)&amp;""/"",$H228)),""""))"),"JABIE28/606")</f>
        <v>JABIE28/606</v>
      </c>
      <c r="L228" s="19" t="b">
        <v>1</v>
      </c>
      <c r="M228" s="12">
        <f t="shared" si="1"/>
        <v>85</v>
      </c>
      <c r="N228" s="13"/>
      <c r="O228" s="13"/>
      <c r="P228" s="15"/>
    </row>
    <row r="229">
      <c r="A229" s="15" t="s">
        <v>349</v>
      </c>
      <c r="B229" s="16">
        <v>13.0</v>
      </c>
      <c r="C229" s="16">
        <v>11.0</v>
      </c>
      <c r="D229" s="17">
        <v>44.864349818577</v>
      </c>
      <c r="E229" s="17">
        <v>-93.334830797473</v>
      </c>
      <c r="F229" s="16" t="s">
        <v>318</v>
      </c>
      <c r="G229" s="16" t="s">
        <v>17</v>
      </c>
      <c r="H229" s="18" t="s">
        <v>21</v>
      </c>
      <c r="I229" s="19">
        <v>1159.0</v>
      </c>
      <c r="J229" s="21"/>
      <c r="K229" s="11" t="str">
        <f>IFERROR(__xludf.DUMMYFUNCTION("IF(AND(REGEXMATCH($H229,""50( ?['fF]([oO]{2})?[tT]?)?( ?[eE][rR]{2}[oO][rR])"")=FALSE,$H229&lt;&gt;"""",$I229&lt;&gt;""""),HYPERLINK(""https://www.munzee.com/m/""&amp;$H229&amp;""/""&amp;$I229&amp;""/map/?lat=""&amp;$D229&amp;""&amp;lon=""&amp;$E229&amp;""&amp;type=""&amp;$G229&amp;""&amp;name=""&amp;SUBSTITUTE($A229,""#"&amp;""",""%23""),$H229&amp;""/""&amp;$I229),IF($H229&lt;&gt;"""",IF(REGEXMATCH($H229,""50( ?['fF]([oO]{2})?[tT]?)?( ?[eE][rR]{2}[oO][rR])""),HYPERLINK(""https://www.munzee.com/map/?sandbox=1&amp;lat=""&amp;$D229&amp;""&amp;lon=""&amp;$E229&amp;""&amp;name=""&amp;SUBSTITUTE($A229,""#"",""%23""),""SANDBOX"""&amp;"),HYPERLINK(""https://www.munzee.com/m/""&amp;$H229&amp;""/deploys/0/type/""&amp;IFNA(VLOOKUP($G229,IMPORTRANGE(""https://docs.google.com/spreadsheets/d/1DliIGyDywdzxhd4svtjaewR0p9Y5UBTMNMQ2PcXsqss"",""type data!E2:F""),2,FALSE),$G229)&amp;""/"",$H229)),""""))"),"Westmarch/1159")</f>
        <v>Westmarch/1159</v>
      </c>
      <c r="L229" s="19" t="b">
        <v>1</v>
      </c>
      <c r="M229" s="12">
        <f t="shared" si="1"/>
        <v>12</v>
      </c>
      <c r="N229" s="13"/>
      <c r="O229" s="13"/>
      <c r="P229" s="15"/>
    </row>
    <row r="230">
      <c r="A230" s="15" t="s">
        <v>350</v>
      </c>
      <c r="B230" s="16">
        <v>13.0</v>
      </c>
      <c r="C230" s="16">
        <v>12.0</v>
      </c>
      <c r="D230" s="17">
        <v>44.864349818397</v>
      </c>
      <c r="E230" s="17">
        <v>-93.334628011463</v>
      </c>
      <c r="F230" s="16" t="s">
        <v>318</v>
      </c>
      <c r="G230" s="16" t="s">
        <v>17</v>
      </c>
      <c r="H230" s="18" t="s">
        <v>219</v>
      </c>
      <c r="I230" s="19">
        <v>884.0</v>
      </c>
      <c r="J230" s="21"/>
      <c r="K230" s="11" t="str">
        <f>IFERROR(__xludf.DUMMYFUNCTION("IF(AND(REGEXMATCH($H230,""50( ?['fF]([oO]{2})?[tT]?)?( ?[eE][rR]{2}[oO][rR])"")=FALSE,$H230&lt;&gt;"""",$I230&lt;&gt;""""),HYPERLINK(""https://www.munzee.com/m/""&amp;$H230&amp;""/""&amp;$I230&amp;""/map/?lat=""&amp;$D230&amp;""&amp;lon=""&amp;$E230&amp;""&amp;type=""&amp;$G230&amp;""&amp;name=""&amp;SUBSTITUTE($A230,""#"&amp;""",""%23""),$H230&amp;""/""&amp;$I230),IF($H230&lt;&gt;"""",IF(REGEXMATCH($H230,""50( ?['fF]([oO]{2})?[tT]?)?( ?[eE][rR]{2}[oO][rR])""),HYPERLINK(""https://www.munzee.com/map/?sandbox=1&amp;lat=""&amp;$D230&amp;""&amp;lon=""&amp;$E230&amp;""&amp;name=""&amp;SUBSTITUTE($A230,""#"",""%23""),""SANDBOX"""&amp;"),HYPERLINK(""https://www.munzee.com/m/""&amp;$H230&amp;""/deploys/0/type/""&amp;IFNA(VLOOKUP($G230,IMPORTRANGE(""https://docs.google.com/spreadsheets/d/1DliIGyDywdzxhd4svtjaewR0p9Y5UBTMNMQ2PcXsqss"",""type data!E2:F""),2,FALSE),$G230)&amp;""/"",$H230)),""""))"),"Quiltingisfuntoo/884")</f>
        <v>Quiltingisfuntoo/884</v>
      </c>
      <c r="L230" s="19" t="b">
        <v>1</v>
      </c>
      <c r="M230" s="12">
        <f t="shared" si="1"/>
        <v>8</v>
      </c>
      <c r="N230" s="13"/>
      <c r="O230" s="13"/>
      <c r="P230" s="15"/>
    </row>
    <row r="231">
      <c r="A231" s="15" t="s">
        <v>351</v>
      </c>
      <c r="B231" s="16">
        <v>13.0</v>
      </c>
      <c r="C231" s="16">
        <v>13.0</v>
      </c>
      <c r="D231" s="17">
        <v>44.864349818218</v>
      </c>
      <c r="E231" s="17">
        <v>-93.334425225454</v>
      </c>
      <c r="F231" s="16" t="s">
        <v>41</v>
      </c>
      <c r="G231" s="16" t="s">
        <v>17</v>
      </c>
      <c r="H231" s="18" t="s">
        <v>14</v>
      </c>
      <c r="I231" s="19">
        <v>2077.0</v>
      </c>
      <c r="J231" s="20"/>
      <c r="K231" s="11" t="str">
        <f>IFERROR(__xludf.DUMMYFUNCTION("IF(AND(REGEXMATCH($H231,""50( ?['fF]([oO]{2})?[tT]?)?( ?[eE][rR]{2}[oO][rR])"")=FALSE,$H231&lt;&gt;"""",$I231&lt;&gt;""""),HYPERLINK(""https://www.munzee.com/m/""&amp;$H231&amp;""/""&amp;$I231&amp;""/map/?lat=""&amp;$D231&amp;""&amp;lon=""&amp;$E231&amp;""&amp;type=""&amp;$G231&amp;""&amp;name=""&amp;SUBSTITUTE($A231,""#"&amp;""",""%23""),$H231&amp;""/""&amp;$I231),IF($H231&lt;&gt;"""",IF(REGEXMATCH($H231,""50( ?['fF]([oO]{2})?[tT]?)?( ?[eE][rR]{2}[oO][rR])""),HYPERLINK(""https://www.munzee.com/map/?sandbox=1&amp;lat=""&amp;$D231&amp;""&amp;lon=""&amp;$E231&amp;""&amp;name=""&amp;SUBSTITUTE($A231,""#"",""%23""),""SANDBOX"""&amp;"),HYPERLINK(""https://www.munzee.com/m/""&amp;$H231&amp;""/deploys/0/type/""&amp;IFNA(VLOOKUP($G231,IMPORTRANGE(""https://docs.google.com/spreadsheets/d/1DliIGyDywdzxhd4svtjaewR0p9Y5UBTMNMQ2PcXsqss"",""type data!E2:F""),2,FALSE),$G231)&amp;""/"",$H231)),""""))"),"JABIE28/2077")</f>
        <v>JABIE28/2077</v>
      </c>
      <c r="L231" s="19" t="b">
        <v>1</v>
      </c>
      <c r="M231" s="12">
        <f t="shared" si="1"/>
        <v>85</v>
      </c>
      <c r="N231" s="13"/>
      <c r="O231" s="13"/>
      <c r="P231" s="29"/>
    </row>
    <row r="232">
      <c r="A232" s="15" t="s">
        <v>352</v>
      </c>
      <c r="B232" s="16">
        <v>13.0</v>
      </c>
      <c r="C232" s="16">
        <v>14.0</v>
      </c>
      <c r="D232" s="17">
        <v>44.864349818038</v>
      </c>
      <c r="E232" s="17">
        <v>-93.334222439444</v>
      </c>
      <c r="F232" s="16" t="s">
        <v>41</v>
      </c>
      <c r="G232" s="16" t="s">
        <v>17</v>
      </c>
      <c r="H232" s="18" t="s">
        <v>246</v>
      </c>
      <c r="I232" s="19">
        <v>127.0</v>
      </c>
      <c r="J232" s="21"/>
      <c r="K232" s="11" t="str">
        <f>IFERROR(__xludf.DUMMYFUNCTION("IF(AND(REGEXMATCH($H232,""50( ?['fF]([oO]{2})?[tT]?)?( ?[eE][rR]{2}[oO][rR])"")=FALSE,$H232&lt;&gt;"""",$I232&lt;&gt;""""),HYPERLINK(""https://www.munzee.com/m/""&amp;$H232&amp;""/""&amp;$I232&amp;""/map/?lat=""&amp;$D232&amp;""&amp;lon=""&amp;$E232&amp;""&amp;type=""&amp;$G232&amp;""&amp;name=""&amp;SUBSTITUTE($A232,""#"&amp;""",""%23""),$H232&amp;""/""&amp;$I232),IF($H232&lt;&gt;"""",IF(REGEXMATCH($H232,""50( ?['fF]([oO]{2})?[tT]?)?( ?[eE][rR]{2}[oO][rR])""),HYPERLINK(""https://www.munzee.com/map/?sandbox=1&amp;lat=""&amp;$D232&amp;""&amp;lon=""&amp;$E232&amp;""&amp;name=""&amp;SUBSTITUTE($A232,""#"",""%23""),""SANDBOX"""&amp;"),HYPERLINK(""https://www.munzee.com/m/""&amp;$H232&amp;""/deploys/0/type/""&amp;IFNA(VLOOKUP($G232,IMPORTRANGE(""https://docs.google.com/spreadsheets/d/1DliIGyDywdzxhd4svtjaewR0p9Y5UBTMNMQ2PcXsqss"",""type data!E2:F""),2,FALSE),$G232)&amp;""/"",$H232)),""""))"),"qwerty2582/127")</f>
        <v>qwerty2582/127</v>
      </c>
      <c r="L232" s="19" t="b">
        <v>1</v>
      </c>
      <c r="M232" s="12">
        <f t="shared" si="1"/>
        <v>12</v>
      </c>
      <c r="N232" s="13"/>
      <c r="O232" s="13"/>
      <c r="P232" s="29"/>
    </row>
    <row r="233">
      <c r="A233" s="15" t="s">
        <v>353</v>
      </c>
      <c r="B233" s="16">
        <v>13.0</v>
      </c>
      <c r="C233" s="16">
        <v>15.0</v>
      </c>
      <c r="D233" s="17">
        <v>44.864349817859</v>
      </c>
      <c r="E233" s="17">
        <v>-93.334019653434</v>
      </c>
      <c r="F233" s="16" t="s">
        <v>41</v>
      </c>
      <c r="G233" s="16" t="s">
        <v>17</v>
      </c>
      <c r="H233" s="18" t="s">
        <v>301</v>
      </c>
      <c r="I233" s="19">
        <v>6058.0</v>
      </c>
      <c r="J233" s="20"/>
      <c r="K233" s="11" t="str">
        <f>IFERROR(__xludf.DUMMYFUNCTION("IF(AND(REGEXMATCH($H233,""50( ?['fF]([oO]{2})?[tT]?)?( ?[eE][rR]{2}[oO][rR])"")=FALSE,$H233&lt;&gt;"""",$I233&lt;&gt;""""),HYPERLINK(""https://www.munzee.com/m/""&amp;$H233&amp;""/""&amp;$I233&amp;""/map/?lat=""&amp;$D233&amp;""&amp;lon=""&amp;$E233&amp;""&amp;type=""&amp;$G233&amp;""&amp;name=""&amp;SUBSTITUTE($A233,""#"&amp;""",""%23""),$H233&amp;""/""&amp;$I233),IF($H233&lt;&gt;"""",IF(REGEXMATCH($H233,""50( ?['fF]([oO]{2})?[tT]?)?( ?[eE][rR]{2}[oO][rR])""),HYPERLINK(""https://www.munzee.com/map/?sandbox=1&amp;lat=""&amp;$D233&amp;""&amp;lon=""&amp;$E233&amp;""&amp;name=""&amp;SUBSTITUTE($A233,""#"",""%23""),""SANDBOX"""&amp;"),HYPERLINK(""https://www.munzee.com/m/""&amp;$H233&amp;""/deploys/0/type/""&amp;IFNA(VLOOKUP($G233,IMPORTRANGE(""https://docs.google.com/spreadsheets/d/1DliIGyDywdzxhd4svtjaewR0p9Y5UBTMNMQ2PcXsqss"",""type data!E2:F""),2,FALSE),$G233)&amp;""/"",$H233)),""""))"),"mobility/6058")</f>
        <v>mobility/6058</v>
      </c>
      <c r="L233" s="19" t="b">
        <v>1</v>
      </c>
      <c r="M233" s="12">
        <f t="shared" si="1"/>
        <v>2</v>
      </c>
      <c r="N233" s="13"/>
      <c r="O233" s="13"/>
      <c r="P233" s="15"/>
    </row>
    <row r="234">
      <c r="A234" s="15" t="s">
        <v>354</v>
      </c>
      <c r="B234" s="16">
        <v>13.0</v>
      </c>
      <c r="C234" s="16">
        <v>16.0</v>
      </c>
      <c r="D234" s="17">
        <v>44.86434981768</v>
      </c>
      <c r="E234" s="17">
        <v>-93.333816867425</v>
      </c>
      <c r="F234" s="16" t="s">
        <v>41</v>
      </c>
      <c r="G234" s="16" t="s">
        <v>17</v>
      </c>
      <c r="H234" s="18" t="s">
        <v>14</v>
      </c>
      <c r="I234" s="19">
        <v>603.0</v>
      </c>
      <c r="J234" s="20"/>
      <c r="K234" s="11" t="str">
        <f>IFERROR(__xludf.DUMMYFUNCTION("IF(AND(REGEXMATCH($H234,""50( ?['fF]([oO]{2})?[tT]?)?( ?[eE][rR]{2}[oO][rR])"")=FALSE,$H234&lt;&gt;"""",$I234&lt;&gt;""""),HYPERLINK(""https://www.munzee.com/m/""&amp;$H234&amp;""/""&amp;$I234&amp;""/map/?lat=""&amp;$D234&amp;""&amp;lon=""&amp;$E234&amp;""&amp;type=""&amp;$G234&amp;""&amp;name=""&amp;SUBSTITUTE($A234,""#"&amp;""",""%23""),$H234&amp;""/""&amp;$I234),IF($H234&lt;&gt;"""",IF(REGEXMATCH($H234,""50( ?['fF]([oO]{2})?[tT]?)?( ?[eE][rR]{2}[oO][rR])""),HYPERLINK(""https://www.munzee.com/map/?sandbox=1&amp;lat=""&amp;$D234&amp;""&amp;lon=""&amp;$E234&amp;""&amp;name=""&amp;SUBSTITUTE($A234,""#"",""%23""),""SANDBOX"""&amp;"),HYPERLINK(""https://www.munzee.com/m/""&amp;$H234&amp;""/deploys/0/type/""&amp;IFNA(VLOOKUP($G234,IMPORTRANGE(""https://docs.google.com/spreadsheets/d/1DliIGyDywdzxhd4svtjaewR0p9Y5UBTMNMQ2PcXsqss"",""type data!E2:F""),2,FALSE),$G234)&amp;""/"",$H234)),""""))"),"JABIE28/603")</f>
        <v>JABIE28/603</v>
      </c>
      <c r="L234" s="19" t="b">
        <v>1</v>
      </c>
      <c r="M234" s="12">
        <f t="shared" si="1"/>
        <v>85</v>
      </c>
      <c r="N234" s="13"/>
      <c r="O234" s="13"/>
      <c r="P234" s="15"/>
    </row>
    <row r="235">
      <c r="A235" s="15" t="s">
        <v>355</v>
      </c>
      <c r="B235" s="16">
        <v>13.0</v>
      </c>
      <c r="C235" s="16">
        <v>17.0</v>
      </c>
      <c r="D235" s="17">
        <v>44.8643498175</v>
      </c>
      <c r="E235" s="17">
        <v>-93.333614081415</v>
      </c>
      <c r="F235" s="16" t="s">
        <v>318</v>
      </c>
      <c r="G235" s="16" t="s">
        <v>17</v>
      </c>
      <c r="H235" s="18" t="s">
        <v>159</v>
      </c>
      <c r="I235" s="19">
        <v>817.0</v>
      </c>
      <c r="J235" s="20"/>
      <c r="K235" s="11" t="str">
        <f>IFERROR(__xludf.DUMMYFUNCTION("IF(AND(REGEXMATCH($H235,""50( ?['fF]([oO]{2})?[tT]?)?( ?[eE][rR]{2}[oO][rR])"")=FALSE,$H235&lt;&gt;"""",$I235&lt;&gt;""""),HYPERLINK(""https://www.munzee.com/m/""&amp;$H235&amp;""/""&amp;$I235&amp;""/map/?lat=""&amp;$D235&amp;""&amp;lon=""&amp;$E235&amp;""&amp;type=""&amp;$G235&amp;""&amp;name=""&amp;SUBSTITUTE($A235,""#"&amp;""",""%23""),$H235&amp;""/""&amp;$I235),IF($H235&lt;&gt;"""",IF(REGEXMATCH($H235,""50( ?['fF]([oO]{2})?[tT]?)?( ?[eE][rR]{2}[oO][rR])""),HYPERLINK(""https://www.munzee.com/map/?sandbox=1&amp;lat=""&amp;$D235&amp;""&amp;lon=""&amp;$E235&amp;""&amp;name=""&amp;SUBSTITUTE($A235,""#"",""%23""),""SANDBOX"""&amp;"),HYPERLINK(""https://www.munzee.com/m/""&amp;$H235&amp;""/deploys/0/type/""&amp;IFNA(VLOOKUP($G235,IMPORTRANGE(""https://docs.google.com/spreadsheets/d/1DliIGyDywdzxhd4svtjaewR0p9Y5UBTMNMQ2PcXsqss"",""type data!E2:F""),2,FALSE),$G235)&amp;""/"",$H235)),""""))"),"leesap/817")</f>
        <v>leesap/817</v>
      </c>
      <c r="L235" s="19" t="b">
        <v>1</v>
      </c>
      <c r="M235" s="12">
        <f t="shared" si="1"/>
        <v>3</v>
      </c>
      <c r="N235" s="13"/>
      <c r="O235" s="13"/>
      <c r="P235" s="15"/>
    </row>
    <row r="236">
      <c r="A236" s="15" t="s">
        <v>356</v>
      </c>
      <c r="B236" s="16">
        <v>13.0</v>
      </c>
      <c r="C236" s="16">
        <v>18.0</v>
      </c>
      <c r="D236" s="17">
        <v>44.864349817321</v>
      </c>
      <c r="E236" s="17">
        <v>-93.333411295406</v>
      </c>
      <c r="F236" s="16" t="s">
        <v>318</v>
      </c>
      <c r="G236" s="16" t="s">
        <v>17</v>
      </c>
      <c r="H236" s="18" t="s">
        <v>202</v>
      </c>
      <c r="I236" s="19">
        <v>1051.0</v>
      </c>
      <c r="J236" s="20"/>
      <c r="K236" s="11" t="str">
        <f>IFERROR(__xludf.DUMMYFUNCTION("IF(AND(REGEXMATCH($H236,""50( ?['fF]([oO]{2})?[tT]?)?( ?[eE][rR]{2}[oO][rR])"")=FALSE,$H236&lt;&gt;"""",$I236&lt;&gt;""""),HYPERLINK(""https://www.munzee.com/m/""&amp;$H236&amp;""/""&amp;$I236&amp;""/map/?lat=""&amp;$D236&amp;""&amp;lon=""&amp;$E236&amp;""&amp;type=""&amp;$G236&amp;""&amp;name=""&amp;SUBSTITUTE($A236,""#"&amp;""",""%23""),$H236&amp;""/""&amp;$I236),IF($H236&lt;&gt;"""",IF(REGEXMATCH($H236,""50( ?['fF]([oO]{2})?[tT]?)?( ?[eE][rR]{2}[oO][rR])""),HYPERLINK(""https://www.munzee.com/map/?sandbox=1&amp;lat=""&amp;$D236&amp;""&amp;lon=""&amp;$E236&amp;""&amp;name=""&amp;SUBSTITUTE($A236,""#"",""%23""),""SANDBOX"""&amp;"),HYPERLINK(""https://www.munzee.com/m/""&amp;$H236&amp;""/deploys/0/type/""&amp;IFNA(VLOOKUP($G236,IMPORTRANGE(""https://docs.google.com/spreadsheets/d/1DliIGyDywdzxhd4svtjaewR0p9Y5UBTMNMQ2PcXsqss"",""type data!E2:F""),2,FALSE),$G236)&amp;""/"",$H236)),""""))"),"julesbeus/1051")</f>
        <v>julesbeus/1051</v>
      </c>
      <c r="L236" s="19" t="b">
        <v>1</v>
      </c>
      <c r="M236" s="12">
        <f t="shared" si="1"/>
        <v>3</v>
      </c>
      <c r="N236" s="13"/>
      <c r="O236" s="13"/>
      <c r="P236" s="29"/>
    </row>
    <row r="237">
      <c r="A237" s="15" t="s">
        <v>357</v>
      </c>
      <c r="B237" s="16">
        <v>13.0</v>
      </c>
      <c r="C237" s="16">
        <v>19.0</v>
      </c>
      <c r="D237" s="17">
        <v>44.864349817141</v>
      </c>
      <c r="E237" s="17">
        <v>-93.333208509396</v>
      </c>
      <c r="F237" s="16" t="s">
        <v>41</v>
      </c>
      <c r="G237" s="16" t="s">
        <v>17</v>
      </c>
      <c r="H237" s="18" t="s">
        <v>14</v>
      </c>
      <c r="I237" s="19">
        <v>598.0</v>
      </c>
      <c r="J237" s="20"/>
      <c r="K237" s="11" t="str">
        <f>IFERROR(__xludf.DUMMYFUNCTION("IF(AND(REGEXMATCH($H237,""50( ?['fF]([oO]{2})?[tT]?)?( ?[eE][rR]{2}[oO][rR])"")=FALSE,$H237&lt;&gt;"""",$I237&lt;&gt;""""),HYPERLINK(""https://www.munzee.com/m/""&amp;$H237&amp;""/""&amp;$I237&amp;""/map/?lat=""&amp;$D237&amp;""&amp;lon=""&amp;$E237&amp;""&amp;type=""&amp;$G237&amp;""&amp;name=""&amp;SUBSTITUTE($A237,""#"&amp;""",""%23""),$H237&amp;""/""&amp;$I237),IF($H237&lt;&gt;"""",IF(REGEXMATCH($H237,""50( ?['fF]([oO]{2})?[tT]?)?( ?[eE][rR]{2}[oO][rR])""),HYPERLINK(""https://www.munzee.com/map/?sandbox=1&amp;lat=""&amp;$D237&amp;""&amp;lon=""&amp;$E237&amp;""&amp;name=""&amp;SUBSTITUTE($A237,""#"",""%23""),""SANDBOX"""&amp;"),HYPERLINK(""https://www.munzee.com/m/""&amp;$H237&amp;""/deploys/0/type/""&amp;IFNA(VLOOKUP($G237,IMPORTRANGE(""https://docs.google.com/spreadsheets/d/1DliIGyDywdzxhd4svtjaewR0p9Y5UBTMNMQ2PcXsqss"",""type data!E2:F""),2,FALSE),$G237)&amp;""/"",$H237)),""""))"),"JABIE28/598")</f>
        <v>JABIE28/598</v>
      </c>
      <c r="L237" s="19" t="b">
        <v>1</v>
      </c>
      <c r="M237" s="12">
        <f t="shared" si="1"/>
        <v>85</v>
      </c>
      <c r="N237" s="13"/>
      <c r="O237" s="13"/>
      <c r="P237" s="15"/>
    </row>
    <row r="238">
      <c r="A238" s="15" t="s">
        <v>358</v>
      </c>
      <c r="B238" s="16">
        <v>13.0</v>
      </c>
      <c r="C238" s="16">
        <v>20.0</v>
      </c>
      <c r="D238" s="17">
        <v>44.864349816962</v>
      </c>
      <c r="E238" s="17">
        <v>-93.333005723386</v>
      </c>
      <c r="F238" s="16" t="s">
        <v>41</v>
      </c>
      <c r="G238" s="16" t="s">
        <v>17</v>
      </c>
      <c r="H238" s="18" t="s">
        <v>273</v>
      </c>
      <c r="I238" s="19">
        <v>1938.0</v>
      </c>
      <c r="J238" s="21"/>
      <c r="K238" s="11" t="str">
        <f>IFERROR(__xludf.DUMMYFUNCTION("IF(AND(REGEXMATCH($H238,""50( ?['fF]([oO]{2})?[tT]?)?( ?[eE][rR]{2}[oO][rR])"")=FALSE,$H238&lt;&gt;"""",$I238&lt;&gt;""""),HYPERLINK(""https://www.munzee.com/m/""&amp;$H238&amp;""/""&amp;$I238&amp;""/map/?lat=""&amp;$D238&amp;""&amp;lon=""&amp;$E238&amp;""&amp;type=""&amp;$G238&amp;""&amp;name=""&amp;SUBSTITUTE($A238,""#"&amp;""",""%23""),$H238&amp;""/""&amp;$I238),IF($H238&lt;&gt;"""",IF(REGEXMATCH($H238,""50( ?['fF]([oO]{2})?[tT]?)?( ?[eE][rR]{2}[oO][rR])""),HYPERLINK(""https://www.munzee.com/map/?sandbox=1&amp;lat=""&amp;$D238&amp;""&amp;lon=""&amp;$E238&amp;""&amp;name=""&amp;SUBSTITUTE($A238,""#"",""%23""),""SANDBOX"""&amp;"),HYPERLINK(""https://www.munzee.com/m/""&amp;$H238&amp;""/deploys/0/type/""&amp;IFNA(VLOOKUP($G238,IMPORTRANGE(""https://docs.google.com/spreadsheets/d/1DliIGyDywdzxhd4svtjaewR0p9Y5UBTMNMQ2PcXsqss"",""type data!E2:F""),2,FALSE),$G238)&amp;""/"",$H238)),""""))"),"yhtak57/1938")</f>
        <v>yhtak57/1938</v>
      </c>
      <c r="L238" s="19" t="b">
        <v>1</v>
      </c>
      <c r="M238" s="12">
        <f t="shared" si="1"/>
        <v>12</v>
      </c>
      <c r="N238" s="13"/>
      <c r="O238" s="13"/>
      <c r="P238" s="29"/>
    </row>
    <row r="239">
      <c r="A239" s="15" t="s">
        <v>359</v>
      </c>
      <c r="B239" s="16">
        <v>13.0</v>
      </c>
      <c r="C239" s="16">
        <v>21.0</v>
      </c>
      <c r="D239" s="17">
        <v>44.864349816782</v>
      </c>
      <c r="E239" s="17">
        <v>-93.332802937377</v>
      </c>
      <c r="F239" s="16" t="s">
        <v>41</v>
      </c>
      <c r="G239" s="16" t="s">
        <v>17</v>
      </c>
      <c r="H239" s="18" t="s">
        <v>246</v>
      </c>
      <c r="I239" s="19">
        <v>126.0</v>
      </c>
      <c r="J239" s="21"/>
      <c r="K239" s="11" t="str">
        <f>IFERROR(__xludf.DUMMYFUNCTION("IF(AND(REGEXMATCH($H239,""50( ?['fF]([oO]{2})?[tT]?)?( ?[eE][rR]{2}[oO][rR])"")=FALSE,$H239&lt;&gt;"""",$I239&lt;&gt;""""),HYPERLINK(""https://www.munzee.com/m/""&amp;$H239&amp;""/""&amp;$I239&amp;""/map/?lat=""&amp;$D239&amp;""&amp;lon=""&amp;$E239&amp;""&amp;type=""&amp;$G239&amp;""&amp;name=""&amp;SUBSTITUTE($A239,""#"&amp;""",""%23""),$H239&amp;""/""&amp;$I239),IF($H239&lt;&gt;"""",IF(REGEXMATCH($H239,""50( ?['fF]([oO]{2})?[tT]?)?( ?[eE][rR]{2}[oO][rR])""),HYPERLINK(""https://www.munzee.com/map/?sandbox=1&amp;lat=""&amp;$D239&amp;""&amp;lon=""&amp;$E239&amp;""&amp;name=""&amp;SUBSTITUTE($A239,""#"",""%23""),""SANDBOX"""&amp;"),HYPERLINK(""https://www.munzee.com/m/""&amp;$H239&amp;""/deploys/0/type/""&amp;IFNA(VLOOKUP($G239,IMPORTRANGE(""https://docs.google.com/spreadsheets/d/1DliIGyDywdzxhd4svtjaewR0p9Y5UBTMNMQ2PcXsqss"",""type data!E2:F""),2,FALSE),$G239)&amp;""/"",$H239)),""""))"),"qwerty2582/126")</f>
        <v>qwerty2582/126</v>
      </c>
      <c r="L239" s="19" t="b">
        <v>1</v>
      </c>
      <c r="M239" s="12">
        <f t="shared" si="1"/>
        <v>12</v>
      </c>
      <c r="N239" s="13"/>
      <c r="O239" s="13"/>
      <c r="P239" s="15"/>
    </row>
    <row r="240">
      <c r="A240" s="15" t="s">
        <v>360</v>
      </c>
      <c r="B240" s="16">
        <v>13.0</v>
      </c>
      <c r="C240" s="16">
        <v>22.0</v>
      </c>
      <c r="D240" s="17">
        <v>44.864349816603</v>
      </c>
      <c r="E240" s="17">
        <v>-93.332600151367</v>
      </c>
      <c r="F240" s="16" t="s">
        <v>41</v>
      </c>
      <c r="G240" s="16" t="s">
        <v>17</v>
      </c>
      <c r="H240" s="18" t="s">
        <v>14</v>
      </c>
      <c r="I240" s="19">
        <v>596.0</v>
      </c>
      <c r="J240" s="20"/>
      <c r="K240" s="11" t="str">
        <f>IFERROR(__xludf.DUMMYFUNCTION("IF(AND(REGEXMATCH($H240,""50( ?['fF]([oO]{2})?[tT]?)?( ?[eE][rR]{2}[oO][rR])"")=FALSE,$H240&lt;&gt;"""",$I240&lt;&gt;""""),HYPERLINK(""https://www.munzee.com/m/""&amp;$H240&amp;""/""&amp;$I240&amp;""/map/?lat=""&amp;$D240&amp;""&amp;lon=""&amp;$E240&amp;""&amp;type=""&amp;$G240&amp;""&amp;name=""&amp;SUBSTITUTE($A240,""#"&amp;""",""%23""),$H240&amp;""/""&amp;$I240),IF($H240&lt;&gt;"""",IF(REGEXMATCH($H240,""50( ?['fF]([oO]{2})?[tT]?)?( ?[eE][rR]{2}[oO][rR])""),HYPERLINK(""https://www.munzee.com/map/?sandbox=1&amp;lat=""&amp;$D240&amp;""&amp;lon=""&amp;$E240&amp;""&amp;name=""&amp;SUBSTITUTE($A240,""#"",""%23""),""SANDBOX"""&amp;"),HYPERLINK(""https://www.munzee.com/m/""&amp;$H240&amp;""/deploys/0/type/""&amp;IFNA(VLOOKUP($G240,IMPORTRANGE(""https://docs.google.com/spreadsheets/d/1DliIGyDywdzxhd4svtjaewR0p9Y5UBTMNMQ2PcXsqss"",""type data!E2:F""),2,FALSE),$G240)&amp;""/"",$H240)),""""))"),"JABIE28/596")</f>
        <v>JABIE28/596</v>
      </c>
      <c r="L240" s="19" t="b">
        <v>1</v>
      </c>
      <c r="M240" s="12">
        <f t="shared" si="1"/>
        <v>85</v>
      </c>
      <c r="N240" s="13"/>
      <c r="O240" s="13"/>
      <c r="P240" s="29"/>
    </row>
    <row r="241">
      <c r="A241" s="15" t="s">
        <v>361</v>
      </c>
      <c r="B241" s="16">
        <v>13.0</v>
      </c>
      <c r="C241" s="16">
        <v>23.0</v>
      </c>
      <c r="D241" s="17">
        <v>44.864349816424</v>
      </c>
      <c r="E241" s="17">
        <v>-93.332397365358</v>
      </c>
      <c r="F241" s="16" t="s">
        <v>41</v>
      </c>
      <c r="G241" s="16" t="s">
        <v>17</v>
      </c>
      <c r="H241" s="18" t="s">
        <v>362</v>
      </c>
      <c r="I241" s="19">
        <v>23173.0</v>
      </c>
      <c r="J241" s="20"/>
      <c r="K241" s="11" t="str">
        <f>IFERROR(__xludf.DUMMYFUNCTION("IF(AND(REGEXMATCH($H241,""50( ?['fF]([oO]{2})?[tT]?)?( ?[eE][rR]{2}[oO][rR])"")=FALSE,$H241&lt;&gt;"""",$I241&lt;&gt;""""),HYPERLINK(""https://www.munzee.com/m/""&amp;$H241&amp;""/""&amp;$I241&amp;""/map/?lat=""&amp;$D241&amp;""&amp;lon=""&amp;$E241&amp;""&amp;type=""&amp;$G241&amp;""&amp;name=""&amp;SUBSTITUTE($A241,""#"&amp;""",""%23""),$H241&amp;""/""&amp;$I241),IF($H241&lt;&gt;"""",IF(REGEXMATCH($H241,""50( ?['fF]([oO]{2})?[tT]?)?( ?[eE][rR]{2}[oO][rR])""),HYPERLINK(""https://www.munzee.com/map/?sandbox=1&amp;lat=""&amp;$D241&amp;""&amp;lon=""&amp;$E241&amp;""&amp;name=""&amp;SUBSTITUTE($A241,""#"",""%23""),""SANDBOX"""&amp;"),HYPERLINK(""https://www.munzee.com/m/""&amp;$H241&amp;""/deploys/0/type/""&amp;IFNA(VLOOKUP($G241,IMPORTRANGE(""https://docs.google.com/spreadsheets/d/1DliIGyDywdzxhd4svtjaewR0p9Y5UBTMNMQ2PcXsqss"",""type data!E2:F""),2,FALSE),$G241)&amp;""/"",$H241)),""""))"),"hunniees/23173")</f>
        <v>hunniees/23173</v>
      </c>
      <c r="L241" s="19" t="b">
        <v>1</v>
      </c>
      <c r="M241" s="12">
        <f t="shared" si="1"/>
        <v>1</v>
      </c>
      <c r="N241" s="13"/>
      <c r="O241" s="13"/>
      <c r="P241" s="15"/>
    </row>
    <row r="242">
      <c r="A242" s="15" t="s">
        <v>363</v>
      </c>
      <c r="B242" s="16">
        <v>13.0</v>
      </c>
      <c r="C242" s="16">
        <v>24.0</v>
      </c>
      <c r="D242" s="17">
        <v>44.864349816244</v>
      </c>
      <c r="E242" s="17">
        <v>-93.332194579348</v>
      </c>
      <c r="F242" s="16" t="s">
        <v>16</v>
      </c>
      <c r="G242" s="16" t="s">
        <v>17</v>
      </c>
      <c r="H242" s="18" t="s">
        <v>343</v>
      </c>
      <c r="I242" s="19">
        <v>442.0</v>
      </c>
      <c r="J242" s="20"/>
      <c r="K242" s="11" t="str">
        <f>IFERROR(__xludf.DUMMYFUNCTION("IF(AND(REGEXMATCH($H242,""50( ?['fF]([oO]{2})?[tT]?)?( ?[eE][rR]{2}[oO][rR])"")=FALSE,$H242&lt;&gt;"""",$I242&lt;&gt;""""),HYPERLINK(""https://www.munzee.com/m/""&amp;$H242&amp;""/""&amp;$I242&amp;""/map/?lat=""&amp;$D242&amp;""&amp;lon=""&amp;$E242&amp;""&amp;type=""&amp;$G242&amp;""&amp;name=""&amp;SUBSTITUTE($A242,""#"&amp;""",""%23""),$H242&amp;""/""&amp;$I242),IF($H242&lt;&gt;"""",IF(REGEXMATCH($H242,""50( ?['fF]([oO]{2})?[tT]?)?( ?[eE][rR]{2}[oO][rR])""),HYPERLINK(""https://www.munzee.com/map/?sandbox=1&amp;lat=""&amp;$D242&amp;""&amp;lon=""&amp;$E242&amp;""&amp;name=""&amp;SUBSTITUTE($A242,""#"",""%23""),""SANDBOX"""&amp;"),HYPERLINK(""https://www.munzee.com/m/""&amp;$H242&amp;""/deploys/0/type/""&amp;IFNA(VLOOKUP($G242,IMPORTRANGE(""https://docs.google.com/spreadsheets/d/1DliIGyDywdzxhd4svtjaewR0p9Y5UBTMNMQ2PcXsqss"",""type data!E2:F""),2,FALSE),$G242)&amp;""/"",$H242)),""""))"),"jens985/442")</f>
        <v>jens985/442</v>
      </c>
      <c r="L242" s="19" t="b">
        <v>1</v>
      </c>
      <c r="M242" s="12">
        <f t="shared" si="1"/>
        <v>5</v>
      </c>
      <c r="N242" s="13"/>
      <c r="O242" s="13"/>
      <c r="P242" s="15"/>
    </row>
    <row r="243">
      <c r="A243" s="15" t="s">
        <v>364</v>
      </c>
      <c r="B243" s="16">
        <v>13.0</v>
      </c>
      <c r="C243" s="16">
        <v>25.0</v>
      </c>
      <c r="D243" s="17">
        <v>44.864349816065</v>
      </c>
      <c r="E243" s="17">
        <v>-93.331991793338</v>
      </c>
      <c r="F243" s="16" t="s">
        <v>16</v>
      </c>
      <c r="G243" s="16" t="s">
        <v>17</v>
      </c>
      <c r="H243" s="18" t="s">
        <v>14</v>
      </c>
      <c r="I243" s="19">
        <v>595.0</v>
      </c>
      <c r="J243" s="20"/>
      <c r="K243" s="11" t="str">
        <f>IFERROR(__xludf.DUMMYFUNCTION("IF(AND(REGEXMATCH($H243,""50( ?['fF]([oO]{2})?[tT]?)?( ?[eE][rR]{2}[oO][rR])"")=FALSE,$H243&lt;&gt;"""",$I243&lt;&gt;""""),HYPERLINK(""https://www.munzee.com/m/""&amp;$H243&amp;""/""&amp;$I243&amp;""/map/?lat=""&amp;$D243&amp;""&amp;lon=""&amp;$E243&amp;""&amp;type=""&amp;$G243&amp;""&amp;name=""&amp;SUBSTITUTE($A243,""#"&amp;""",""%23""),$H243&amp;""/""&amp;$I243),IF($H243&lt;&gt;"""",IF(REGEXMATCH($H243,""50( ?['fF]([oO]{2})?[tT]?)?( ?[eE][rR]{2}[oO][rR])""),HYPERLINK(""https://www.munzee.com/map/?sandbox=1&amp;lat=""&amp;$D243&amp;""&amp;lon=""&amp;$E243&amp;""&amp;name=""&amp;SUBSTITUTE($A243,""#"",""%23""),""SANDBOX"""&amp;"),HYPERLINK(""https://www.munzee.com/m/""&amp;$H243&amp;""/deploys/0/type/""&amp;IFNA(VLOOKUP($G243,IMPORTRANGE(""https://docs.google.com/spreadsheets/d/1DliIGyDywdzxhd4svtjaewR0p9Y5UBTMNMQ2PcXsqss"",""type data!E2:F""),2,FALSE),$G243)&amp;""/"",$H243)),""""))"),"JABIE28/595")</f>
        <v>JABIE28/595</v>
      </c>
      <c r="L243" s="19" t="b">
        <v>1</v>
      </c>
      <c r="M243" s="12">
        <f t="shared" si="1"/>
        <v>85</v>
      </c>
      <c r="N243" s="13"/>
      <c r="O243" s="13"/>
      <c r="P243" s="29"/>
    </row>
    <row r="244">
      <c r="A244" s="15" t="s">
        <v>365</v>
      </c>
      <c r="B244" s="16">
        <v>14.0</v>
      </c>
      <c r="C244" s="16">
        <v>6.0</v>
      </c>
      <c r="D244" s="17">
        <v>44.864206089028</v>
      </c>
      <c r="E244" s="17">
        <v>-93.335844738153</v>
      </c>
      <c r="F244" s="16" t="s">
        <v>16</v>
      </c>
      <c r="G244" s="16" t="s">
        <v>17</v>
      </c>
      <c r="H244" s="18" t="s">
        <v>366</v>
      </c>
      <c r="I244" s="19">
        <v>1657.0</v>
      </c>
      <c r="J244" s="27"/>
      <c r="K244" s="11" t="str">
        <f>IFERROR(__xludf.DUMMYFUNCTION("IF(AND(REGEXMATCH($H244,""50( ?['fF]([oO]{2})?[tT]?)?( ?[eE][rR]{2}[oO][rR])"")=FALSE,$H244&lt;&gt;"""",$I244&lt;&gt;""""),HYPERLINK(""https://www.munzee.com/m/""&amp;$H244&amp;""/""&amp;$I244&amp;""/map/?lat=""&amp;$D244&amp;""&amp;lon=""&amp;$E244&amp;""&amp;type=""&amp;$G244&amp;""&amp;name=""&amp;SUBSTITUTE($A244,""#"&amp;""",""%23""),$H244&amp;""/""&amp;$I244),IF($H244&lt;&gt;"""",IF(REGEXMATCH($H244,""50( ?['fF]([oO]{2})?[tT]?)?( ?[eE][rR]{2}[oO][rR])""),HYPERLINK(""https://www.munzee.com/map/?sandbox=1&amp;lat=""&amp;$D244&amp;""&amp;lon=""&amp;$E244&amp;""&amp;name=""&amp;SUBSTITUTE($A244,""#"",""%23""),""SANDBOX"""&amp;"),HYPERLINK(""https://www.munzee.com/m/""&amp;$H244&amp;""/deploys/0/type/""&amp;IFNA(VLOOKUP($G244,IMPORTRANGE(""https://docs.google.com/spreadsheets/d/1DliIGyDywdzxhd4svtjaewR0p9Y5UBTMNMQ2PcXsqss"",""type data!E2:F""),2,FALSE),$G244)&amp;""/"",$H244)),""""))"),"franktoops/1657")</f>
        <v>franktoops/1657</v>
      </c>
      <c r="L244" s="19" t="b">
        <v>1</v>
      </c>
      <c r="M244" s="12">
        <f t="shared" si="1"/>
        <v>1</v>
      </c>
      <c r="N244" s="13"/>
      <c r="O244" s="13"/>
      <c r="P244" s="15"/>
    </row>
    <row r="245">
      <c r="A245" s="15" t="s">
        <v>367</v>
      </c>
      <c r="B245" s="16">
        <v>14.0</v>
      </c>
      <c r="C245" s="16">
        <v>7.0</v>
      </c>
      <c r="D245" s="17">
        <v>44.864206088849</v>
      </c>
      <c r="E245" s="17">
        <v>-93.33564195265</v>
      </c>
      <c r="F245" s="16" t="s">
        <v>41</v>
      </c>
      <c r="G245" s="16" t="s">
        <v>17</v>
      </c>
      <c r="H245" s="18" t="s">
        <v>368</v>
      </c>
      <c r="I245" s="19">
        <v>3669.0</v>
      </c>
      <c r="J245" s="20"/>
      <c r="K245" s="11" t="str">
        <f>IFERROR(__xludf.DUMMYFUNCTION("IF(AND(REGEXMATCH($H245,""50( ?['fF]([oO]{2})?[tT]?)?( ?[eE][rR]{2}[oO][rR])"")=FALSE,$H245&lt;&gt;"""",$I245&lt;&gt;""""),HYPERLINK(""https://www.munzee.com/m/""&amp;$H245&amp;""/""&amp;$I245&amp;""/map/?lat=""&amp;$D245&amp;""&amp;lon=""&amp;$E245&amp;""&amp;type=""&amp;$G245&amp;""&amp;name=""&amp;SUBSTITUTE($A245,""#"&amp;""",""%23""),$H245&amp;""/""&amp;$I245),IF($H245&lt;&gt;"""",IF(REGEXMATCH($H245,""50( ?['fF]([oO]{2})?[tT]?)?( ?[eE][rR]{2}[oO][rR])""),HYPERLINK(""https://www.munzee.com/map/?sandbox=1&amp;lat=""&amp;$D245&amp;""&amp;lon=""&amp;$E245&amp;""&amp;name=""&amp;SUBSTITUTE($A245,""#"",""%23""),""SANDBOX"""&amp;"),HYPERLINK(""https://www.munzee.com/m/""&amp;$H245&amp;""/deploys/0/type/""&amp;IFNA(VLOOKUP($G245,IMPORTRANGE(""https://docs.google.com/spreadsheets/d/1DliIGyDywdzxhd4svtjaewR0p9Y5UBTMNMQ2PcXsqss"",""type data!E2:F""),2,FALSE),$G245)&amp;""/"",$H245)),""""))"),"mollymoo09/3669")</f>
        <v>mollymoo09/3669</v>
      </c>
      <c r="L245" s="19" t="b">
        <v>1</v>
      </c>
      <c r="M245" s="12">
        <f t="shared" si="1"/>
        <v>3</v>
      </c>
      <c r="N245" s="13"/>
      <c r="O245" s="13"/>
      <c r="P245" s="29"/>
    </row>
    <row r="246">
      <c r="A246" s="15" t="s">
        <v>369</v>
      </c>
      <c r="B246" s="16">
        <v>14.0</v>
      </c>
      <c r="C246" s="16">
        <v>8.0</v>
      </c>
      <c r="D246" s="17">
        <v>44.86420608867</v>
      </c>
      <c r="E246" s="17">
        <v>-93.335439167146</v>
      </c>
      <c r="F246" s="16" t="s">
        <v>41</v>
      </c>
      <c r="G246" s="16" t="s">
        <v>17</v>
      </c>
      <c r="H246" s="18" t="s">
        <v>113</v>
      </c>
      <c r="I246" s="19">
        <v>1389.0</v>
      </c>
      <c r="J246" s="21"/>
      <c r="K246" s="11" t="str">
        <f>IFERROR(__xludf.DUMMYFUNCTION("IF(AND(REGEXMATCH($H246,""50( ?['fF]([oO]{2})?[tT]?)?( ?[eE][rR]{2}[oO][rR])"")=FALSE,$H246&lt;&gt;"""",$I246&lt;&gt;""""),HYPERLINK(""https://www.munzee.com/m/""&amp;$H246&amp;""/""&amp;$I246&amp;""/map/?lat=""&amp;$D246&amp;""&amp;lon=""&amp;$E246&amp;""&amp;type=""&amp;$G246&amp;""&amp;name=""&amp;SUBSTITUTE($A246,""#"&amp;""",""%23""),$H246&amp;""/""&amp;$I246),IF($H246&lt;&gt;"""",IF(REGEXMATCH($H246,""50( ?['fF]([oO]{2})?[tT]?)?( ?[eE][rR]{2}[oO][rR])""),HYPERLINK(""https://www.munzee.com/map/?sandbox=1&amp;lat=""&amp;$D246&amp;""&amp;lon=""&amp;$E246&amp;""&amp;name=""&amp;SUBSTITUTE($A246,""#"",""%23""),""SANDBOX"""&amp;"),HYPERLINK(""https://www.munzee.com/m/""&amp;$H246&amp;""/deploys/0/type/""&amp;IFNA(VLOOKUP($G246,IMPORTRANGE(""https://docs.google.com/spreadsheets/d/1DliIGyDywdzxhd4svtjaewR0p9Y5UBTMNMQ2PcXsqss"",""type data!E2:F""),2,FALSE),$G246)&amp;""/"",$H246)),""""))"),"padraig/1389")</f>
        <v>padraig/1389</v>
      </c>
      <c r="L246" s="19" t="b">
        <v>1</v>
      </c>
      <c r="M246" s="12">
        <f t="shared" si="1"/>
        <v>2</v>
      </c>
      <c r="N246" s="13"/>
      <c r="O246" s="13"/>
      <c r="P246" s="15"/>
    </row>
    <row r="247">
      <c r="A247" s="15" t="s">
        <v>370</v>
      </c>
      <c r="B247" s="16">
        <v>14.0</v>
      </c>
      <c r="C247" s="16">
        <v>9.0</v>
      </c>
      <c r="D247" s="17">
        <v>44.86420608849</v>
      </c>
      <c r="E247" s="17">
        <v>-93.335236381643</v>
      </c>
      <c r="F247" s="16" t="s">
        <v>41</v>
      </c>
      <c r="G247" s="16" t="s">
        <v>17</v>
      </c>
      <c r="H247" s="18" t="s">
        <v>294</v>
      </c>
      <c r="I247" s="19">
        <v>2079.0</v>
      </c>
      <c r="J247" s="20"/>
      <c r="K247" s="11" t="str">
        <f>IFERROR(__xludf.DUMMYFUNCTION("IF(AND(REGEXMATCH($H247,""50( ?['fF]([oO]{2})?[tT]?)?( ?[eE][rR]{2}[oO][rR])"")=FALSE,$H247&lt;&gt;"""",$I247&lt;&gt;""""),HYPERLINK(""https://www.munzee.com/m/""&amp;$H247&amp;""/""&amp;$I247&amp;""/map/?lat=""&amp;$D247&amp;""&amp;lon=""&amp;$E247&amp;""&amp;type=""&amp;$G247&amp;""&amp;name=""&amp;SUBSTITUTE($A247,""#"&amp;""",""%23""),$H247&amp;""/""&amp;$I247),IF($H247&lt;&gt;"""",IF(REGEXMATCH($H247,""50( ?['fF]([oO]{2})?[tT]?)?( ?[eE][rR]{2}[oO][rR])""),HYPERLINK(""https://www.munzee.com/map/?sandbox=1&amp;lat=""&amp;$D247&amp;""&amp;lon=""&amp;$E247&amp;""&amp;name=""&amp;SUBSTITUTE($A247,""#"",""%23""),""SANDBOX"""&amp;"),HYPERLINK(""https://www.munzee.com/m/""&amp;$H247&amp;""/deploys/0/type/""&amp;IFNA(VLOOKUP($G247,IMPORTRANGE(""https://docs.google.com/spreadsheets/d/1DliIGyDywdzxhd4svtjaewR0p9Y5UBTMNMQ2PcXsqss"",""type data!E2:F""),2,FALSE),$G247)&amp;""/"",$H247)),""""))"),"munzeemags/2079")</f>
        <v>munzeemags/2079</v>
      </c>
      <c r="L247" s="19" t="b">
        <v>1</v>
      </c>
      <c r="M247" s="12">
        <f t="shared" si="1"/>
        <v>5</v>
      </c>
      <c r="N247" s="13"/>
      <c r="O247" s="13"/>
      <c r="P247" s="29"/>
    </row>
    <row r="248">
      <c r="A248" s="15" t="s">
        <v>371</v>
      </c>
      <c r="B248" s="16">
        <v>14.0</v>
      </c>
      <c r="C248" s="16">
        <v>10.0</v>
      </c>
      <c r="D248" s="17">
        <v>44.864206088311</v>
      </c>
      <c r="E248" s="17">
        <v>-93.33503359614</v>
      </c>
      <c r="F248" s="16" t="s">
        <v>41</v>
      </c>
      <c r="G248" s="16" t="s">
        <v>17</v>
      </c>
      <c r="H248" s="18" t="s">
        <v>326</v>
      </c>
      <c r="I248" s="19">
        <v>3126.0</v>
      </c>
      <c r="J248" s="20"/>
      <c r="K248" s="11" t="str">
        <f>IFERROR(__xludf.DUMMYFUNCTION("IF(AND(REGEXMATCH($H248,""50( ?['fF]([oO]{2})?[tT]?)?( ?[eE][rR]{2}[oO][rR])"")=FALSE,$H248&lt;&gt;"""",$I248&lt;&gt;""""),HYPERLINK(""https://www.munzee.com/m/""&amp;$H248&amp;""/""&amp;$I248&amp;""/map/?lat=""&amp;$D248&amp;""&amp;lon=""&amp;$E248&amp;""&amp;type=""&amp;$G248&amp;""&amp;name=""&amp;SUBSTITUTE($A248,""#"&amp;""",""%23""),$H248&amp;""/""&amp;$I248),IF($H248&lt;&gt;"""",IF(REGEXMATCH($H248,""50( ?['fF]([oO]{2})?[tT]?)?( ?[eE][rR]{2}[oO][rR])""),HYPERLINK(""https://www.munzee.com/map/?sandbox=1&amp;lat=""&amp;$D248&amp;""&amp;lon=""&amp;$E248&amp;""&amp;name=""&amp;SUBSTITUTE($A248,""#"",""%23""),""SANDBOX"""&amp;"),HYPERLINK(""https://www.munzee.com/m/""&amp;$H248&amp;""/deploys/0/type/""&amp;IFNA(VLOOKUP($G248,IMPORTRANGE(""https://docs.google.com/spreadsheets/d/1DliIGyDywdzxhd4svtjaewR0p9Y5UBTMNMQ2PcXsqss"",""type data!E2:F""),2,FALSE),$G248)&amp;""/"",$H248)),""""))"),"rbct109/3126")</f>
        <v>rbct109/3126</v>
      </c>
      <c r="L248" s="19" t="b">
        <v>1</v>
      </c>
      <c r="M248" s="12">
        <f t="shared" si="1"/>
        <v>4</v>
      </c>
      <c r="N248" s="13"/>
      <c r="O248" s="13"/>
      <c r="P248" s="29"/>
    </row>
    <row r="249">
      <c r="A249" s="15" t="s">
        <v>372</v>
      </c>
      <c r="B249" s="16">
        <v>14.0</v>
      </c>
      <c r="C249" s="16">
        <v>11.0</v>
      </c>
      <c r="D249" s="17">
        <v>44.864206088131</v>
      </c>
      <c r="E249" s="17">
        <v>-93.334830810636</v>
      </c>
      <c r="F249" s="16" t="s">
        <v>41</v>
      </c>
      <c r="G249" s="16" t="s">
        <v>17</v>
      </c>
      <c r="H249" s="18" t="s">
        <v>373</v>
      </c>
      <c r="I249" s="19">
        <v>5526.0</v>
      </c>
      <c r="J249" s="21"/>
      <c r="K249" s="11" t="str">
        <f>IFERROR(__xludf.DUMMYFUNCTION("IF(AND(REGEXMATCH($H249,""50( ?['fF]([oO]{2})?[tT]?)?( ?[eE][rR]{2}[oO][rR])"")=FALSE,$H249&lt;&gt;"""",$I249&lt;&gt;""""),HYPERLINK(""https://www.munzee.com/m/""&amp;$H249&amp;""/""&amp;$I249&amp;""/map/?lat=""&amp;$D249&amp;""&amp;lon=""&amp;$E249&amp;""&amp;type=""&amp;$G249&amp;""&amp;name=""&amp;SUBSTITUTE($A249,""#"&amp;""",""%23""),$H249&amp;""/""&amp;$I249),IF($H249&lt;&gt;"""",IF(REGEXMATCH($H249,""50( ?['fF]([oO]{2})?[tT]?)?( ?[eE][rR]{2}[oO][rR])""),HYPERLINK(""https://www.munzee.com/map/?sandbox=1&amp;lat=""&amp;$D249&amp;""&amp;lon=""&amp;$E249&amp;""&amp;name=""&amp;SUBSTITUTE($A249,""#"",""%23""),""SANDBOX"""&amp;"),HYPERLINK(""https://www.munzee.com/m/""&amp;$H249&amp;""/deploys/0/type/""&amp;IFNA(VLOOKUP($G249,IMPORTRANGE(""https://docs.google.com/spreadsheets/d/1DliIGyDywdzxhd4svtjaewR0p9Y5UBTMNMQ2PcXsqss"",""type data!E2:F""),2,FALSE),$G249)&amp;""/"",$H249)),""""))"),"Tabata2/5526")</f>
        <v>Tabata2/5526</v>
      </c>
      <c r="L249" s="19" t="b">
        <v>1</v>
      </c>
      <c r="M249" s="12">
        <f t="shared" si="1"/>
        <v>1</v>
      </c>
      <c r="N249" s="13"/>
      <c r="O249" s="13"/>
      <c r="P249" s="29"/>
    </row>
    <row r="250">
      <c r="A250" s="15" t="s">
        <v>374</v>
      </c>
      <c r="B250" s="16">
        <v>14.0</v>
      </c>
      <c r="C250" s="16">
        <v>12.0</v>
      </c>
      <c r="D250" s="17">
        <v>44.864206087952</v>
      </c>
      <c r="E250" s="17">
        <v>-93.334628025133</v>
      </c>
      <c r="F250" s="16" t="s">
        <v>318</v>
      </c>
      <c r="G250" s="16" t="s">
        <v>17</v>
      </c>
      <c r="H250" s="18" t="s">
        <v>375</v>
      </c>
      <c r="I250" s="19">
        <v>2133.0</v>
      </c>
      <c r="J250" s="20"/>
      <c r="K250" s="11" t="str">
        <f>IFERROR(__xludf.DUMMYFUNCTION("IF(AND(REGEXMATCH($H250,""50( ?['fF]([oO]{2})?[tT]?)?( ?[eE][rR]{2}[oO][rR])"")=FALSE,$H250&lt;&gt;"""",$I250&lt;&gt;""""),HYPERLINK(""https://www.munzee.com/m/""&amp;$H250&amp;""/""&amp;$I250&amp;""/map/?lat=""&amp;$D250&amp;""&amp;lon=""&amp;$E250&amp;""&amp;type=""&amp;$G250&amp;""&amp;name=""&amp;SUBSTITUTE($A250,""#"&amp;""",""%23""),$H250&amp;""/""&amp;$I250),IF($H250&lt;&gt;"""",IF(REGEXMATCH($H250,""50( ?['fF]([oO]{2})?[tT]?)?( ?[eE][rR]{2}[oO][rR])""),HYPERLINK(""https://www.munzee.com/map/?sandbox=1&amp;lat=""&amp;$D250&amp;""&amp;lon=""&amp;$E250&amp;""&amp;name=""&amp;SUBSTITUTE($A250,""#"",""%23""),""SANDBOX"""&amp;"),HYPERLINK(""https://www.munzee.com/m/""&amp;$H250&amp;""/deploys/0/type/""&amp;IFNA(VLOOKUP($G250,IMPORTRANGE(""https://docs.google.com/spreadsheets/d/1DliIGyDywdzxhd4svtjaewR0p9Y5UBTMNMQ2PcXsqss"",""type data!E2:F""),2,FALSE),$G250)&amp;""/"",$H250)),""""))"),"Fire2Water/2133")</f>
        <v>Fire2Water/2133</v>
      </c>
      <c r="L250" s="19" t="b">
        <v>1</v>
      </c>
      <c r="M250" s="12">
        <f t="shared" si="1"/>
        <v>5</v>
      </c>
      <c r="N250" s="13"/>
      <c r="O250" s="13"/>
      <c r="P250" s="29"/>
    </row>
    <row r="251">
      <c r="A251" s="15" t="s">
        <v>376</v>
      </c>
      <c r="B251" s="16">
        <v>14.0</v>
      </c>
      <c r="C251" s="16">
        <v>13.0</v>
      </c>
      <c r="D251" s="17">
        <v>44.864206087772</v>
      </c>
      <c r="E251" s="17">
        <v>-93.33442523963</v>
      </c>
      <c r="F251" s="16" t="s">
        <v>318</v>
      </c>
      <c r="G251" s="16" t="s">
        <v>17</v>
      </c>
      <c r="H251" s="18" t="s">
        <v>377</v>
      </c>
      <c r="I251" s="19">
        <v>2165.0</v>
      </c>
      <c r="J251" s="20"/>
      <c r="K251" s="11" t="str">
        <f>IFERROR(__xludf.DUMMYFUNCTION("IF(AND(REGEXMATCH($H251,""50( ?['fF]([oO]{2})?[tT]?)?( ?[eE][rR]{2}[oO][rR])"")=FALSE,$H251&lt;&gt;"""",$I251&lt;&gt;""""),HYPERLINK(""https://www.munzee.com/m/""&amp;$H251&amp;""/""&amp;$I251&amp;""/map/?lat=""&amp;$D251&amp;""&amp;lon=""&amp;$E251&amp;""&amp;type=""&amp;$G251&amp;""&amp;name=""&amp;SUBSTITUTE($A251,""#"&amp;""",""%23""),$H251&amp;""/""&amp;$I251),IF($H251&lt;&gt;"""",IF(REGEXMATCH($H251,""50( ?['fF]([oO]{2})?[tT]?)?( ?[eE][rR]{2}[oO][rR])""),HYPERLINK(""https://www.munzee.com/map/?sandbox=1&amp;lat=""&amp;$D251&amp;""&amp;lon=""&amp;$E251&amp;""&amp;name=""&amp;SUBSTITUTE($A251,""#"",""%23""),""SANDBOX"""&amp;"),HYPERLINK(""https://www.munzee.com/m/""&amp;$H251&amp;""/deploys/0/type/""&amp;IFNA(VLOOKUP($G251,IMPORTRANGE(""https://docs.google.com/spreadsheets/d/1DliIGyDywdzxhd4svtjaewR0p9Y5UBTMNMQ2PcXsqss"",""type data!E2:F""),2,FALSE),$G251)&amp;""/"",$H251)),""""))"),"spdx2/2165")</f>
        <v>spdx2/2165</v>
      </c>
      <c r="L251" s="19" t="b">
        <v>1</v>
      </c>
      <c r="M251" s="12">
        <f t="shared" si="1"/>
        <v>1</v>
      </c>
      <c r="N251" s="13"/>
      <c r="O251" s="13"/>
      <c r="P251" s="29"/>
    </row>
    <row r="252">
      <c r="A252" s="15" t="s">
        <v>378</v>
      </c>
      <c r="B252" s="16">
        <v>14.0</v>
      </c>
      <c r="C252" s="16">
        <v>14.0</v>
      </c>
      <c r="D252" s="17">
        <v>44.864206087593</v>
      </c>
      <c r="E252" s="17">
        <v>-93.334222454126</v>
      </c>
      <c r="F252" s="16" t="s">
        <v>318</v>
      </c>
      <c r="G252" s="16" t="s">
        <v>17</v>
      </c>
      <c r="H252" s="18" t="s">
        <v>379</v>
      </c>
      <c r="I252" s="19">
        <v>1115.0</v>
      </c>
      <c r="J252" s="21"/>
      <c r="K252" s="11" t="str">
        <f>IFERROR(__xludf.DUMMYFUNCTION("IF(AND(REGEXMATCH($H252,""50( ?['fF]([oO]{2})?[tT]?)?( ?[eE][rR]{2}[oO][rR])"")=FALSE,$H252&lt;&gt;"""",$I252&lt;&gt;""""),HYPERLINK(""https://www.munzee.com/m/""&amp;$H252&amp;""/""&amp;$I252&amp;""/map/?lat=""&amp;$D252&amp;""&amp;lon=""&amp;$E252&amp;""&amp;type=""&amp;$G252&amp;""&amp;name=""&amp;SUBSTITUTE($A252,""#"&amp;""",""%23""),$H252&amp;""/""&amp;$I252),IF($H252&lt;&gt;"""",IF(REGEXMATCH($H252,""50( ?['fF]([oO]{2})?[tT]?)?( ?[eE][rR]{2}[oO][rR])""),HYPERLINK(""https://www.munzee.com/map/?sandbox=1&amp;lat=""&amp;$D252&amp;""&amp;lon=""&amp;$E252&amp;""&amp;name=""&amp;SUBSTITUTE($A252,""#"",""%23""),""SANDBOX"""&amp;"),HYPERLINK(""https://www.munzee.com/m/""&amp;$H252&amp;""/deploys/0/type/""&amp;IFNA(VLOOKUP($G252,IMPORTRANGE(""https://docs.google.com/spreadsheets/d/1DliIGyDywdzxhd4svtjaewR0p9Y5UBTMNMQ2PcXsqss"",""type data!E2:F""),2,FALSE),$G252)&amp;""/"",$H252)),""""))"),"rohdej/1115")</f>
        <v>rohdej/1115</v>
      </c>
      <c r="L252" s="19" t="b">
        <v>1</v>
      </c>
      <c r="M252" s="12">
        <f t="shared" si="1"/>
        <v>10</v>
      </c>
      <c r="N252" s="13"/>
      <c r="O252" s="13"/>
      <c r="P252" s="29"/>
    </row>
    <row r="253">
      <c r="A253" s="15" t="s">
        <v>380</v>
      </c>
      <c r="B253" s="16">
        <v>14.0</v>
      </c>
      <c r="C253" s="16">
        <v>15.0</v>
      </c>
      <c r="D253" s="17">
        <v>44.864206087414</v>
      </c>
      <c r="E253" s="17">
        <v>-93.334019668623</v>
      </c>
      <c r="F253" s="16" t="s">
        <v>318</v>
      </c>
      <c r="G253" s="16" t="s">
        <v>17</v>
      </c>
      <c r="H253" s="33" t="s">
        <v>194</v>
      </c>
      <c r="I253" s="19">
        <v>8626.0</v>
      </c>
      <c r="J253" s="20"/>
      <c r="K253" s="11" t="str">
        <f>IFERROR(__xludf.DUMMYFUNCTION("IF(AND(REGEXMATCH($H253,""50( ?['fF]([oO]{2})?[tT]?)?( ?[eE][rR]{2}[oO][rR])"")=FALSE,$H253&lt;&gt;"""",$I253&lt;&gt;""""),HYPERLINK(""https://www.munzee.com/m/""&amp;$H253&amp;""/""&amp;$I253&amp;""/map/?lat=""&amp;$D253&amp;""&amp;lon=""&amp;$E253&amp;""&amp;type=""&amp;$G253&amp;""&amp;name=""&amp;SUBSTITUTE($A253,""#"&amp;""",""%23""),$H253&amp;""/""&amp;$I253),IF($H253&lt;&gt;"""",IF(REGEXMATCH($H253,""50( ?['fF]([oO]{2})?[tT]?)?( ?[eE][rR]{2}[oO][rR])""),HYPERLINK(""https://www.munzee.com/map/?sandbox=1&amp;lat=""&amp;$D253&amp;""&amp;lon=""&amp;$E253&amp;""&amp;name=""&amp;SUBSTITUTE($A253,""#"",""%23""),""SANDBOX"""&amp;"),HYPERLINK(""https://www.munzee.com/m/""&amp;$H253&amp;""/deploys/0/type/""&amp;IFNA(VLOOKUP($G253,IMPORTRANGE(""https://docs.google.com/spreadsheets/d/1DliIGyDywdzxhd4svtjaewR0p9Y5UBTMNMQ2PcXsqss"",""type data!E2:F""),2,FALSE),$G253)&amp;""/"",$H253)),""""))"),"warped6/8626")</f>
        <v>warped6/8626</v>
      </c>
      <c r="L253" s="19" t="b">
        <v>1</v>
      </c>
      <c r="M253" s="12">
        <f t="shared" si="1"/>
        <v>24</v>
      </c>
      <c r="N253" s="13"/>
      <c r="O253" s="13"/>
      <c r="P253" s="15"/>
    </row>
    <row r="254">
      <c r="A254" s="15" t="s">
        <v>381</v>
      </c>
      <c r="B254" s="16">
        <v>14.0</v>
      </c>
      <c r="C254" s="16">
        <v>16.0</v>
      </c>
      <c r="D254" s="17">
        <v>44.864206087234</v>
      </c>
      <c r="E254" s="17">
        <v>-93.33381688312</v>
      </c>
      <c r="F254" s="16" t="s">
        <v>318</v>
      </c>
      <c r="G254" s="16" t="s">
        <v>17</v>
      </c>
      <c r="H254" s="18" t="s">
        <v>219</v>
      </c>
      <c r="I254" s="19">
        <v>890.0</v>
      </c>
      <c r="J254" s="21"/>
      <c r="K254" s="11" t="str">
        <f>IFERROR(__xludf.DUMMYFUNCTION("IF(AND(REGEXMATCH($H254,""50( ?['fF]([oO]{2})?[tT]?)?( ?[eE][rR]{2}[oO][rR])"")=FALSE,$H254&lt;&gt;"""",$I254&lt;&gt;""""),HYPERLINK(""https://www.munzee.com/m/""&amp;$H254&amp;""/""&amp;$I254&amp;""/map/?lat=""&amp;$D254&amp;""&amp;lon=""&amp;$E254&amp;""&amp;type=""&amp;$G254&amp;""&amp;name=""&amp;SUBSTITUTE($A254,""#"&amp;""",""%23""),$H254&amp;""/""&amp;$I254),IF($H254&lt;&gt;"""",IF(REGEXMATCH($H254,""50( ?['fF]([oO]{2})?[tT]?)?( ?[eE][rR]{2}[oO][rR])""),HYPERLINK(""https://www.munzee.com/map/?sandbox=1&amp;lat=""&amp;$D254&amp;""&amp;lon=""&amp;$E254&amp;""&amp;name=""&amp;SUBSTITUTE($A254,""#"",""%23""),""SANDBOX"""&amp;"),HYPERLINK(""https://www.munzee.com/m/""&amp;$H254&amp;""/deploys/0/type/""&amp;IFNA(VLOOKUP($G254,IMPORTRANGE(""https://docs.google.com/spreadsheets/d/1DliIGyDywdzxhd4svtjaewR0p9Y5UBTMNMQ2PcXsqss"",""type data!E2:F""),2,FALSE),$G254)&amp;""/"",$H254)),""""))"),"Quiltingisfuntoo/890")</f>
        <v>Quiltingisfuntoo/890</v>
      </c>
      <c r="L254" s="19" t="b">
        <v>1</v>
      </c>
      <c r="M254" s="12">
        <f t="shared" si="1"/>
        <v>8</v>
      </c>
      <c r="N254" s="13"/>
      <c r="O254" s="13"/>
      <c r="P254" s="29"/>
    </row>
    <row r="255">
      <c r="A255" s="15" t="s">
        <v>382</v>
      </c>
      <c r="B255" s="16">
        <v>14.0</v>
      </c>
      <c r="C255" s="16">
        <v>17.0</v>
      </c>
      <c r="D255" s="17">
        <v>44.864206087055</v>
      </c>
      <c r="E255" s="17">
        <v>-93.333614097616</v>
      </c>
      <c r="F255" s="16" t="s">
        <v>318</v>
      </c>
      <c r="G255" s="16" t="s">
        <v>17</v>
      </c>
      <c r="H255" s="18" t="s">
        <v>58</v>
      </c>
      <c r="I255" s="19">
        <v>727.0</v>
      </c>
      <c r="J255" s="20"/>
      <c r="K255" s="11" t="str">
        <f>IFERROR(__xludf.DUMMYFUNCTION("IF(AND(REGEXMATCH($H255,""50( ?['fF]([oO]{2})?[tT]?)?( ?[eE][rR]{2}[oO][rR])"")=FALSE,$H255&lt;&gt;"""",$I255&lt;&gt;""""),HYPERLINK(""https://www.munzee.com/m/""&amp;$H255&amp;""/""&amp;$I255&amp;""/map/?lat=""&amp;$D255&amp;""&amp;lon=""&amp;$E255&amp;""&amp;type=""&amp;$G255&amp;""&amp;name=""&amp;SUBSTITUTE($A255,""#"&amp;""",""%23""),$H255&amp;""/""&amp;$I255),IF($H255&lt;&gt;"""",IF(REGEXMATCH($H255,""50( ?['fF]([oO]{2})?[tT]?)?( ?[eE][rR]{2}[oO][rR])""),HYPERLINK(""https://www.munzee.com/map/?sandbox=1&amp;lat=""&amp;$D255&amp;""&amp;lon=""&amp;$E255&amp;""&amp;name=""&amp;SUBSTITUTE($A255,""#"",""%23""),""SANDBOX"""&amp;"),HYPERLINK(""https://www.munzee.com/m/""&amp;$H255&amp;""/deploys/0/type/""&amp;IFNA(VLOOKUP($G255,IMPORTRANGE(""https://docs.google.com/spreadsheets/d/1DliIGyDywdzxhd4svtjaewR0p9Y5UBTMNMQ2PcXsqss"",""type data!E2:F""),2,FALSE),$G255)&amp;""/"",$H255)),""""))"),"cdwilliams1/727")</f>
        <v>cdwilliams1/727</v>
      </c>
      <c r="L255" s="19" t="b">
        <v>1</v>
      </c>
      <c r="M255" s="12">
        <f t="shared" si="1"/>
        <v>10</v>
      </c>
      <c r="N255" s="13"/>
      <c r="O255" s="13"/>
      <c r="P255" s="29"/>
    </row>
    <row r="256">
      <c r="A256" s="15" t="s">
        <v>383</v>
      </c>
      <c r="B256" s="16">
        <v>14.0</v>
      </c>
      <c r="C256" s="16">
        <v>18.0</v>
      </c>
      <c r="D256" s="17">
        <v>44.864206086875</v>
      </c>
      <c r="E256" s="17">
        <v>-93.333411312113</v>
      </c>
      <c r="F256" s="16" t="s">
        <v>41</v>
      </c>
      <c r="G256" s="16" t="s">
        <v>17</v>
      </c>
      <c r="H256" s="18" t="s">
        <v>95</v>
      </c>
      <c r="I256" s="19">
        <v>1497.0</v>
      </c>
      <c r="J256" s="21"/>
      <c r="K256" s="11" t="str">
        <f>IFERROR(__xludf.DUMMYFUNCTION("IF(AND(REGEXMATCH($H256,""50( ?['fF]([oO]{2})?[tT]?)?( ?[eE][rR]{2}[oO][rR])"")=FALSE,$H256&lt;&gt;"""",$I256&lt;&gt;""""),HYPERLINK(""https://www.munzee.com/m/""&amp;$H256&amp;""/""&amp;$I256&amp;""/map/?lat=""&amp;$D256&amp;""&amp;lon=""&amp;$E256&amp;""&amp;type=""&amp;$G256&amp;""&amp;name=""&amp;SUBSTITUTE($A256,""#"&amp;""",""%23""),$H256&amp;""/""&amp;$I256),IF($H256&lt;&gt;"""",IF(REGEXMATCH($H256,""50( ?['fF]([oO]{2})?[tT]?)?( ?[eE][rR]{2}[oO][rR])""),HYPERLINK(""https://www.munzee.com/map/?sandbox=1&amp;lat=""&amp;$D256&amp;""&amp;lon=""&amp;$E256&amp;""&amp;name=""&amp;SUBSTITUTE($A256,""#"",""%23""),""SANDBOX"""&amp;"),HYPERLINK(""https://www.munzee.com/m/""&amp;$H256&amp;""/deploys/0/type/""&amp;IFNA(VLOOKUP($G256,IMPORTRANGE(""https://docs.google.com/spreadsheets/d/1DliIGyDywdzxhd4svtjaewR0p9Y5UBTMNMQ2PcXsqss"",""type data!E2:F""),2,FALSE),$G256)&amp;""/"",$H256)),""""))"),"munzeepa/1497")</f>
        <v>munzeepa/1497</v>
      </c>
      <c r="L256" s="19" t="b">
        <v>1</v>
      </c>
      <c r="M256" s="12">
        <f t="shared" si="1"/>
        <v>20</v>
      </c>
      <c r="N256" s="13"/>
      <c r="O256" s="13"/>
      <c r="P256" s="15"/>
    </row>
    <row r="257">
      <c r="A257" s="15" t="s">
        <v>384</v>
      </c>
      <c r="B257" s="16">
        <v>14.0</v>
      </c>
      <c r="C257" s="16">
        <v>19.0</v>
      </c>
      <c r="D257" s="17">
        <v>44.864206086696</v>
      </c>
      <c r="E257" s="17">
        <v>-93.33320852661</v>
      </c>
      <c r="F257" s="16" t="s">
        <v>41</v>
      </c>
      <c r="G257" s="16" t="s">
        <v>17</v>
      </c>
      <c r="H257" s="18" t="s">
        <v>99</v>
      </c>
      <c r="I257" s="19">
        <v>1359.0</v>
      </c>
      <c r="J257" s="21"/>
      <c r="K257" s="11" t="str">
        <f>IFERROR(__xludf.DUMMYFUNCTION("IF(AND(REGEXMATCH($H257,""50( ?['fF]([oO]{2})?[tT]?)?( ?[eE][rR]{2}[oO][rR])"")=FALSE,$H257&lt;&gt;"""",$I257&lt;&gt;""""),HYPERLINK(""https://www.munzee.com/m/""&amp;$H257&amp;""/""&amp;$I257&amp;""/map/?lat=""&amp;$D257&amp;""&amp;lon=""&amp;$E257&amp;""&amp;type=""&amp;$G257&amp;""&amp;name=""&amp;SUBSTITUTE($A257,""#"&amp;""",""%23""),$H257&amp;""/""&amp;$I257),IF($H257&lt;&gt;"""",IF(REGEXMATCH($H257,""50( ?['fF]([oO]{2})?[tT]?)?( ?[eE][rR]{2}[oO][rR])""),HYPERLINK(""https://www.munzee.com/map/?sandbox=1&amp;lat=""&amp;$D257&amp;""&amp;lon=""&amp;$E257&amp;""&amp;name=""&amp;SUBSTITUTE($A257,""#"",""%23""),""SANDBOX"""&amp;"),HYPERLINK(""https://www.munzee.com/m/""&amp;$H257&amp;""/deploys/0/type/""&amp;IFNA(VLOOKUP($G257,IMPORTRANGE(""https://docs.google.com/spreadsheets/d/1DliIGyDywdzxhd4svtjaewR0p9Y5UBTMNMQ2PcXsqss"",""type data!E2:F""),2,FALSE),$G257)&amp;""/"",$H257)),""""))"),"jsamundson/1359")</f>
        <v>jsamundson/1359</v>
      </c>
      <c r="L257" s="19" t="b">
        <v>1</v>
      </c>
      <c r="M257" s="12">
        <f t="shared" si="1"/>
        <v>20</v>
      </c>
      <c r="N257" s="13"/>
      <c r="O257" s="13"/>
      <c r="P257" s="29"/>
    </row>
    <row r="258">
      <c r="A258" s="15" t="s">
        <v>385</v>
      </c>
      <c r="B258" s="16">
        <v>14.0</v>
      </c>
      <c r="C258" s="16">
        <v>20.0</v>
      </c>
      <c r="D258" s="17">
        <v>44.864206086516</v>
      </c>
      <c r="E258" s="17">
        <v>-93.333005741106</v>
      </c>
      <c r="F258" s="16" t="s">
        <v>41</v>
      </c>
      <c r="G258" s="16" t="s">
        <v>17</v>
      </c>
      <c r="H258" s="18" t="s">
        <v>386</v>
      </c>
      <c r="I258" s="19">
        <v>5737.0</v>
      </c>
      <c r="J258" s="21"/>
      <c r="K258" s="11" t="str">
        <f>IFERROR(__xludf.DUMMYFUNCTION("IF(AND(REGEXMATCH($H258,""50( ?['fF]([oO]{2})?[tT]?)?( ?[eE][rR]{2}[oO][rR])"")=FALSE,$H258&lt;&gt;"""",$I258&lt;&gt;""""),HYPERLINK(""https://www.munzee.com/m/""&amp;$H258&amp;""/""&amp;$I258&amp;""/map/?lat=""&amp;$D258&amp;""&amp;lon=""&amp;$E258&amp;""&amp;type=""&amp;$G258&amp;""&amp;name=""&amp;SUBSTITUTE($A258,""#"&amp;""",""%23""),$H258&amp;""/""&amp;$I258),IF($H258&lt;&gt;"""",IF(REGEXMATCH($H258,""50( ?['fF]([oO]{2})?[tT]?)?( ?[eE][rR]{2}[oO][rR])""),HYPERLINK(""https://www.munzee.com/map/?sandbox=1&amp;lat=""&amp;$D258&amp;""&amp;lon=""&amp;$E258&amp;""&amp;name=""&amp;SUBSTITUTE($A258,""#"",""%23""),""SANDBOX"""&amp;"),HYPERLINK(""https://www.munzee.com/m/""&amp;$H258&amp;""/deploys/0/type/""&amp;IFNA(VLOOKUP($G258,IMPORTRANGE(""https://docs.google.com/spreadsheets/d/1DliIGyDywdzxhd4svtjaewR0p9Y5UBTMNMQ2PcXsqss"",""type data!E2:F""),2,FALSE),$G258)&amp;""/"",$H258)),""""))"),"Jellybean88/5737")</f>
        <v>Jellybean88/5737</v>
      </c>
      <c r="L258" s="19" t="b">
        <v>1</v>
      </c>
      <c r="M258" s="12">
        <f t="shared" si="1"/>
        <v>1</v>
      </c>
      <c r="N258" s="13"/>
      <c r="O258" s="13"/>
      <c r="P258" s="29"/>
    </row>
    <row r="259">
      <c r="A259" s="15" t="s">
        <v>387</v>
      </c>
      <c r="B259" s="16">
        <v>14.0</v>
      </c>
      <c r="C259" s="16">
        <v>21.0</v>
      </c>
      <c r="D259" s="17">
        <v>44.864206086337</v>
      </c>
      <c r="E259" s="17">
        <v>-93.332802955603</v>
      </c>
      <c r="F259" s="16" t="s">
        <v>41</v>
      </c>
      <c r="G259" s="16" t="s">
        <v>17</v>
      </c>
      <c r="H259" s="36" t="s">
        <v>388</v>
      </c>
      <c r="I259" s="19">
        <v>10023.0</v>
      </c>
      <c r="J259" s="20"/>
      <c r="K259" s="11" t="str">
        <f>IFERROR(__xludf.DUMMYFUNCTION("IF(AND(REGEXMATCH($H259,""50( ?['fF]([oO]{2})?[tT]?)?( ?[eE][rR]{2}[oO][rR])"")=FALSE,$H259&lt;&gt;"""",$I259&lt;&gt;""""),HYPERLINK(""https://www.munzee.com/m/""&amp;$H259&amp;""/""&amp;$I259&amp;""/map/?lat=""&amp;$D259&amp;""&amp;lon=""&amp;$E259&amp;""&amp;type=""&amp;$G259&amp;""&amp;name=""&amp;SUBSTITUTE($A259,""#"&amp;""",""%23""),$H259&amp;""/""&amp;$I259),IF($H259&lt;&gt;"""",IF(REGEXMATCH($H259,""50( ?['fF]([oO]{2})?[tT]?)?( ?[eE][rR]{2}[oO][rR])""),HYPERLINK(""https://www.munzee.com/map/?sandbox=1&amp;lat=""&amp;$D259&amp;""&amp;lon=""&amp;$E259&amp;""&amp;name=""&amp;SUBSTITUTE($A259,""#"",""%23""),""SANDBOX"""&amp;"),HYPERLINK(""https://www.munzee.com/m/""&amp;$H259&amp;""/deploys/0/type/""&amp;IFNA(VLOOKUP($G259,IMPORTRANGE(""https://docs.google.com/spreadsheets/d/1DliIGyDywdzxhd4svtjaewR0p9Y5UBTMNMQ2PcXsqss"",""type data!E2:F""),2,FALSE),$G259)&amp;""/"",$H259)),""""))"),"ryves/10023")</f>
        <v>ryves/10023</v>
      </c>
      <c r="L259" s="19" t="b">
        <v>1</v>
      </c>
      <c r="M259" s="12">
        <f t="shared" si="1"/>
        <v>2</v>
      </c>
      <c r="N259" s="13"/>
      <c r="O259" s="13"/>
      <c r="P259" s="29"/>
    </row>
    <row r="260">
      <c r="A260" s="15" t="s">
        <v>389</v>
      </c>
      <c r="B260" s="16">
        <v>14.0</v>
      </c>
      <c r="C260" s="16">
        <v>22.0</v>
      </c>
      <c r="D260" s="17">
        <v>44.864206086158</v>
      </c>
      <c r="E260" s="17">
        <v>-93.3326001701</v>
      </c>
      <c r="F260" s="16" t="s">
        <v>41</v>
      </c>
      <c r="G260" s="16" t="s">
        <v>17</v>
      </c>
      <c r="H260" s="33" t="s">
        <v>194</v>
      </c>
      <c r="I260" s="19">
        <v>8485.0</v>
      </c>
      <c r="J260" s="20"/>
      <c r="K260" s="11" t="str">
        <f>IFERROR(__xludf.DUMMYFUNCTION("IF(AND(REGEXMATCH($H260,""50( ?['fF]([oO]{2})?[tT]?)?( ?[eE][rR]{2}[oO][rR])"")=FALSE,$H260&lt;&gt;"""",$I260&lt;&gt;""""),HYPERLINK(""https://www.munzee.com/m/""&amp;$H260&amp;""/""&amp;$I260&amp;""/map/?lat=""&amp;$D260&amp;""&amp;lon=""&amp;$E260&amp;""&amp;type=""&amp;$G260&amp;""&amp;name=""&amp;SUBSTITUTE($A260,""#"&amp;""",""%23""),$H260&amp;""/""&amp;$I260),IF($H260&lt;&gt;"""",IF(REGEXMATCH($H260,""50( ?['fF]([oO]{2})?[tT]?)?( ?[eE][rR]{2}[oO][rR])""),HYPERLINK(""https://www.munzee.com/map/?sandbox=1&amp;lat=""&amp;$D260&amp;""&amp;lon=""&amp;$E260&amp;""&amp;name=""&amp;SUBSTITUTE($A260,""#"",""%23""),""SANDBOX"""&amp;"),HYPERLINK(""https://www.munzee.com/m/""&amp;$H260&amp;""/deploys/0/type/""&amp;IFNA(VLOOKUP($G260,IMPORTRANGE(""https://docs.google.com/spreadsheets/d/1DliIGyDywdzxhd4svtjaewR0p9Y5UBTMNMQ2PcXsqss"",""type data!E2:F""),2,FALSE),$G260)&amp;""/"",$H260)),""""))"),"warped6/8485")</f>
        <v>warped6/8485</v>
      </c>
      <c r="L260" s="19" t="b">
        <v>1</v>
      </c>
      <c r="M260" s="12">
        <f t="shared" si="1"/>
        <v>24</v>
      </c>
      <c r="N260" s="13"/>
      <c r="O260" s="13"/>
      <c r="P260" s="29"/>
    </row>
    <row r="261">
      <c r="A261" s="15" t="s">
        <v>390</v>
      </c>
      <c r="B261" s="16">
        <v>14.0</v>
      </c>
      <c r="C261" s="16">
        <v>23.0</v>
      </c>
      <c r="D261" s="17">
        <v>44.864206085978</v>
      </c>
      <c r="E261" s="17">
        <v>-93.332397384596</v>
      </c>
      <c r="F261" s="16" t="s">
        <v>16</v>
      </c>
      <c r="G261" s="16" t="s">
        <v>17</v>
      </c>
      <c r="H261" s="18" t="s">
        <v>121</v>
      </c>
      <c r="I261" s="19">
        <v>2369.0</v>
      </c>
      <c r="J261" s="20"/>
      <c r="K261" s="11" t="str">
        <f>IFERROR(__xludf.DUMMYFUNCTION("IF(AND(REGEXMATCH($H261,""50( ?['fF]([oO]{2})?[tT]?)?( ?[eE][rR]{2}[oO][rR])"")=FALSE,$H261&lt;&gt;"""",$I261&lt;&gt;""""),HYPERLINK(""https://www.munzee.com/m/""&amp;$H261&amp;""/""&amp;$I261&amp;""/map/?lat=""&amp;$D261&amp;""&amp;lon=""&amp;$E261&amp;""&amp;type=""&amp;$G261&amp;""&amp;name=""&amp;SUBSTITUTE($A261,""#"&amp;""",""%23""),$H261&amp;""/""&amp;$I261),IF($H261&lt;&gt;"""",IF(REGEXMATCH($H261,""50( ?['fF]([oO]{2})?[tT]?)?( ?[eE][rR]{2}[oO][rR])""),HYPERLINK(""https://www.munzee.com/map/?sandbox=1&amp;lat=""&amp;$D261&amp;""&amp;lon=""&amp;$E261&amp;""&amp;name=""&amp;SUBSTITUTE($A261,""#"",""%23""),""SANDBOX"""&amp;"),HYPERLINK(""https://www.munzee.com/m/""&amp;$H261&amp;""/deploys/0/type/""&amp;IFNA(VLOOKUP($G261,IMPORTRANGE(""https://docs.google.com/spreadsheets/d/1DliIGyDywdzxhd4svtjaewR0p9Y5UBTMNMQ2PcXsqss"",""type data!E2:F""),2,FALSE),$G261)&amp;""/"",$H261)),""""))"),"orky99/2369")</f>
        <v>orky99/2369</v>
      </c>
      <c r="L261" s="19" t="b">
        <v>1</v>
      </c>
      <c r="M261" s="12">
        <f t="shared" si="1"/>
        <v>4</v>
      </c>
      <c r="N261" s="13"/>
      <c r="O261" s="13"/>
      <c r="P261" s="29"/>
    </row>
    <row r="262">
      <c r="A262" s="15" t="s">
        <v>391</v>
      </c>
      <c r="B262" s="16">
        <v>15.0</v>
      </c>
      <c r="C262" s="16">
        <v>6.0</v>
      </c>
      <c r="D262" s="17">
        <v>44.864062358583</v>
      </c>
      <c r="E262" s="17">
        <v>-93.335844748785</v>
      </c>
      <c r="F262" s="16" t="s">
        <v>16</v>
      </c>
      <c r="G262" s="16" t="s">
        <v>17</v>
      </c>
      <c r="H262" s="18" t="s">
        <v>162</v>
      </c>
      <c r="I262" s="19">
        <v>2388.0</v>
      </c>
      <c r="J262" s="21"/>
      <c r="K262" s="11" t="str">
        <f>IFERROR(__xludf.DUMMYFUNCTION("IF(AND(REGEXMATCH($H262,""50( ?['fF]([oO]{2})?[tT]?)?( ?[eE][rR]{2}[oO][rR])"")=FALSE,$H262&lt;&gt;"""",$I262&lt;&gt;""""),HYPERLINK(""https://www.munzee.com/m/""&amp;$H262&amp;""/""&amp;$I262&amp;""/map/?lat=""&amp;$D262&amp;""&amp;lon=""&amp;$E262&amp;""&amp;type=""&amp;$G262&amp;""&amp;name=""&amp;SUBSTITUTE($A262,""#"&amp;""",""%23""),$H262&amp;""/""&amp;$I262),IF($H262&lt;&gt;"""",IF(REGEXMATCH($H262,""50( ?['fF]([oO]{2})?[tT]?)?( ?[eE][rR]{2}[oO][rR])""),HYPERLINK(""https://www.munzee.com/map/?sandbox=1&amp;lat=""&amp;$D262&amp;""&amp;lon=""&amp;$E262&amp;""&amp;name=""&amp;SUBSTITUTE($A262,""#"",""%23""),""SANDBOX"""&amp;"),HYPERLINK(""https://www.munzee.com/m/""&amp;$H262&amp;""/deploys/0/type/""&amp;IFNA(VLOOKUP($G262,IMPORTRANGE(""https://docs.google.com/spreadsheets/d/1DliIGyDywdzxhd4svtjaewR0p9Y5UBTMNMQ2PcXsqss"",""type data!E2:F""),2,FALSE),$G262)&amp;""/"",$H262)),""""))"),"CoffeeBender/2388")</f>
        <v>CoffeeBender/2388</v>
      </c>
      <c r="L262" s="19" t="b">
        <v>1</v>
      </c>
      <c r="M262" s="12">
        <f t="shared" si="1"/>
        <v>9</v>
      </c>
      <c r="N262" s="13"/>
      <c r="O262" s="13"/>
      <c r="P262" s="15"/>
    </row>
    <row r="263">
      <c r="A263" s="15" t="s">
        <v>392</v>
      </c>
      <c r="B263" s="16">
        <v>15.0</v>
      </c>
      <c r="C263" s="16">
        <v>7.0</v>
      </c>
      <c r="D263" s="17">
        <v>44.864062358404</v>
      </c>
      <c r="E263" s="17">
        <v>-93.335641963788</v>
      </c>
      <c r="F263" s="16" t="s">
        <v>16</v>
      </c>
      <c r="G263" s="16" t="s">
        <v>17</v>
      </c>
      <c r="H263" s="18" t="s">
        <v>375</v>
      </c>
      <c r="I263" s="19">
        <v>2129.0</v>
      </c>
      <c r="J263" s="20"/>
      <c r="K263" s="11" t="str">
        <f>IFERROR(__xludf.DUMMYFUNCTION("IF(AND(REGEXMATCH($H263,""50( ?['fF]([oO]{2})?[tT]?)?( ?[eE][rR]{2}[oO][rR])"")=FALSE,$H263&lt;&gt;"""",$I263&lt;&gt;""""),HYPERLINK(""https://www.munzee.com/m/""&amp;$H263&amp;""/""&amp;$I263&amp;""/map/?lat=""&amp;$D263&amp;""&amp;lon=""&amp;$E263&amp;""&amp;type=""&amp;$G263&amp;""&amp;name=""&amp;SUBSTITUTE($A263,""#"&amp;""",""%23""),$H263&amp;""/""&amp;$I263),IF($H263&lt;&gt;"""",IF(REGEXMATCH($H263,""50( ?['fF]([oO]{2})?[tT]?)?( ?[eE][rR]{2}[oO][rR])""),HYPERLINK(""https://www.munzee.com/map/?sandbox=1&amp;lat=""&amp;$D263&amp;""&amp;lon=""&amp;$E263&amp;""&amp;name=""&amp;SUBSTITUTE($A263,""#"",""%23""),""SANDBOX"""&amp;"),HYPERLINK(""https://www.munzee.com/m/""&amp;$H263&amp;""/deploys/0/type/""&amp;IFNA(VLOOKUP($G263,IMPORTRANGE(""https://docs.google.com/spreadsheets/d/1DliIGyDywdzxhd4svtjaewR0p9Y5UBTMNMQ2PcXsqss"",""type data!E2:F""),2,FALSE),$G263)&amp;""/"",$H263)),""""))"),"Fire2Water/2129")</f>
        <v>Fire2Water/2129</v>
      </c>
      <c r="L263" s="19" t="b">
        <v>1</v>
      </c>
      <c r="M263" s="12">
        <f t="shared" si="1"/>
        <v>5</v>
      </c>
      <c r="N263" s="13"/>
      <c r="O263" s="13"/>
      <c r="P263" s="15"/>
    </row>
    <row r="264">
      <c r="A264" s="15" t="s">
        <v>393</v>
      </c>
      <c r="B264" s="16">
        <v>15.0</v>
      </c>
      <c r="C264" s="16">
        <v>8.0</v>
      </c>
      <c r="D264" s="17">
        <v>44.864062358224</v>
      </c>
      <c r="E264" s="17">
        <v>-93.335439178791</v>
      </c>
      <c r="F264" s="16" t="s">
        <v>41</v>
      </c>
      <c r="G264" s="16" t="s">
        <v>17</v>
      </c>
      <c r="H264" s="18" t="s">
        <v>273</v>
      </c>
      <c r="I264" s="19">
        <v>1766.0</v>
      </c>
      <c r="J264" s="28"/>
      <c r="K264" s="11" t="str">
        <f>IFERROR(__xludf.DUMMYFUNCTION("IF(AND(REGEXMATCH($H264,""50( ?['fF]([oO]{2})?[tT]?)?( ?[eE][rR]{2}[oO][rR])"")=FALSE,$H264&lt;&gt;"""",$I264&lt;&gt;""""),HYPERLINK(""https://www.munzee.com/m/""&amp;$H264&amp;""/""&amp;$I264&amp;""/map/?lat=""&amp;$D264&amp;""&amp;lon=""&amp;$E264&amp;""&amp;type=""&amp;$G264&amp;""&amp;name=""&amp;SUBSTITUTE($A264,""#"&amp;""",""%23""),$H264&amp;""/""&amp;$I264),IF($H264&lt;&gt;"""",IF(REGEXMATCH($H264,""50( ?['fF]([oO]{2})?[tT]?)?( ?[eE][rR]{2}[oO][rR])""),HYPERLINK(""https://www.munzee.com/map/?sandbox=1&amp;lat=""&amp;$D264&amp;""&amp;lon=""&amp;$E264&amp;""&amp;name=""&amp;SUBSTITUTE($A264,""#"",""%23""),""SANDBOX"""&amp;"),HYPERLINK(""https://www.munzee.com/m/""&amp;$H264&amp;""/deploys/0/type/""&amp;IFNA(VLOOKUP($G264,IMPORTRANGE(""https://docs.google.com/spreadsheets/d/1DliIGyDywdzxhd4svtjaewR0p9Y5UBTMNMQ2PcXsqss"",""type data!E2:F""),2,FALSE),$G264)&amp;""/"",$H264)),""""))"),"yhtak57/1766")</f>
        <v>yhtak57/1766</v>
      </c>
      <c r="L264" s="19" t="b">
        <v>1</v>
      </c>
      <c r="M264" s="12">
        <f t="shared" si="1"/>
        <v>12</v>
      </c>
      <c r="N264" s="13"/>
      <c r="O264" s="13"/>
      <c r="P264" s="15"/>
    </row>
    <row r="265">
      <c r="A265" s="15" t="s">
        <v>394</v>
      </c>
      <c r="B265" s="16">
        <v>15.0</v>
      </c>
      <c r="C265" s="16">
        <v>9.0</v>
      </c>
      <c r="D265" s="17">
        <v>44.864062358045</v>
      </c>
      <c r="E265" s="17">
        <v>-93.335236393794</v>
      </c>
      <c r="F265" s="16" t="s">
        <v>41</v>
      </c>
      <c r="G265" s="16" t="s">
        <v>17</v>
      </c>
      <c r="H265" s="18" t="s">
        <v>67</v>
      </c>
      <c r="I265" s="19">
        <v>2951.0</v>
      </c>
      <c r="J265" s="20"/>
      <c r="K265" s="11" t="str">
        <f>IFERROR(__xludf.DUMMYFUNCTION("IF(AND(REGEXMATCH($H265,""50( ?['fF]([oO]{2})?[tT]?)?( ?[eE][rR]{2}[oO][rR])"")=FALSE,$H265&lt;&gt;"""",$I265&lt;&gt;""""),HYPERLINK(""https://www.munzee.com/m/""&amp;$H265&amp;""/""&amp;$I265&amp;""/map/?lat=""&amp;$D265&amp;""&amp;lon=""&amp;$E265&amp;""&amp;type=""&amp;$G265&amp;""&amp;name=""&amp;SUBSTITUTE($A265,""#"&amp;""",""%23""),$H265&amp;""/""&amp;$I265),IF($H265&lt;&gt;"""",IF(REGEXMATCH($H265,""50( ?['fF]([oO]{2})?[tT]?)?( ?[eE][rR]{2}[oO][rR])""),HYPERLINK(""https://www.munzee.com/map/?sandbox=1&amp;lat=""&amp;$D265&amp;""&amp;lon=""&amp;$E265&amp;""&amp;name=""&amp;SUBSTITUTE($A265,""#"",""%23""),""SANDBOX"""&amp;"),HYPERLINK(""https://www.munzee.com/m/""&amp;$H265&amp;""/deploys/0/type/""&amp;IFNA(VLOOKUP($G265,IMPORTRANGE(""https://docs.google.com/spreadsheets/d/1DliIGyDywdzxhd4svtjaewR0p9Y5UBTMNMQ2PcXsqss"",""type data!E2:F""),2,FALSE),$G265)&amp;""/"",$H265)),""""))"),"familyd/2951")</f>
        <v>familyd/2951</v>
      </c>
      <c r="L265" s="19" t="b">
        <v>1</v>
      </c>
      <c r="M265" s="12">
        <f t="shared" si="1"/>
        <v>3</v>
      </c>
      <c r="N265" s="13"/>
      <c r="O265" s="13"/>
      <c r="P265" s="15"/>
    </row>
    <row r="266">
      <c r="A266" s="15" t="s">
        <v>395</v>
      </c>
      <c r="B266" s="16">
        <v>15.0</v>
      </c>
      <c r="C266" s="16">
        <v>10.0</v>
      </c>
      <c r="D266" s="17">
        <v>44.864062357865</v>
      </c>
      <c r="E266" s="17">
        <v>-93.335033608797</v>
      </c>
      <c r="F266" s="16" t="s">
        <v>41</v>
      </c>
      <c r="G266" s="16" t="s">
        <v>17</v>
      </c>
      <c r="H266" s="18" t="s">
        <v>69</v>
      </c>
      <c r="I266" s="19">
        <v>1521.0</v>
      </c>
      <c r="J266" s="20"/>
      <c r="K266" s="11" t="str">
        <f>IFERROR(__xludf.DUMMYFUNCTION("IF(AND(REGEXMATCH($H266,""50( ?['fF]([oO]{2})?[tT]?)?( ?[eE][rR]{2}[oO][rR])"")=FALSE,$H266&lt;&gt;"""",$I266&lt;&gt;""""),HYPERLINK(""https://www.munzee.com/m/""&amp;$H266&amp;""/""&amp;$I266&amp;""/map/?lat=""&amp;$D266&amp;""&amp;lon=""&amp;$E266&amp;""&amp;type=""&amp;$G266&amp;""&amp;name=""&amp;SUBSTITUTE($A266,""#"&amp;""",""%23""),$H266&amp;""/""&amp;$I266),IF($H266&lt;&gt;"""",IF(REGEXMATCH($H266,""50( ?['fF]([oO]{2})?[tT]?)?( ?[eE][rR]{2}[oO][rR])""),HYPERLINK(""https://www.munzee.com/map/?sandbox=1&amp;lat=""&amp;$D266&amp;""&amp;lon=""&amp;$E266&amp;""&amp;name=""&amp;SUBSTITUTE($A266,""#"",""%23""),""SANDBOX"""&amp;"),HYPERLINK(""https://www.munzee.com/m/""&amp;$H266&amp;""/deploys/0/type/""&amp;IFNA(VLOOKUP($G266,IMPORTRANGE(""https://docs.google.com/spreadsheets/d/1DliIGyDywdzxhd4svtjaewR0p9Y5UBTMNMQ2PcXsqss"",""type data!E2:F""),2,FALSE),$G266)&amp;""/"",$H266)),""""))"),"Jenna2sipz/1521")</f>
        <v>Jenna2sipz/1521</v>
      </c>
      <c r="L266" s="19" t="b">
        <v>1</v>
      </c>
      <c r="M266" s="12">
        <f t="shared" si="1"/>
        <v>3</v>
      </c>
      <c r="N266" s="13"/>
      <c r="O266" s="13"/>
      <c r="P266" s="15"/>
    </row>
    <row r="267">
      <c r="A267" s="15" t="s">
        <v>396</v>
      </c>
      <c r="B267" s="16">
        <v>15.0</v>
      </c>
      <c r="C267" s="16">
        <v>11.0</v>
      </c>
      <c r="D267" s="17">
        <v>44.864062357686</v>
      </c>
      <c r="E267" s="17">
        <v>-93.3348308238</v>
      </c>
      <c r="F267" s="16" t="s">
        <v>41</v>
      </c>
      <c r="G267" s="16" t="s">
        <v>17</v>
      </c>
      <c r="H267" s="18" t="s">
        <v>316</v>
      </c>
      <c r="I267" s="19">
        <v>2679.0</v>
      </c>
      <c r="J267" s="21"/>
      <c r="K267" s="11" t="str">
        <f>IFERROR(__xludf.DUMMYFUNCTION("IF(AND(REGEXMATCH($H267,""50( ?['fF]([oO]{2})?[tT]?)?( ?[eE][rR]{2}[oO][rR])"")=FALSE,$H267&lt;&gt;"""",$I267&lt;&gt;""""),HYPERLINK(""https://www.munzee.com/m/""&amp;$H267&amp;""/""&amp;$I267&amp;""/map/?lat=""&amp;$D267&amp;""&amp;lon=""&amp;$E267&amp;""&amp;type=""&amp;$G267&amp;""&amp;name=""&amp;SUBSTITUTE($A267,""#"&amp;""",""%23""),$H267&amp;""/""&amp;$I267),IF($H267&lt;&gt;"""",IF(REGEXMATCH($H267,""50( ?['fF]([oO]{2})?[tT]?)?( ?[eE][rR]{2}[oO][rR])""),HYPERLINK(""https://www.munzee.com/map/?sandbox=1&amp;lat=""&amp;$D267&amp;""&amp;lon=""&amp;$E267&amp;""&amp;name=""&amp;SUBSTITUTE($A267,""#"",""%23""),""SANDBOX"""&amp;"),HYPERLINK(""https://www.munzee.com/m/""&amp;$H267&amp;""/deploys/0/type/""&amp;IFNA(VLOOKUP($G267,IMPORTRANGE(""https://docs.google.com/spreadsheets/d/1DliIGyDywdzxhd4svtjaewR0p9Y5UBTMNMQ2PcXsqss"",""type data!E2:F""),2,FALSE),$G267)&amp;""/"",$H267)),""""))"),"mortonfox/2679")</f>
        <v>mortonfox/2679</v>
      </c>
      <c r="L267" s="19" t="b">
        <v>1</v>
      </c>
      <c r="M267" s="12">
        <f t="shared" si="1"/>
        <v>3</v>
      </c>
      <c r="N267" s="13"/>
      <c r="O267" s="13"/>
      <c r="P267" s="15"/>
    </row>
    <row r="268">
      <c r="A268" s="15" t="s">
        <v>397</v>
      </c>
      <c r="B268" s="16">
        <v>15.0</v>
      </c>
      <c r="C268" s="16">
        <v>12.0</v>
      </c>
      <c r="D268" s="17">
        <v>44.864062357506</v>
      </c>
      <c r="E268" s="17">
        <v>-93.334628038803</v>
      </c>
      <c r="F268" s="16" t="s">
        <v>318</v>
      </c>
      <c r="G268" s="16" t="s">
        <v>17</v>
      </c>
      <c r="H268" s="18" t="s">
        <v>294</v>
      </c>
      <c r="I268" s="19">
        <v>2077.0</v>
      </c>
      <c r="J268" s="20"/>
      <c r="K268" s="11" t="str">
        <f>IFERROR(__xludf.DUMMYFUNCTION("IF(AND(REGEXMATCH($H268,""50( ?['fF]([oO]{2})?[tT]?)?( ?[eE][rR]{2}[oO][rR])"")=FALSE,$H268&lt;&gt;"""",$I268&lt;&gt;""""),HYPERLINK(""https://www.munzee.com/m/""&amp;$H268&amp;""/""&amp;$I268&amp;""/map/?lat=""&amp;$D268&amp;""&amp;lon=""&amp;$E268&amp;""&amp;type=""&amp;$G268&amp;""&amp;name=""&amp;SUBSTITUTE($A268,""#"&amp;""",""%23""),$H268&amp;""/""&amp;$I268),IF($H268&lt;&gt;"""",IF(REGEXMATCH($H268,""50( ?['fF]([oO]{2})?[tT]?)?( ?[eE][rR]{2}[oO][rR])""),HYPERLINK(""https://www.munzee.com/map/?sandbox=1&amp;lat=""&amp;$D268&amp;""&amp;lon=""&amp;$E268&amp;""&amp;name=""&amp;SUBSTITUTE($A268,""#"",""%23""),""SANDBOX"""&amp;"),HYPERLINK(""https://www.munzee.com/m/""&amp;$H268&amp;""/deploys/0/type/""&amp;IFNA(VLOOKUP($G268,IMPORTRANGE(""https://docs.google.com/spreadsheets/d/1DliIGyDywdzxhd4svtjaewR0p9Y5UBTMNMQ2PcXsqss"",""type data!E2:F""),2,FALSE),$G268)&amp;""/"",$H268)),""""))"),"munzeemags/2077")</f>
        <v>munzeemags/2077</v>
      </c>
      <c r="L268" s="19" t="b">
        <v>1</v>
      </c>
      <c r="M268" s="12">
        <f t="shared" si="1"/>
        <v>5</v>
      </c>
      <c r="N268" s="13"/>
      <c r="O268" s="13"/>
      <c r="P268" s="15"/>
    </row>
    <row r="269">
      <c r="A269" s="15" t="s">
        <v>398</v>
      </c>
      <c r="B269" s="16">
        <v>15.0</v>
      </c>
      <c r="C269" s="16">
        <v>13.0</v>
      </c>
      <c r="D269" s="17">
        <v>44.864062357327</v>
      </c>
      <c r="E269" s="17">
        <v>-93.334425253806</v>
      </c>
      <c r="F269" s="16" t="s">
        <v>318</v>
      </c>
      <c r="G269" s="16" t="s">
        <v>17</v>
      </c>
      <c r="H269" s="18" t="s">
        <v>331</v>
      </c>
      <c r="I269" s="19">
        <v>2340.0</v>
      </c>
      <c r="J269" s="20"/>
      <c r="K269" s="11" t="str">
        <f>IFERROR(__xludf.DUMMYFUNCTION("IF(AND(REGEXMATCH($H269,""50( ?['fF]([oO]{2})?[tT]?)?( ?[eE][rR]{2}[oO][rR])"")=FALSE,$H269&lt;&gt;"""",$I269&lt;&gt;""""),HYPERLINK(""https://www.munzee.com/m/""&amp;$H269&amp;""/""&amp;$I269&amp;""/map/?lat=""&amp;$D269&amp;""&amp;lon=""&amp;$E269&amp;""&amp;type=""&amp;$G269&amp;""&amp;name=""&amp;SUBSTITUTE($A269,""#"&amp;""",""%23""),$H269&amp;""/""&amp;$I269),IF($H269&lt;&gt;"""",IF(REGEXMATCH($H269,""50( ?['fF]([oO]{2})?[tT]?)?( ?[eE][rR]{2}[oO][rR])""),HYPERLINK(""https://www.munzee.com/map/?sandbox=1&amp;lat=""&amp;$D269&amp;""&amp;lon=""&amp;$E269&amp;""&amp;name=""&amp;SUBSTITUTE($A269,""#"",""%23""),""SANDBOX"""&amp;"),HYPERLINK(""https://www.munzee.com/m/""&amp;$H269&amp;""/deploys/0/type/""&amp;IFNA(VLOOKUP($G269,IMPORTRANGE(""https://docs.google.com/spreadsheets/d/1DliIGyDywdzxhd4svtjaewR0p9Y5UBTMNMQ2PcXsqss"",""type data!E2:F""),2,FALSE),$G269)&amp;""/"",$H269)),""""))"),"tlmeadowlark/2340")</f>
        <v>tlmeadowlark/2340</v>
      </c>
      <c r="L269" s="19" t="b">
        <v>1</v>
      </c>
      <c r="M269" s="12">
        <f t="shared" si="1"/>
        <v>3</v>
      </c>
      <c r="N269" s="13"/>
      <c r="O269" s="13"/>
      <c r="P269" s="15"/>
    </row>
    <row r="270">
      <c r="A270" s="15" t="s">
        <v>399</v>
      </c>
      <c r="B270" s="16">
        <v>15.0</v>
      </c>
      <c r="C270" s="16">
        <v>14.0</v>
      </c>
      <c r="D270" s="17">
        <v>44.864062357148</v>
      </c>
      <c r="E270" s="17">
        <v>-93.334222468809</v>
      </c>
      <c r="F270" s="16" t="s">
        <v>318</v>
      </c>
      <c r="G270" s="16" t="s">
        <v>17</v>
      </c>
      <c r="H270" s="18" t="s">
        <v>400</v>
      </c>
      <c r="I270" s="19">
        <v>3337.0</v>
      </c>
      <c r="J270" s="20"/>
      <c r="K270" s="11" t="str">
        <f>IFERROR(__xludf.DUMMYFUNCTION("IF(AND(REGEXMATCH($H270,""50( ?['fF]([oO]{2})?[tT]?)?( ?[eE][rR]{2}[oO][rR])"")=FALSE,$H270&lt;&gt;"""",$I270&lt;&gt;""""),HYPERLINK(""https://www.munzee.com/m/""&amp;$H270&amp;""/""&amp;$I270&amp;""/map/?lat=""&amp;$D270&amp;""&amp;lon=""&amp;$E270&amp;""&amp;type=""&amp;$G270&amp;""&amp;name=""&amp;SUBSTITUTE($A270,""#"&amp;""",""%23""),$H270&amp;""/""&amp;$I270),IF($H270&lt;&gt;"""",IF(REGEXMATCH($H270,""50( ?['fF]([oO]{2})?[tT]?)?( ?[eE][rR]{2}[oO][rR])""),HYPERLINK(""https://www.munzee.com/map/?sandbox=1&amp;lat=""&amp;$D270&amp;""&amp;lon=""&amp;$E270&amp;""&amp;name=""&amp;SUBSTITUTE($A270,""#"",""%23""),""SANDBOX"""&amp;"),HYPERLINK(""https://www.munzee.com/m/""&amp;$H270&amp;""/deploys/0/type/""&amp;IFNA(VLOOKUP($G270,IMPORTRANGE(""https://docs.google.com/spreadsheets/d/1DliIGyDywdzxhd4svtjaewR0p9Y5UBTMNMQ2PcXsqss"",""type data!E2:F""),2,FALSE),$G270)&amp;""/"",$H270)),""""))"),"floridafinder2/3337")</f>
        <v>floridafinder2/3337</v>
      </c>
      <c r="L270" s="19" t="b">
        <v>1</v>
      </c>
      <c r="M270" s="12">
        <f t="shared" si="1"/>
        <v>2</v>
      </c>
      <c r="N270" s="13"/>
      <c r="O270" s="13"/>
      <c r="P270" s="15"/>
    </row>
    <row r="271">
      <c r="A271" s="15" t="s">
        <v>401</v>
      </c>
      <c r="B271" s="16">
        <v>15.0</v>
      </c>
      <c r="C271" s="16">
        <v>15.0</v>
      </c>
      <c r="D271" s="17">
        <v>44.864062356968</v>
      </c>
      <c r="E271" s="17">
        <v>-93.334019683812</v>
      </c>
      <c r="F271" s="16" t="s">
        <v>318</v>
      </c>
      <c r="G271" s="16" t="s">
        <v>17</v>
      </c>
      <c r="H271" s="18" t="s">
        <v>402</v>
      </c>
      <c r="I271" s="19">
        <v>320.0</v>
      </c>
      <c r="J271" s="20"/>
      <c r="K271" s="11" t="str">
        <f>IFERROR(__xludf.DUMMYFUNCTION("IF(AND(REGEXMATCH($H271,""50( ?['fF]([oO]{2})?[tT]?)?( ?[eE][rR]{2}[oO][rR])"")=FALSE,$H271&lt;&gt;"""",$I271&lt;&gt;""""),HYPERLINK(""https://www.munzee.com/m/""&amp;$H271&amp;""/""&amp;$I271&amp;""/map/?lat=""&amp;$D271&amp;""&amp;lon=""&amp;$E271&amp;""&amp;type=""&amp;$G271&amp;""&amp;name=""&amp;SUBSTITUTE($A271,""#"&amp;""",""%23""),$H271&amp;""/""&amp;$I271),IF($H271&lt;&gt;"""",IF(REGEXMATCH($H271,""50( ?['fF]([oO]{2})?[tT]?)?( ?[eE][rR]{2}[oO][rR])""),HYPERLINK(""https://www.munzee.com/map/?sandbox=1&amp;lat=""&amp;$D271&amp;""&amp;lon=""&amp;$E271&amp;""&amp;name=""&amp;SUBSTITUTE($A271,""#"",""%23""),""SANDBOX"""&amp;"),HYPERLINK(""https://www.munzee.com/m/""&amp;$H271&amp;""/deploys/0/type/""&amp;IFNA(VLOOKUP($G271,IMPORTRANGE(""https://docs.google.com/spreadsheets/d/1DliIGyDywdzxhd4svtjaewR0p9Y5UBTMNMQ2PcXsqss"",""type data!E2:F""),2,FALSE),$G271)&amp;""/"",$H271)),""""))"),"geosphinx/320")</f>
        <v>geosphinx/320</v>
      </c>
      <c r="L271" s="19" t="b">
        <v>1</v>
      </c>
      <c r="M271" s="12">
        <f t="shared" si="1"/>
        <v>1</v>
      </c>
      <c r="N271" s="13"/>
      <c r="O271" s="13"/>
      <c r="P271" s="15"/>
    </row>
    <row r="272">
      <c r="A272" s="15" t="s">
        <v>403</v>
      </c>
      <c r="B272" s="16">
        <v>15.0</v>
      </c>
      <c r="C272" s="16">
        <v>16.0</v>
      </c>
      <c r="D272" s="17">
        <v>44.864062356789</v>
      </c>
      <c r="E272" s="17">
        <v>-93.333816898815</v>
      </c>
      <c r="F272" s="16" t="s">
        <v>318</v>
      </c>
      <c r="G272" s="16" t="s">
        <v>17</v>
      </c>
      <c r="H272" s="18" t="s">
        <v>404</v>
      </c>
      <c r="I272" s="19">
        <v>6742.0</v>
      </c>
      <c r="J272" s="21"/>
      <c r="K272" s="11" t="str">
        <f>IFERROR(__xludf.DUMMYFUNCTION("IF(AND(REGEXMATCH($H272,""50( ?['fF]([oO]{2})?[tT]?)?( ?[eE][rR]{2}[oO][rR])"")=FALSE,$H272&lt;&gt;"""",$I272&lt;&gt;""""),HYPERLINK(""https://www.munzee.com/m/""&amp;$H272&amp;""/""&amp;$I272&amp;""/map/?lat=""&amp;$D272&amp;""&amp;lon=""&amp;$E272&amp;""&amp;type=""&amp;$G272&amp;""&amp;name=""&amp;SUBSTITUTE($A272,""#"&amp;""",""%23""),$H272&amp;""/""&amp;$I272),IF($H272&lt;&gt;"""",IF(REGEXMATCH($H272,""50( ?['fF]([oO]{2})?[tT]?)?( ?[eE][rR]{2}[oO][rR])""),HYPERLINK(""https://www.munzee.com/map/?sandbox=1&amp;lat=""&amp;$D272&amp;""&amp;lon=""&amp;$E272&amp;""&amp;name=""&amp;SUBSTITUTE($A272,""#"",""%23""),""SANDBOX"""&amp;"),HYPERLINK(""https://www.munzee.com/m/""&amp;$H272&amp;""/deploys/0/type/""&amp;IFNA(VLOOKUP($G272,IMPORTRANGE(""https://docs.google.com/spreadsheets/d/1DliIGyDywdzxhd4svtjaewR0p9Y5UBTMNMQ2PcXsqss"",""type data!E2:F""),2,FALSE),$G272)&amp;""/"",$H272)),""""))"),"WVKiwi/6742")</f>
        <v>WVKiwi/6742</v>
      </c>
      <c r="L272" s="19" t="b">
        <v>1</v>
      </c>
      <c r="M272" s="12">
        <f t="shared" si="1"/>
        <v>1</v>
      </c>
      <c r="N272" s="13"/>
      <c r="O272" s="13"/>
      <c r="P272" s="15"/>
    </row>
    <row r="273">
      <c r="A273" s="15" t="s">
        <v>405</v>
      </c>
      <c r="B273" s="16">
        <v>15.0</v>
      </c>
      <c r="C273" s="16">
        <v>17.0</v>
      </c>
      <c r="D273" s="17">
        <v>44.864062356609</v>
      </c>
      <c r="E273" s="17">
        <v>-93.333614113818</v>
      </c>
      <c r="F273" s="16" t="s">
        <v>318</v>
      </c>
      <c r="G273" s="16" t="s">
        <v>17</v>
      </c>
      <c r="H273" s="18" t="s">
        <v>406</v>
      </c>
      <c r="I273" s="19">
        <v>4984.0</v>
      </c>
      <c r="J273" s="20"/>
      <c r="K273" s="11" t="str">
        <f>IFERROR(__xludf.DUMMYFUNCTION("IF(AND(REGEXMATCH($H273,""50( ?['fF]([oO]{2})?[tT]?)?( ?[eE][rR]{2}[oO][rR])"")=FALSE,$H273&lt;&gt;"""",$I273&lt;&gt;""""),HYPERLINK(""https://www.munzee.com/m/""&amp;$H273&amp;""/""&amp;$I273&amp;""/map/?lat=""&amp;$D273&amp;""&amp;lon=""&amp;$E273&amp;""&amp;type=""&amp;$G273&amp;""&amp;name=""&amp;SUBSTITUTE($A273,""#"&amp;""",""%23""),$H273&amp;""/""&amp;$I273),IF($H273&lt;&gt;"""",IF(REGEXMATCH($H273,""50( ?['fF]([oO]{2})?[tT]?)?( ?[eE][rR]{2}[oO][rR])""),HYPERLINK(""https://www.munzee.com/map/?sandbox=1&amp;lat=""&amp;$D273&amp;""&amp;lon=""&amp;$E273&amp;""&amp;name=""&amp;SUBSTITUTE($A273,""#"",""%23""),""SANDBOX"""&amp;"),HYPERLINK(""https://www.munzee.com/m/""&amp;$H273&amp;""/deploys/0/type/""&amp;IFNA(VLOOKUP($G273,IMPORTRANGE(""https://docs.google.com/spreadsheets/d/1DliIGyDywdzxhd4svtjaewR0p9Y5UBTMNMQ2PcXsqss"",""type data!E2:F""),2,FALSE),$G273)&amp;""/"",$H273)),""""))"),"Cachelady/4984")</f>
        <v>Cachelady/4984</v>
      </c>
      <c r="L273" s="19" t="b">
        <v>1</v>
      </c>
      <c r="M273" s="12">
        <f t="shared" si="1"/>
        <v>2</v>
      </c>
      <c r="N273" s="13"/>
      <c r="O273" s="13"/>
      <c r="P273" s="15"/>
    </row>
    <row r="274">
      <c r="A274" s="15" t="s">
        <v>407</v>
      </c>
      <c r="B274" s="16">
        <v>15.0</v>
      </c>
      <c r="C274" s="16">
        <v>18.0</v>
      </c>
      <c r="D274" s="17">
        <v>44.86406235643</v>
      </c>
      <c r="E274" s="17">
        <v>-93.333411328821</v>
      </c>
      <c r="F274" s="16" t="s">
        <v>41</v>
      </c>
      <c r="G274" s="16" t="s">
        <v>17</v>
      </c>
      <c r="H274" s="18" t="s">
        <v>388</v>
      </c>
      <c r="I274" s="19">
        <v>9959.0</v>
      </c>
      <c r="J274" s="20"/>
      <c r="K274" s="11" t="str">
        <f>IFERROR(__xludf.DUMMYFUNCTION("IF(AND(REGEXMATCH($H274,""50( ?['fF]([oO]{2})?[tT]?)?( ?[eE][rR]{2}[oO][rR])"")=FALSE,$H274&lt;&gt;"""",$I274&lt;&gt;""""),HYPERLINK(""https://www.munzee.com/m/""&amp;$H274&amp;""/""&amp;$I274&amp;""/map/?lat=""&amp;$D274&amp;""&amp;lon=""&amp;$E274&amp;""&amp;type=""&amp;$G274&amp;""&amp;name=""&amp;SUBSTITUTE($A274,""#"&amp;""",""%23""),$H274&amp;""/""&amp;$I274),IF($H274&lt;&gt;"""",IF(REGEXMATCH($H274,""50( ?['fF]([oO]{2})?[tT]?)?( ?[eE][rR]{2}[oO][rR])""),HYPERLINK(""https://www.munzee.com/map/?sandbox=1&amp;lat=""&amp;$D274&amp;""&amp;lon=""&amp;$E274&amp;""&amp;name=""&amp;SUBSTITUTE($A274,""#"",""%23""),""SANDBOX"""&amp;"),HYPERLINK(""https://www.munzee.com/m/""&amp;$H274&amp;""/deploys/0/type/""&amp;IFNA(VLOOKUP($G274,IMPORTRANGE(""https://docs.google.com/spreadsheets/d/1DliIGyDywdzxhd4svtjaewR0p9Y5UBTMNMQ2PcXsqss"",""type data!E2:F""),2,FALSE),$G274)&amp;""/"",$H274)),""""))"),"ryves/9959")</f>
        <v>ryves/9959</v>
      </c>
      <c r="L274" s="19" t="b">
        <v>1</v>
      </c>
      <c r="M274" s="12">
        <f t="shared" si="1"/>
        <v>2</v>
      </c>
      <c r="N274" s="13"/>
      <c r="O274" s="13"/>
      <c r="P274" s="15"/>
    </row>
    <row r="275">
      <c r="A275" s="15" t="s">
        <v>408</v>
      </c>
      <c r="B275" s="16">
        <v>15.0</v>
      </c>
      <c r="C275" s="16">
        <v>19.0</v>
      </c>
      <c r="D275" s="17">
        <v>44.86406235625</v>
      </c>
      <c r="E275" s="17">
        <v>-93.333208543824</v>
      </c>
      <c r="F275" s="16" t="s">
        <v>41</v>
      </c>
      <c r="G275" s="16" t="s">
        <v>17</v>
      </c>
      <c r="H275" s="18" t="s">
        <v>368</v>
      </c>
      <c r="I275" s="19">
        <v>3665.0</v>
      </c>
      <c r="J275" s="20"/>
      <c r="K275" s="11" t="str">
        <f>IFERROR(__xludf.DUMMYFUNCTION("IF(AND(REGEXMATCH($H275,""50( ?['fF]([oO]{2})?[tT]?)?( ?[eE][rR]{2}[oO][rR])"")=FALSE,$H275&lt;&gt;"""",$I275&lt;&gt;""""),HYPERLINK(""https://www.munzee.com/m/""&amp;$H275&amp;""/""&amp;$I275&amp;""/map/?lat=""&amp;$D275&amp;""&amp;lon=""&amp;$E275&amp;""&amp;type=""&amp;$G275&amp;""&amp;name=""&amp;SUBSTITUTE($A275,""#"&amp;""",""%23""),$H275&amp;""/""&amp;$I275),IF($H275&lt;&gt;"""",IF(REGEXMATCH($H275,""50( ?['fF]([oO]{2})?[tT]?)?( ?[eE][rR]{2}[oO][rR])""),HYPERLINK(""https://www.munzee.com/map/?sandbox=1&amp;lat=""&amp;$D275&amp;""&amp;lon=""&amp;$E275&amp;""&amp;name=""&amp;SUBSTITUTE($A275,""#"",""%23""),""SANDBOX"""&amp;"),HYPERLINK(""https://www.munzee.com/m/""&amp;$H275&amp;""/deploys/0/type/""&amp;IFNA(VLOOKUP($G275,IMPORTRANGE(""https://docs.google.com/spreadsheets/d/1DliIGyDywdzxhd4svtjaewR0p9Y5UBTMNMQ2PcXsqss"",""type data!E2:F""),2,FALSE),$G275)&amp;""/"",$H275)),""""))"),"mollymoo09/3665")</f>
        <v>mollymoo09/3665</v>
      </c>
      <c r="L275" s="19" t="b">
        <v>1</v>
      </c>
      <c r="M275" s="12">
        <f t="shared" si="1"/>
        <v>3</v>
      </c>
      <c r="N275" s="13"/>
      <c r="O275" s="13"/>
      <c r="P275" s="15"/>
    </row>
    <row r="276">
      <c r="A276" s="15" t="s">
        <v>409</v>
      </c>
      <c r="B276" s="16">
        <v>15.0</v>
      </c>
      <c r="C276" s="16">
        <v>20.0</v>
      </c>
      <c r="D276" s="17">
        <v>44.864062356071</v>
      </c>
      <c r="E276" s="17">
        <v>-93.333005758827</v>
      </c>
      <c r="F276" s="16" t="s">
        <v>41</v>
      </c>
      <c r="G276" s="16" t="s">
        <v>410</v>
      </c>
      <c r="H276" s="18" t="s">
        <v>411</v>
      </c>
      <c r="I276" s="19">
        <v>3074.0</v>
      </c>
      <c r="J276" s="20"/>
      <c r="K276" s="11" t="str">
        <f>IFERROR(__xludf.DUMMYFUNCTION("IF(AND(REGEXMATCH($H276,""50( ?['fF]([oO]{2})?[tT]?)?( ?[eE][rR]{2}[oO][rR])"")=FALSE,$H276&lt;&gt;"""",$I276&lt;&gt;""""),HYPERLINK(""https://www.munzee.com/m/""&amp;$H276&amp;""/""&amp;$I276&amp;""/map/?lat=""&amp;$D276&amp;""&amp;lon=""&amp;$E276&amp;""&amp;type=""&amp;$G276&amp;""&amp;name=""&amp;SUBSTITUTE($A276,""#"&amp;""",""%23""),$H276&amp;""/""&amp;$I276),IF($H276&lt;&gt;"""",IF(REGEXMATCH($H276,""50( ?['fF]([oO]{2})?[tT]?)?( ?[eE][rR]{2}[oO][rR])""),HYPERLINK(""https://www.munzee.com/map/?sandbox=1&amp;lat=""&amp;$D276&amp;""&amp;lon=""&amp;$E276&amp;""&amp;name=""&amp;SUBSTITUTE($A276,""#"",""%23""),""SANDBOX"""&amp;"),HYPERLINK(""https://www.munzee.com/m/""&amp;$H276&amp;""/deploys/0/type/""&amp;IFNA(VLOOKUP($G276,IMPORTRANGE(""https://docs.google.com/spreadsheets/d/1DliIGyDywdzxhd4svtjaewR0p9Y5UBTMNMQ2PcXsqss"",""type data!E2:F""),2,FALSE),$G276)&amp;""/"",$H276)),""""))"),"MariaBr/3074")</f>
        <v>MariaBr/3074</v>
      </c>
      <c r="L276" s="19" t="b">
        <v>1</v>
      </c>
      <c r="M276" s="12">
        <f t="shared" si="1"/>
        <v>1</v>
      </c>
      <c r="N276" s="13"/>
      <c r="O276" s="13"/>
      <c r="P276" s="15"/>
    </row>
    <row r="277">
      <c r="A277" s="15" t="s">
        <v>412</v>
      </c>
      <c r="B277" s="16">
        <v>15.0</v>
      </c>
      <c r="C277" s="16">
        <v>21.0</v>
      </c>
      <c r="D277" s="17">
        <v>44.864062355892</v>
      </c>
      <c r="E277" s="17">
        <v>-93.33280297383</v>
      </c>
      <c r="F277" s="16" t="s">
        <v>41</v>
      </c>
      <c r="G277" s="16" t="s">
        <v>410</v>
      </c>
      <c r="H277" s="18" t="s">
        <v>413</v>
      </c>
      <c r="I277" s="19">
        <v>540.0</v>
      </c>
      <c r="J277" s="21"/>
      <c r="K277" s="11" t="str">
        <f>IFERROR(__xludf.DUMMYFUNCTION("IF(AND(REGEXMATCH($H277,""50( ?['fF]([oO]{2})?[tT]?)?( ?[eE][rR]{2}[oO][rR])"")=FALSE,$H277&lt;&gt;"""",$I277&lt;&gt;""""),HYPERLINK(""https://www.munzee.com/m/""&amp;$H277&amp;""/""&amp;$I277&amp;""/map/?lat=""&amp;$D277&amp;""&amp;lon=""&amp;$E277&amp;""&amp;type=""&amp;$G277&amp;""&amp;name=""&amp;SUBSTITUTE($A277,""#"&amp;""",""%23""),$H277&amp;""/""&amp;$I277),IF($H277&lt;&gt;"""",IF(REGEXMATCH($H277,""50( ?['fF]([oO]{2})?[tT]?)?( ?[eE][rR]{2}[oO][rR])""),HYPERLINK(""https://www.munzee.com/map/?sandbox=1&amp;lat=""&amp;$D277&amp;""&amp;lon=""&amp;$E277&amp;""&amp;name=""&amp;SUBSTITUTE($A277,""#"",""%23""),""SANDBOX"""&amp;"),HYPERLINK(""https://www.munzee.com/m/""&amp;$H277&amp;""/deploys/0/type/""&amp;IFNA(VLOOKUP($G277,IMPORTRANGE(""https://docs.google.com/spreadsheets/d/1DliIGyDywdzxhd4svtjaewR0p9Y5UBTMNMQ2PcXsqss"",""type data!E2:F""),2,FALSE),$G277)&amp;""/"",$H277)),""""))"),"Tusantanna/540")</f>
        <v>Tusantanna/540</v>
      </c>
      <c r="L277" s="19" t="b">
        <v>1</v>
      </c>
      <c r="M277" s="12">
        <f t="shared" si="1"/>
        <v>2</v>
      </c>
      <c r="N277" s="13"/>
      <c r="O277" s="13"/>
      <c r="P277" s="15"/>
    </row>
    <row r="278">
      <c r="A278" s="15" t="s">
        <v>414</v>
      </c>
      <c r="B278" s="16">
        <v>15.0</v>
      </c>
      <c r="C278" s="16">
        <v>22.0</v>
      </c>
      <c r="D278" s="17">
        <v>44.864062355712</v>
      </c>
      <c r="E278" s="17">
        <v>-93.332600188833</v>
      </c>
      <c r="F278" s="16" t="s">
        <v>16</v>
      </c>
      <c r="G278" s="16" t="s">
        <v>410</v>
      </c>
      <c r="H278" s="37" t="s">
        <v>58</v>
      </c>
      <c r="I278" s="19">
        <v>718.0</v>
      </c>
      <c r="J278" s="20"/>
      <c r="K278" s="11" t="str">
        <f>IFERROR(__xludf.DUMMYFUNCTION("IF(AND(REGEXMATCH($H278,""50( ?['fF]([oO]{2})?[tT]?)?( ?[eE][rR]{2}[oO][rR])"")=FALSE,$H278&lt;&gt;"""",$I278&lt;&gt;""""),HYPERLINK(""https://www.munzee.com/m/""&amp;$H278&amp;""/""&amp;$I278&amp;""/map/?lat=""&amp;$D278&amp;""&amp;lon=""&amp;$E278&amp;""&amp;type=""&amp;$G278&amp;""&amp;name=""&amp;SUBSTITUTE($A278,""#"&amp;""",""%23""),$H278&amp;""/""&amp;$I278),IF($H278&lt;&gt;"""",IF(REGEXMATCH($H278,""50( ?['fF]([oO]{2})?[tT]?)?( ?[eE][rR]{2}[oO][rR])""),HYPERLINK(""https://www.munzee.com/map/?sandbox=1&amp;lat=""&amp;$D278&amp;""&amp;lon=""&amp;$E278&amp;""&amp;name=""&amp;SUBSTITUTE($A278,""#"",""%23""),""SANDBOX"""&amp;"),HYPERLINK(""https://www.munzee.com/m/""&amp;$H278&amp;""/deploys/0/type/""&amp;IFNA(VLOOKUP($G278,IMPORTRANGE(""https://docs.google.com/spreadsheets/d/1DliIGyDywdzxhd4svtjaewR0p9Y5UBTMNMQ2PcXsqss"",""type data!E2:F""),2,FALSE),$G278)&amp;""/"",$H278)),""""))"),"cdwilliams1/718")</f>
        <v>cdwilliams1/718</v>
      </c>
      <c r="L278" s="19" t="b">
        <v>1</v>
      </c>
      <c r="M278" s="12">
        <f t="shared" si="1"/>
        <v>10</v>
      </c>
      <c r="N278" s="13"/>
      <c r="O278" s="13"/>
      <c r="P278" s="15"/>
    </row>
    <row r="279">
      <c r="A279" s="15" t="s">
        <v>415</v>
      </c>
      <c r="B279" s="16">
        <v>15.0</v>
      </c>
      <c r="C279" s="16">
        <v>23.0</v>
      </c>
      <c r="D279" s="17">
        <v>44.864062355533</v>
      </c>
      <c r="E279" s="17">
        <v>-93.332397403836</v>
      </c>
      <c r="F279" s="16" t="s">
        <v>16</v>
      </c>
      <c r="G279" s="16" t="s">
        <v>17</v>
      </c>
      <c r="H279" s="18" t="s">
        <v>416</v>
      </c>
      <c r="I279" s="19">
        <v>7819.0</v>
      </c>
      <c r="J279" s="21"/>
      <c r="K279" s="11" t="str">
        <f>IFERROR(__xludf.DUMMYFUNCTION("IF(AND(REGEXMATCH($H279,""50( ?['fF]([oO]{2})?[tT]?)?( ?[eE][rR]{2}[oO][rR])"")=FALSE,$H279&lt;&gt;"""",$I279&lt;&gt;""""),HYPERLINK(""https://www.munzee.com/m/""&amp;$H279&amp;""/""&amp;$I279&amp;""/map/?lat=""&amp;$D279&amp;""&amp;lon=""&amp;$E279&amp;""&amp;type=""&amp;$G279&amp;""&amp;name=""&amp;SUBSTITUTE($A279,""#"&amp;""",""%23""),$H279&amp;""/""&amp;$I279),IF($H279&lt;&gt;"""",IF(REGEXMATCH($H279,""50( ?['fF]([oO]{2})?[tT]?)?( ?[eE][rR]{2}[oO][rR])""),HYPERLINK(""https://www.munzee.com/map/?sandbox=1&amp;lat=""&amp;$D279&amp;""&amp;lon=""&amp;$E279&amp;""&amp;name=""&amp;SUBSTITUTE($A279,""#"",""%23""),""SANDBOX"""&amp;"),HYPERLINK(""https://www.munzee.com/m/""&amp;$H279&amp;""/deploys/0/type/""&amp;IFNA(VLOOKUP($G279,IMPORTRANGE(""https://docs.google.com/spreadsheets/d/1DliIGyDywdzxhd4svtjaewR0p9Y5UBTMNMQ2PcXsqss"",""type data!E2:F""),2,FALSE),$G279)&amp;""/"",$H279)),""""))"),"ReeJ/7819")</f>
        <v>ReeJ/7819</v>
      </c>
      <c r="L279" s="19" t="b">
        <v>1</v>
      </c>
      <c r="M279" s="12">
        <f t="shared" si="1"/>
        <v>2</v>
      </c>
      <c r="N279" s="13"/>
      <c r="O279" s="13"/>
      <c r="P279" s="15"/>
    </row>
    <row r="280">
      <c r="A280" s="15" t="s">
        <v>417</v>
      </c>
      <c r="B280" s="16">
        <v>16.0</v>
      </c>
      <c r="C280" s="16">
        <v>8.0</v>
      </c>
      <c r="D280" s="17">
        <v>44.863918627779</v>
      </c>
      <c r="E280" s="17">
        <v>-93.335439190436</v>
      </c>
      <c r="F280" s="16" t="s">
        <v>16</v>
      </c>
      <c r="G280" s="16" t="s">
        <v>17</v>
      </c>
      <c r="H280" s="18" t="s">
        <v>14</v>
      </c>
      <c r="I280" s="19">
        <v>574.0</v>
      </c>
      <c r="J280" s="20"/>
      <c r="K280" s="11" t="str">
        <f>IFERROR(__xludf.DUMMYFUNCTION("IF(AND(REGEXMATCH($H280,""50( ?['fF]([oO]{2})?[tT]?)?( ?[eE][rR]{2}[oO][rR])"")=FALSE,$H280&lt;&gt;"""",$I280&lt;&gt;""""),HYPERLINK(""https://www.munzee.com/m/""&amp;$H280&amp;""/""&amp;$I280&amp;""/map/?lat=""&amp;$D280&amp;""&amp;lon=""&amp;$E280&amp;""&amp;type=""&amp;$G280&amp;""&amp;name=""&amp;SUBSTITUTE($A280,""#"&amp;""",""%23""),$H280&amp;""/""&amp;$I280),IF($H280&lt;&gt;"""",IF(REGEXMATCH($H280,""50( ?['fF]([oO]{2})?[tT]?)?( ?[eE][rR]{2}[oO][rR])""),HYPERLINK(""https://www.munzee.com/map/?sandbox=1&amp;lat=""&amp;$D280&amp;""&amp;lon=""&amp;$E280&amp;""&amp;name=""&amp;SUBSTITUTE($A280,""#"",""%23""),""SANDBOX"""&amp;"),HYPERLINK(""https://www.munzee.com/m/""&amp;$H280&amp;""/deploys/0/type/""&amp;IFNA(VLOOKUP($G280,IMPORTRANGE(""https://docs.google.com/spreadsheets/d/1DliIGyDywdzxhd4svtjaewR0p9Y5UBTMNMQ2PcXsqss"",""type data!E2:F""),2,FALSE),$G280)&amp;""/"",$H280)),""""))"),"JABIE28/574")</f>
        <v>JABIE28/574</v>
      </c>
      <c r="L280" s="19" t="b">
        <v>1</v>
      </c>
      <c r="M280" s="12">
        <f t="shared" si="1"/>
        <v>85</v>
      </c>
      <c r="N280" s="13"/>
      <c r="O280" s="13"/>
      <c r="P280" s="15"/>
    </row>
    <row r="281">
      <c r="A281" s="15" t="s">
        <v>418</v>
      </c>
      <c r="B281" s="16">
        <v>16.0</v>
      </c>
      <c r="C281" s="16">
        <v>9.0</v>
      </c>
      <c r="D281" s="17">
        <v>44.863918627599</v>
      </c>
      <c r="E281" s="17">
        <v>-93.335236405946</v>
      </c>
      <c r="F281" s="16" t="s">
        <v>41</v>
      </c>
      <c r="G281" s="16" t="s">
        <v>17</v>
      </c>
      <c r="H281" s="18" t="s">
        <v>419</v>
      </c>
      <c r="I281" s="19">
        <v>127.0</v>
      </c>
      <c r="J281" s="21"/>
      <c r="K281" s="11" t="str">
        <f>IFERROR(__xludf.DUMMYFUNCTION("IF(AND(REGEXMATCH($H281,""50( ?['fF]([oO]{2})?[tT]?)?( ?[eE][rR]{2}[oO][rR])"")=FALSE,$H281&lt;&gt;"""",$I281&lt;&gt;""""),HYPERLINK(""https://www.munzee.com/m/""&amp;$H281&amp;""/""&amp;$I281&amp;""/map/?lat=""&amp;$D281&amp;""&amp;lon=""&amp;$E281&amp;""&amp;type=""&amp;$G281&amp;""&amp;name=""&amp;SUBSTITUTE($A281,""#"&amp;""",""%23""),$H281&amp;""/""&amp;$I281),IF($H281&lt;&gt;"""",IF(REGEXMATCH($H281,""50( ?['fF]([oO]{2})?[tT]?)?( ?[eE][rR]{2}[oO][rR])""),HYPERLINK(""https://www.munzee.com/map/?sandbox=1&amp;lat=""&amp;$D281&amp;""&amp;lon=""&amp;$E281&amp;""&amp;name=""&amp;SUBSTITUTE($A281,""#"",""%23""),""SANDBOX"""&amp;"),HYPERLINK(""https://www.munzee.com/m/""&amp;$H281&amp;""/deploys/0/type/""&amp;IFNA(VLOOKUP($G281,IMPORTRANGE(""https://docs.google.com/spreadsheets/d/1DliIGyDywdzxhd4svtjaewR0p9Y5UBTMNMQ2PcXsqss"",""type data!E2:F""),2,FALSE),$G281)&amp;""/"",$H281)),""""))"),"R0buTre10/127")</f>
        <v>R0buTre10/127</v>
      </c>
      <c r="L281" s="19" t="b">
        <v>1</v>
      </c>
      <c r="M281" s="12">
        <f t="shared" si="1"/>
        <v>2</v>
      </c>
      <c r="N281" s="13"/>
      <c r="O281" s="13"/>
      <c r="P281" s="15"/>
    </row>
    <row r="282">
      <c r="A282" s="15" t="s">
        <v>420</v>
      </c>
      <c r="B282" s="16">
        <v>16.0</v>
      </c>
      <c r="C282" s="16">
        <v>10.0</v>
      </c>
      <c r="D282" s="17">
        <v>44.86391862742</v>
      </c>
      <c r="E282" s="17">
        <v>-93.335033621455</v>
      </c>
      <c r="F282" s="16" t="s">
        <v>41</v>
      </c>
      <c r="G282" s="16" t="s">
        <v>17</v>
      </c>
      <c r="H282" s="18" t="s">
        <v>304</v>
      </c>
      <c r="I282" s="19">
        <v>5118.0</v>
      </c>
      <c r="J282" s="20"/>
      <c r="K282" s="11" t="str">
        <f>IFERROR(__xludf.DUMMYFUNCTION("IF(AND(REGEXMATCH($H282,""50( ?['fF]([oO]{2})?[tT]?)?( ?[eE][rR]{2}[oO][rR])"")=FALSE,$H282&lt;&gt;"""",$I282&lt;&gt;""""),HYPERLINK(""https://www.munzee.com/m/""&amp;$H282&amp;""/""&amp;$I282&amp;""/map/?lat=""&amp;$D282&amp;""&amp;lon=""&amp;$E282&amp;""&amp;type=""&amp;$G282&amp;""&amp;name=""&amp;SUBSTITUTE($A282,""#"&amp;""",""%23""),$H282&amp;""/""&amp;$I282),IF($H282&lt;&gt;"""",IF(REGEXMATCH($H282,""50( ?['fF]([oO]{2})?[tT]?)?( ?[eE][rR]{2}[oO][rR])""),HYPERLINK(""https://www.munzee.com/map/?sandbox=1&amp;lat=""&amp;$D282&amp;""&amp;lon=""&amp;$E282&amp;""&amp;name=""&amp;SUBSTITUTE($A282,""#"",""%23""),""SANDBOX"""&amp;"),HYPERLINK(""https://www.munzee.com/m/""&amp;$H282&amp;""/deploys/0/type/""&amp;IFNA(VLOOKUP($G282,IMPORTRANGE(""https://docs.google.com/spreadsheets/d/1DliIGyDywdzxhd4svtjaewR0p9Y5UBTMNMQ2PcXsqss"",""type data!E2:F""),2,FALSE),$G282)&amp;""/"",$H282)),""""))"),"levesund/5118")</f>
        <v>levesund/5118</v>
      </c>
      <c r="L282" s="19" t="b">
        <v>1</v>
      </c>
      <c r="M282" s="12">
        <f t="shared" si="1"/>
        <v>2</v>
      </c>
      <c r="N282" s="13"/>
      <c r="O282" s="13"/>
      <c r="P282" s="15"/>
    </row>
    <row r="283">
      <c r="A283" s="15" t="s">
        <v>421</v>
      </c>
      <c r="B283" s="16">
        <v>16.0</v>
      </c>
      <c r="C283" s="16">
        <v>11.0</v>
      </c>
      <c r="D283" s="17">
        <v>44.863918627241</v>
      </c>
      <c r="E283" s="17">
        <v>-93.334830836964</v>
      </c>
      <c r="F283" s="16" t="s">
        <v>41</v>
      </c>
      <c r="G283" s="16" t="s">
        <v>17</v>
      </c>
      <c r="H283" s="18" t="s">
        <v>14</v>
      </c>
      <c r="I283" s="19">
        <v>572.0</v>
      </c>
      <c r="J283" s="20"/>
      <c r="K283" s="11" t="str">
        <f>IFERROR(__xludf.DUMMYFUNCTION("IF(AND(REGEXMATCH($H283,""50( ?['fF]([oO]{2})?[tT]?)?( ?[eE][rR]{2}[oO][rR])"")=FALSE,$H283&lt;&gt;"""",$I283&lt;&gt;""""),HYPERLINK(""https://www.munzee.com/m/""&amp;$H283&amp;""/""&amp;$I283&amp;""/map/?lat=""&amp;$D283&amp;""&amp;lon=""&amp;$E283&amp;""&amp;type=""&amp;$G283&amp;""&amp;name=""&amp;SUBSTITUTE($A283,""#"&amp;""",""%23""),$H283&amp;""/""&amp;$I283),IF($H283&lt;&gt;"""",IF(REGEXMATCH($H283,""50( ?['fF]([oO]{2})?[tT]?)?( ?[eE][rR]{2}[oO][rR])""),HYPERLINK(""https://www.munzee.com/map/?sandbox=1&amp;lat=""&amp;$D283&amp;""&amp;lon=""&amp;$E283&amp;""&amp;name=""&amp;SUBSTITUTE($A283,""#"",""%23""),""SANDBOX"""&amp;"),HYPERLINK(""https://www.munzee.com/m/""&amp;$H283&amp;""/deploys/0/type/""&amp;IFNA(VLOOKUP($G283,IMPORTRANGE(""https://docs.google.com/spreadsheets/d/1DliIGyDywdzxhd4svtjaewR0p9Y5UBTMNMQ2PcXsqss"",""type data!E2:F""),2,FALSE),$G283)&amp;""/"",$H283)),""""))"),"JABIE28/572")</f>
        <v>JABIE28/572</v>
      </c>
      <c r="L283" s="19" t="b">
        <v>1</v>
      </c>
      <c r="M283" s="12">
        <f t="shared" si="1"/>
        <v>85</v>
      </c>
      <c r="N283" s="13"/>
      <c r="O283" s="13"/>
      <c r="P283" s="15"/>
    </row>
    <row r="284">
      <c r="A284" s="15" t="s">
        <v>422</v>
      </c>
      <c r="B284" s="16">
        <v>16.0</v>
      </c>
      <c r="C284" s="16">
        <v>12.0</v>
      </c>
      <c r="D284" s="17">
        <v>44.863918627061</v>
      </c>
      <c r="E284" s="17">
        <v>-93.334628052473</v>
      </c>
      <c r="F284" s="16" t="s">
        <v>41</v>
      </c>
      <c r="G284" s="16" t="s">
        <v>17</v>
      </c>
      <c r="H284" s="18" t="s">
        <v>423</v>
      </c>
      <c r="I284" s="19">
        <v>1062.0</v>
      </c>
      <c r="J284" s="28"/>
      <c r="K284" s="11" t="str">
        <f>IFERROR(__xludf.DUMMYFUNCTION("IF(AND(REGEXMATCH($H284,""50( ?['fF]([oO]{2})?[tT]?)?( ?[eE][rR]{2}[oO][rR])"")=FALSE,$H284&lt;&gt;"""",$I284&lt;&gt;""""),HYPERLINK(""https://www.munzee.com/m/""&amp;$H284&amp;""/""&amp;$I284&amp;""/map/?lat=""&amp;$D284&amp;""&amp;lon=""&amp;$E284&amp;""&amp;type=""&amp;$G284&amp;""&amp;name=""&amp;SUBSTITUTE($A284,""#"&amp;""",""%23""),$H284&amp;""/""&amp;$I284),IF($H284&lt;&gt;"""",IF(REGEXMATCH($H284,""50( ?['fF]([oO]{2})?[tT]?)?( ?[eE][rR]{2}[oO][rR])""),HYPERLINK(""https://www.munzee.com/map/?sandbox=1&amp;lat=""&amp;$D284&amp;""&amp;lon=""&amp;$E284&amp;""&amp;name=""&amp;SUBSTITUTE($A284,""#"",""%23""),""SANDBOX"""&amp;"),HYPERLINK(""https://www.munzee.com/m/""&amp;$H284&amp;""/deploys/0/type/""&amp;IFNA(VLOOKUP($G284,IMPORTRANGE(""https://docs.google.com/spreadsheets/d/1DliIGyDywdzxhd4svtjaewR0p9Y5UBTMNMQ2PcXsqss"",""type data!E2:F""),2,FALSE),$G284)&amp;""/"",$H284)),""""))"),"SJClyde/1062")</f>
        <v>SJClyde/1062</v>
      </c>
      <c r="L284" s="19" t="b">
        <v>1</v>
      </c>
      <c r="M284" s="12">
        <f t="shared" si="1"/>
        <v>2</v>
      </c>
      <c r="N284" s="13"/>
      <c r="O284" s="13"/>
      <c r="P284" s="15"/>
    </row>
    <row r="285">
      <c r="A285" s="15" t="s">
        <v>424</v>
      </c>
      <c r="B285" s="16">
        <v>16.0</v>
      </c>
      <c r="C285" s="16">
        <v>13.0</v>
      </c>
      <c r="D285" s="17">
        <v>44.863918626882</v>
      </c>
      <c r="E285" s="17">
        <v>-93.334425267983</v>
      </c>
      <c r="F285" s="16" t="s">
        <v>41</v>
      </c>
      <c r="G285" s="16" t="s">
        <v>17</v>
      </c>
      <c r="H285" s="38" t="s">
        <v>284</v>
      </c>
      <c r="I285" s="19">
        <v>453.0</v>
      </c>
      <c r="J285" s="28"/>
      <c r="K285" s="11" t="str">
        <f>IFERROR(__xludf.DUMMYFUNCTION("IF(AND(REGEXMATCH($H285,""50( ?['fF]([oO]{2})?[tT]?)?( ?[eE][rR]{2}[oO][rR])"")=FALSE,$H285&lt;&gt;"""",$I285&lt;&gt;""""),HYPERLINK(""https://www.munzee.com/m/""&amp;$H285&amp;""/""&amp;$I285&amp;""/map/?lat=""&amp;$D285&amp;""&amp;lon=""&amp;$E285&amp;""&amp;type=""&amp;$G285&amp;""&amp;name=""&amp;SUBSTITUTE($A285,""#"&amp;""",""%23""),$H285&amp;""/""&amp;$I285),IF($H285&lt;&gt;"""",IF(REGEXMATCH($H285,""50( ?['fF]([oO]{2})?[tT]?)?( ?[eE][rR]{2}[oO][rR])""),HYPERLINK(""https://www.munzee.com/map/?sandbox=1&amp;lat=""&amp;$D285&amp;""&amp;lon=""&amp;$E285&amp;""&amp;name=""&amp;SUBSTITUTE($A285,""#"",""%23""),""SANDBOX"""&amp;"),HYPERLINK(""https://www.munzee.com/m/""&amp;$H285&amp;""/deploys/0/type/""&amp;IFNA(VLOOKUP($G285,IMPORTRANGE(""https://docs.google.com/spreadsheets/d/1DliIGyDywdzxhd4svtjaewR0p9Y5UBTMNMQ2PcXsqss"",""type data!E2:F""),2,FALSE),$G285)&amp;""/"",$H285)),""""))"),"NJRainbow53/453")</f>
        <v>NJRainbow53/453</v>
      </c>
      <c r="L285" s="19" t="b">
        <v>1</v>
      </c>
      <c r="M285" s="12">
        <f t="shared" si="1"/>
        <v>2</v>
      </c>
      <c r="N285" s="13"/>
      <c r="O285" s="13"/>
      <c r="P285" s="15"/>
    </row>
    <row r="286">
      <c r="A286" s="15" t="s">
        <v>425</v>
      </c>
      <c r="B286" s="16">
        <v>16.0</v>
      </c>
      <c r="C286" s="16">
        <v>14.0</v>
      </c>
      <c r="D286" s="17">
        <v>44.863918626702</v>
      </c>
      <c r="E286" s="17">
        <v>-93.334222483492</v>
      </c>
      <c r="F286" s="16" t="s">
        <v>41</v>
      </c>
      <c r="G286" s="16" t="s">
        <v>17</v>
      </c>
      <c r="H286" s="18" t="s">
        <v>14</v>
      </c>
      <c r="I286" s="19">
        <v>571.0</v>
      </c>
      <c r="J286" s="20"/>
      <c r="K286" s="11" t="str">
        <f>IFERROR(__xludf.DUMMYFUNCTION("IF(AND(REGEXMATCH($H286,""50( ?['fF]([oO]{2})?[tT]?)?( ?[eE][rR]{2}[oO][rR])"")=FALSE,$H286&lt;&gt;"""",$I286&lt;&gt;""""),HYPERLINK(""https://www.munzee.com/m/""&amp;$H286&amp;""/""&amp;$I286&amp;""/map/?lat=""&amp;$D286&amp;""&amp;lon=""&amp;$E286&amp;""&amp;type=""&amp;$G286&amp;""&amp;name=""&amp;SUBSTITUTE($A286,""#"&amp;""",""%23""),$H286&amp;""/""&amp;$I286),IF($H286&lt;&gt;"""",IF(REGEXMATCH($H286,""50( ?['fF]([oO]{2})?[tT]?)?( ?[eE][rR]{2}[oO][rR])""),HYPERLINK(""https://www.munzee.com/map/?sandbox=1&amp;lat=""&amp;$D286&amp;""&amp;lon=""&amp;$E286&amp;""&amp;name=""&amp;SUBSTITUTE($A286,""#"",""%23""),""SANDBOX"""&amp;"),HYPERLINK(""https://www.munzee.com/m/""&amp;$H286&amp;""/deploys/0/type/""&amp;IFNA(VLOOKUP($G286,IMPORTRANGE(""https://docs.google.com/spreadsheets/d/1DliIGyDywdzxhd4svtjaewR0p9Y5UBTMNMQ2PcXsqss"",""type data!E2:F""),2,FALSE),$G286)&amp;""/"",$H286)),""""))"),"JABIE28/571")</f>
        <v>JABIE28/571</v>
      </c>
      <c r="L286" s="19" t="b">
        <v>1</v>
      </c>
      <c r="M286" s="12">
        <f t="shared" si="1"/>
        <v>85</v>
      </c>
      <c r="N286" s="13"/>
      <c r="O286" s="13"/>
      <c r="P286" s="29"/>
    </row>
    <row r="287">
      <c r="A287" s="15" t="s">
        <v>426</v>
      </c>
      <c r="B287" s="16">
        <v>16.0</v>
      </c>
      <c r="C287" s="16">
        <v>15.0</v>
      </c>
      <c r="D287" s="17">
        <v>44.863918626523</v>
      </c>
      <c r="E287" s="17">
        <v>-93.334019699001</v>
      </c>
      <c r="F287" s="16" t="s">
        <v>41</v>
      </c>
      <c r="G287" s="16" t="s">
        <v>410</v>
      </c>
      <c r="H287" s="18" t="s">
        <v>427</v>
      </c>
      <c r="I287" s="19">
        <v>1216.0</v>
      </c>
      <c r="J287" s="20"/>
      <c r="K287" s="11" t="str">
        <f>IFERROR(__xludf.DUMMYFUNCTION("IF(AND(REGEXMATCH($H287,""50( ?['fF]([oO]{2})?[tT]?)?( ?[eE][rR]{2}[oO][rR])"")=FALSE,$H287&lt;&gt;"""",$I287&lt;&gt;""""),HYPERLINK(""https://www.munzee.com/m/""&amp;$H287&amp;""/""&amp;$I287&amp;""/map/?lat=""&amp;$D287&amp;""&amp;lon=""&amp;$E287&amp;""&amp;type=""&amp;$G287&amp;""&amp;name=""&amp;SUBSTITUTE($A287,""#"&amp;""",""%23""),$H287&amp;""/""&amp;$I287),IF($H287&lt;&gt;"""",IF(REGEXMATCH($H287,""50( ?['fF]([oO]{2})?[tT]?)?( ?[eE][rR]{2}[oO][rR])""),HYPERLINK(""https://www.munzee.com/map/?sandbox=1&amp;lat=""&amp;$D287&amp;""&amp;lon=""&amp;$E287&amp;""&amp;name=""&amp;SUBSTITUTE($A287,""#"",""%23""),""SANDBOX"""&amp;"),HYPERLINK(""https://www.munzee.com/m/""&amp;$H287&amp;""/deploys/0/type/""&amp;IFNA(VLOOKUP($G287,IMPORTRANGE(""https://docs.google.com/spreadsheets/d/1DliIGyDywdzxhd4svtjaewR0p9Y5UBTMNMQ2PcXsqss"",""type data!E2:F""),2,FALSE),$G287)&amp;""/"",$H287)),""""))"),"PawpatrolThomas/1216")</f>
        <v>PawpatrolThomas/1216</v>
      </c>
      <c r="L287" s="19" t="b">
        <v>1</v>
      </c>
      <c r="M287" s="12">
        <f t="shared" si="1"/>
        <v>2</v>
      </c>
      <c r="N287" s="13"/>
      <c r="O287" s="13"/>
      <c r="P287" s="29"/>
    </row>
    <row r="288">
      <c r="A288" s="15" t="s">
        <v>428</v>
      </c>
      <c r="B288" s="16">
        <v>16.0</v>
      </c>
      <c r="C288" s="16">
        <v>16.0</v>
      </c>
      <c r="D288" s="17">
        <v>44.863918626344</v>
      </c>
      <c r="E288" s="17">
        <v>-93.33381691451</v>
      </c>
      <c r="F288" s="16" t="s">
        <v>41</v>
      </c>
      <c r="G288" s="16" t="s">
        <v>410</v>
      </c>
      <c r="H288" s="18" t="s">
        <v>429</v>
      </c>
      <c r="I288" s="19">
        <v>4646.0</v>
      </c>
      <c r="J288" s="21"/>
      <c r="K288" s="11" t="str">
        <f>IFERROR(__xludf.DUMMYFUNCTION("IF(AND(REGEXMATCH($H288,""50( ?['fF]([oO]{2})?[tT]?)?( ?[eE][rR]{2}[oO][rR])"")=FALSE,$H288&lt;&gt;"""",$I288&lt;&gt;""""),HYPERLINK(""https://www.munzee.com/m/""&amp;$H288&amp;""/""&amp;$I288&amp;""/map/?lat=""&amp;$D288&amp;""&amp;lon=""&amp;$E288&amp;""&amp;type=""&amp;$G288&amp;""&amp;name=""&amp;SUBSTITUTE($A288,""#"&amp;""",""%23""),$H288&amp;""/""&amp;$I288),IF($H288&lt;&gt;"""",IF(REGEXMATCH($H288,""50( ?['fF]([oO]{2})?[tT]?)?( ?[eE][rR]{2}[oO][rR])""),HYPERLINK(""https://www.munzee.com/map/?sandbox=1&amp;lat=""&amp;$D288&amp;""&amp;lon=""&amp;$E288&amp;""&amp;name=""&amp;SUBSTITUTE($A288,""#"",""%23""),""SANDBOX"""&amp;"),HYPERLINK(""https://www.munzee.com/m/""&amp;$H288&amp;""/deploys/0/type/""&amp;IFNA(VLOOKUP($G288,IMPORTRANGE(""https://docs.google.com/spreadsheets/d/1DliIGyDywdzxhd4svtjaewR0p9Y5UBTMNMQ2PcXsqss"",""type data!E2:F""),2,FALSE),$G288)&amp;""/"",$H288)),""""))"),"halemeister/4646")</f>
        <v>halemeister/4646</v>
      </c>
      <c r="L288" s="19" t="b">
        <v>1</v>
      </c>
      <c r="M288" s="12">
        <f t="shared" si="1"/>
        <v>9</v>
      </c>
      <c r="N288" s="13"/>
      <c r="O288" s="13"/>
      <c r="P288" s="29"/>
    </row>
    <row r="289">
      <c r="A289" s="15" t="s">
        <v>430</v>
      </c>
      <c r="B289" s="16">
        <v>16.0</v>
      </c>
      <c r="C289" s="16">
        <v>17.0</v>
      </c>
      <c r="D289" s="17">
        <v>44.863918626164</v>
      </c>
      <c r="E289" s="17">
        <v>-93.33361413002</v>
      </c>
      <c r="F289" s="16" t="s">
        <v>41</v>
      </c>
      <c r="G289" s="16" t="s">
        <v>410</v>
      </c>
      <c r="H289" s="18" t="s">
        <v>14</v>
      </c>
      <c r="I289" s="19">
        <v>565.0</v>
      </c>
      <c r="J289" s="20"/>
      <c r="K289" s="11" t="str">
        <f>IFERROR(__xludf.DUMMYFUNCTION("IF(AND(REGEXMATCH($H289,""50( ?['fF]([oO]{2})?[tT]?)?( ?[eE][rR]{2}[oO][rR])"")=FALSE,$H289&lt;&gt;"""",$I289&lt;&gt;""""),HYPERLINK(""https://www.munzee.com/m/""&amp;$H289&amp;""/""&amp;$I289&amp;""/map/?lat=""&amp;$D289&amp;""&amp;lon=""&amp;$E289&amp;""&amp;type=""&amp;$G289&amp;""&amp;name=""&amp;SUBSTITUTE($A289,""#"&amp;""",""%23""),$H289&amp;""/""&amp;$I289),IF($H289&lt;&gt;"""",IF(REGEXMATCH($H289,""50( ?['fF]([oO]{2})?[tT]?)?( ?[eE][rR]{2}[oO][rR])""),HYPERLINK(""https://www.munzee.com/map/?sandbox=1&amp;lat=""&amp;$D289&amp;""&amp;lon=""&amp;$E289&amp;""&amp;name=""&amp;SUBSTITUTE($A289,""#"",""%23""),""SANDBOX"""&amp;"),HYPERLINK(""https://www.munzee.com/m/""&amp;$H289&amp;""/deploys/0/type/""&amp;IFNA(VLOOKUP($G289,IMPORTRANGE(""https://docs.google.com/spreadsheets/d/1DliIGyDywdzxhd4svtjaewR0p9Y5UBTMNMQ2PcXsqss"",""type data!E2:F""),2,FALSE),$G289)&amp;""/"",$H289)),""""))"),"JABIE28/565")</f>
        <v>JABIE28/565</v>
      </c>
      <c r="L289" s="19" t="b">
        <v>1</v>
      </c>
      <c r="M289" s="12">
        <f t="shared" si="1"/>
        <v>85</v>
      </c>
      <c r="N289" s="13"/>
      <c r="O289" s="13"/>
      <c r="P289" s="15"/>
    </row>
    <row r="290">
      <c r="A290" s="15" t="s">
        <v>431</v>
      </c>
      <c r="B290" s="16">
        <v>16.0</v>
      </c>
      <c r="C290" s="16">
        <v>18.0</v>
      </c>
      <c r="D290" s="17">
        <v>44.863918625985</v>
      </c>
      <c r="E290" s="17">
        <v>-93.333411345529</v>
      </c>
      <c r="F290" s="16" t="s">
        <v>41</v>
      </c>
      <c r="G290" s="16" t="s">
        <v>17</v>
      </c>
      <c r="H290" s="18" t="s">
        <v>273</v>
      </c>
      <c r="I290" s="19">
        <v>1928.0</v>
      </c>
      <c r="J290" s="21"/>
      <c r="K290" s="11" t="str">
        <f>IFERROR(__xludf.DUMMYFUNCTION("IF(AND(REGEXMATCH($H290,""50( ?['fF]([oO]{2})?[tT]?)?( ?[eE][rR]{2}[oO][rR])"")=FALSE,$H290&lt;&gt;"""",$I290&lt;&gt;""""),HYPERLINK(""https://www.munzee.com/m/""&amp;$H290&amp;""/""&amp;$I290&amp;""/map/?lat=""&amp;$D290&amp;""&amp;lon=""&amp;$E290&amp;""&amp;type=""&amp;$G290&amp;""&amp;name=""&amp;SUBSTITUTE($A290,""#"&amp;""",""%23""),$H290&amp;""/""&amp;$I290),IF($H290&lt;&gt;"""",IF(REGEXMATCH($H290,""50( ?['fF]([oO]{2})?[tT]?)?( ?[eE][rR]{2}[oO][rR])""),HYPERLINK(""https://www.munzee.com/map/?sandbox=1&amp;lat=""&amp;$D290&amp;""&amp;lon=""&amp;$E290&amp;""&amp;name=""&amp;SUBSTITUTE($A290,""#"",""%23""),""SANDBOX"""&amp;"),HYPERLINK(""https://www.munzee.com/m/""&amp;$H290&amp;""/deploys/0/type/""&amp;IFNA(VLOOKUP($G290,IMPORTRANGE(""https://docs.google.com/spreadsheets/d/1DliIGyDywdzxhd4svtjaewR0p9Y5UBTMNMQ2PcXsqss"",""type data!E2:F""),2,FALSE),$G290)&amp;""/"",$H290)),""""))"),"yhtak57/1928")</f>
        <v>yhtak57/1928</v>
      </c>
      <c r="L290" s="19" t="b">
        <v>1</v>
      </c>
      <c r="M290" s="12">
        <f t="shared" si="1"/>
        <v>12</v>
      </c>
      <c r="N290" s="13"/>
      <c r="O290" s="13"/>
      <c r="P290" s="15"/>
    </row>
    <row r="291">
      <c r="A291" s="15" t="s">
        <v>432</v>
      </c>
      <c r="B291" s="16">
        <v>16.0</v>
      </c>
      <c r="C291" s="16">
        <v>19.0</v>
      </c>
      <c r="D291" s="17">
        <v>44.863918625805</v>
      </c>
      <c r="E291" s="17">
        <v>-93.333208561038</v>
      </c>
      <c r="F291" s="16" t="s">
        <v>41</v>
      </c>
      <c r="G291" s="16" t="s">
        <v>17</v>
      </c>
      <c r="H291" s="18" t="s">
        <v>427</v>
      </c>
      <c r="I291" s="19">
        <v>1215.0</v>
      </c>
      <c r="J291" s="20"/>
      <c r="K291" s="11" t="str">
        <f>IFERROR(__xludf.DUMMYFUNCTION("IF(AND(REGEXMATCH($H291,""50( ?['fF]([oO]{2})?[tT]?)?( ?[eE][rR]{2}[oO][rR])"")=FALSE,$H291&lt;&gt;"""",$I291&lt;&gt;""""),HYPERLINK(""https://www.munzee.com/m/""&amp;$H291&amp;""/""&amp;$I291&amp;""/map/?lat=""&amp;$D291&amp;""&amp;lon=""&amp;$E291&amp;""&amp;type=""&amp;$G291&amp;""&amp;name=""&amp;SUBSTITUTE($A291,""#"&amp;""",""%23""),$H291&amp;""/""&amp;$I291),IF($H291&lt;&gt;"""",IF(REGEXMATCH($H291,""50( ?['fF]([oO]{2})?[tT]?)?( ?[eE][rR]{2}[oO][rR])""),HYPERLINK(""https://www.munzee.com/map/?sandbox=1&amp;lat=""&amp;$D291&amp;""&amp;lon=""&amp;$E291&amp;""&amp;name=""&amp;SUBSTITUTE($A291,""#"",""%23""),""SANDBOX"""&amp;"),HYPERLINK(""https://www.munzee.com/m/""&amp;$H291&amp;""/deploys/0/type/""&amp;IFNA(VLOOKUP($G291,IMPORTRANGE(""https://docs.google.com/spreadsheets/d/1DliIGyDywdzxhd4svtjaewR0p9Y5UBTMNMQ2PcXsqss"",""type data!E2:F""),2,FALSE),$G291)&amp;""/"",$H291)),""""))"),"PawpatrolThomas/1215")</f>
        <v>PawpatrolThomas/1215</v>
      </c>
      <c r="L291" s="19" t="b">
        <v>1</v>
      </c>
      <c r="M291" s="12">
        <f t="shared" si="1"/>
        <v>2</v>
      </c>
      <c r="N291" s="13"/>
      <c r="O291" s="13"/>
      <c r="P291" s="15"/>
    </row>
    <row r="292">
      <c r="A292" s="15" t="s">
        <v>433</v>
      </c>
      <c r="B292" s="16">
        <v>16.0</v>
      </c>
      <c r="C292" s="16">
        <v>20.0</v>
      </c>
      <c r="D292" s="17">
        <v>44.863918625626</v>
      </c>
      <c r="E292" s="17">
        <v>-93.333005776547</v>
      </c>
      <c r="F292" s="16" t="s">
        <v>41</v>
      </c>
      <c r="G292" s="16" t="s">
        <v>17</v>
      </c>
      <c r="H292" s="18" t="s">
        <v>14</v>
      </c>
      <c r="I292" s="19">
        <v>542.0</v>
      </c>
      <c r="J292" s="20"/>
      <c r="K292" s="11" t="str">
        <f>IFERROR(__xludf.DUMMYFUNCTION("IF(AND(REGEXMATCH($H292,""50( ?['fF]([oO]{2})?[tT]?)?( ?[eE][rR]{2}[oO][rR])"")=FALSE,$H292&lt;&gt;"""",$I292&lt;&gt;""""),HYPERLINK(""https://www.munzee.com/m/""&amp;$H292&amp;""/""&amp;$I292&amp;""/map/?lat=""&amp;$D292&amp;""&amp;lon=""&amp;$E292&amp;""&amp;type=""&amp;$G292&amp;""&amp;name=""&amp;SUBSTITUTE($A292,""#"&amp;""",""%23""),$H292&amp;""/""&amp;$I292),IF($H292&lt;&gt;"""",IF(REGEXMATCH($H292,""50( ?['fF]([oO]{2})?[tT]?)?( ?[eE][rR]{2}[oO][rR])""),HYPERLINK(""https://www.munzee.com/map/?sandbox=1&amp;lat=""&amp;$D292&amp;""&amp;lon=""&amp;$E292&amp;""&amp;name=""&amp;SUBSTITUTE($A292,""#"",""%23""),""SANDBOX"""&amp;"),HYPERLINK(""https://www.munzee.com/m/""&amp;$H292&amp;""/deploys/0/type/""&amp;IFNA(VLOOKUP($G292,IMPORTRANGE(""https://docs.google.com/spreadsheets/d/1DliIGyDywdzxhd4svtjaewR0p9Y5UBTMNMQ2PcXsqss"",""type data!E2:F""),2,FALSE),$G292)&amp;""/"",$H292)),""""))"),"JABIE28/542")</f>
        <v>JABIE28/542</v>
      </c>
      <c r="L292" s="19" t="b">
        <v>1</v>
      </c>
      <c r="M292" s="12">
        <f t="shared" si="1"/>
        <v>85</v>
      </c>
      <c r="N292" s="13"/>
      <c r="O292" s="13"/>
      <c r="P292" s="15"/>
    </row>
    <row r="293">
      <c r="A293" s="15" t="s">
        <v>434</v>
      </c>
      <c r="B293" s="16">
        <v>16.0</v>
      </c>
      <c r="C293" s="16">
        <v>21.0</v>
      </c>
      <c r="D293" s="17">
        <v>44.863918625446</v>
      </c>
      <c r="E293" s="17">
        <v>-93.332802992057</v>
      </c>
      <c r="F293" s="16" t="s">
        <v>16</v>
      </c>
      <c r="G293" s="16" t="s">
        <v>17</v>
      </c>
      <c r="H293" s="18" t="s">
        <v>435</v>
      </c>
      <c r="I293" s="19">
        <v>239.0</v>
      </c>
      <c r="J293" s="21"/>
      <c r="K293" s="11" t="str">
        <f>IFERROR(__xludf.DUMMYFUNCTION("IF(AND(REGEXMATCH($H293,""50( ?['fF]([oO]{2})?[tT]?)?( ?[eE][rR]{2}[oO][rR])"")=FALSE,$H293&lt;&gt;"""",$I293&lt;&gt;""""),HYPERLINK(""https://www.munzee.com/m/""&amp;$H293&amp;""/""&amp;$I293&amp;""/map/?lat=""&amp;$D293&amp;""&amp;lon=""&amp;$E293&amp;""&amp;type=""&amp;$G293&amp;""&amp;name=""&amp;SUBSTITUTE($A293,""#"&amp;""",""%23""),$H293&amp;""/""&amp;$I293),IF($H293&lt;&gt;"""",IF(REGEXMATCH($H293,""50( ?['fF]([oO]{2})?[tT]?)?( ?[eE][rR]{2}[oO][rR])""),HYPERLINK(""https://www.munzee.com/map/?sandbox=1&amp;lat=""&amp;$D293&amp;""&amp;lon=""&amp;$E293&amp;""&amp;name=""&amp;SUBSTITUTE($A293,""#"",""%23""),""SANDBOX"""&amp;"),HYPERLINK(""https://www.munzee.com/m/""&amp;$H293&amp;""/deploys/0/type/""&amp;IFNA(VLOOKUP($G293,IMPORTRANGE(""https://docs.google.com/spreadsheets/d/1DliIGyDywdzxhd4svtjaewR0p9Y5UBTMNMQ2PcXsqss"",""type data!E2:F""),2,FALSE),$G293)&amp;""/"",$H293)),""""))"),"LauraMN/239")</f>
        <v>LauraMN/239</v>
      </c>
      <c r="L293" s="19" t="b">
        <v>1</v>
      </c>
      <c r="M293" s="12">
        <f t="shared" si="1"/>
        <v>2</v>
      </c>
      <c r="N293" s="13"/>
      <c r="O293" s="13"/>
      <c r="P293" s="15"/>
    </row>
    <row r="294">
      <c r="A294" s="15" t="s">
        <v>436</v>
      </c>
      <c r="B294" s="16">
        <v>17.0</v>
      </c>
      <c r="C294" s="16">
        <v>9.0</v>
      </c>
      <c r="D294" s="17">
        <v>44.863774897154</v>
      </c>
      <c r="E294" s="17">
        <v>-93.335236418096</v>
      </c>
      <c r="F294" s="16" t="s">
        <v>16</v>
      </c>
      <c r="G294" s="16" t="s">
        <v>17</v>
      </c>
      <c r="H294" s="18" t="s">
        <v>343</v>
      </c>
      <c r="I294" s="19">
        <v>441.0</v>
      </c>
      <c r="J294" s="21"/>
      <c r="K294" s="11" t="str">
        <f>IFERROR(__xludf.DUMMYFUNCTION("IF(AND(REGEXMATCH($H294,""50( ?['fF]([oO]{2})?[tT]?)?( ?[eE][rR]{2}[oO][rR])"")=FALSE,$H294&lt;&gt;"""",$I294&lt;&gt;""""),HYPERLINK(""https://www.munzee.com/m/""&amp;$H294&amp;""/""&amp;$I294&amp;""/map/?lat=""&amp;$D294&amp;""&amp;lon=""&amp;$E294&amp;""&amp;type=""&amp;$G294&amp;""&amp;name=""&amp;SUBSTITUTE($A294,""#"&amp;""",""%23""),$H294&amp;""/""&amp;$I294),IF($H294&lt;&gt;"""",IF(REGEXMATCH($H294,""50( ?['fF]([oO]{2})?[tT]?)?( ?[eE][rR]{2}[oO][rR])""),HYPERLINK(""https://www.munzee.com/map/?sandbox=1&amp;lat=""&amp;$D294&amp;""&amp;lon=""&amp;$E294&amp;""&amp;name=""&amp;SUBSTITUTE($A294,""#"",""%23""),""SANDBOX"""&amp;"),HYPERLINK(""https://www.munzee.com/m/""&amp;$H294&amp;""/deploys/0/type/""&amp;IFNA(VLOOKUP($G294,IMPORTRANGE(""https://docs.google.com/spreadsheets/d/1DliIGyDywdzxhd4svtjaewR0p9Y5UBTMNMQ2PcXsqss"",""type data!E2:F""),2,FALSE),$G294)&amp;""/"",$H294)),""""))"),"jens985/441")</f>
        <v>jens985/441</v>
      </c>
      <c r="L294" s="19" t="b">
        <v>1</v>
      </c>
      <c r="M294" s="12">
        <f t="shared" si="1"/>
        <v>5</v>
      </c>
      <c r="N294" s="13"/>
      <c r="O294" s="13"/>
      <c r="P294" s="15"/>
    </row>
    <row r="295">
      <c r="A295" s="15" t="s">
        <v>437</v>
      </c>
      <c r="B295" s="16">
        <v>17.0</v>
      </c>
      <c r="C295" s="16">
        <v>10.0</v>
      </c>
      <c r="D295" s="17">
        <v>44.863774896975</v>
      </c>
      <c r="E295" s="17">
        <v>-93.335033634111</v>
      </c>
      <c r="F295" s="16" t="s">
        <v>41</v>
      </c>
      <c r="G295" s="16" t="s">
        <v>17</v>
      </c>
      <c r="H295" s="18" t="s">
        <v>246</v>
      </c>
      <c r="I295" s="19">
        <v>114.0</v>
      </c>
      <c r="J295" s="21"/>
      <c r="K295" s="11" t="str">
        <f>IFERROR(__xludf.DUMMYFUNCTION("IF(AND(REGEXMATCH($H295,""50( ?['fF]([oO]{2})?[tT]?)?( ?[eE][rR]{2}[oO][rR])"")=FALSE,$H295&lt;&gt;"""",$I295&lt;&gt;""""),HYPERLINK(""https://www.munzee.com/m/""&amp;$H295&amp;""/""&amp;$I295&amp;""/map/?lat=""&amp;$D295&amp;""&amp;lon=""&amp;$E295&amp;""&amp;type=""&amp;$G295&amp;""&amp;name=""&amp;SUBSTITUTE($A295,""#"&amp;""",""%23""),$H295&amp;""/""&amp;$I295),IF($H295&lt;&gt;"""",IF(REGEXMATCH($H295,""50( ?['fF]([oO]{2})?[tT]?)?( ?[eE][rR]{2}[oO][rR])""),HYPERLINK(""https://www.munzee.com/map/?sandbox=1&amp;lat=""&amp;$D295&amp;""&amp;lon=""&amp;$E295&amp;""&amp;name=""&amp;SUBSTITUTE($A295,""#"",""%23""),""SANDBOX"""&amp;"),HYPERLINK(""https://www.munzee.com/m/""&amp;$H295&amp;""/deploys/0/type/""&amp;IFNA(VLOOKUP($G295,IMPORTRANGE(""https://docs.google.com/spreadsheets/d/1DliIGyDywdzxhd4svtjaewR0p9Y5UBTMNMQ2PcXsqss"",""type data!E2:F""),2,FALSE),$G295)&amp;""/"",$H295)),""""))"),"qwerty2582/114")</f>
        <v>qwerty2582/114</v>
      </c>
      <c r="L295" s="19" t="b">
        <v>1</v>
      </c>
      <c r="M295" s="12">
        <f t="shared" si="1"/>
        <v>12</v>
      </c>
      <c r="N295" s="13"/>
      <c r="O295" s="13"/>
      <c r="P295" s="15"/>
    </row>
    <row r="296">
      <c r="A296" s="15" t="s">
        <v>438</v>
      </c>
      <c r="B296" s="16">
        <v>17.0</v>
      </c>
      <c r="C296" s="16">
        <v>11.0</v>
      </c>
      <c r="D296" s="17">
        <v>44.863774896795</v>
      </c>
      <c r="E296" s="17">
        <v>-93.334830850127</v>
      </c>
      <c r="F296" s="16" t="s">
        <v>41</v>
      </c>
      <c r="G296" s="16" t="s">
        <v>17</v>
      </c>
      <c r="H296" s="18" t="s">
        <v>58</v>
      </c>
      <c r="I296" s="19">
        <v>725.0</v>
      </c>
      <c r="J296" s="20"/>
      <c r="K296" s="11" t="str">
        <f>IFERROR(__xludf.DUMMYFUNCTION("IF(AND(REGEXMATCH($H296,""50( ?['fF]([oO]{2})?[tT]?)?( ?[eE][rR]{2}[oO][rR])"")=FALSE,$H296&lt;&gt;"""",$I296&lt;&gt;""""),HYPERLINK(""https://www.munzee.com/m/""&amp;$H296&amp;""/""&amp;$I296&amp;""/map/?lat=""&amp;$D296&amp;""&amp;lon=""&amp;$E296&amp;""&amp;type=""&amp;$G296&amp;""&amp;name=""&amp;SUBSTITUTE($A296,""#"&amp;""",""%23""),$H296&amp;""/""&amp;$I296),IF($H296&lt;&gt;"""",IF(REGEXMATCH($H296,""50( ?['fF]([oO]{2})?[tT]?)?( ?[eE][rR]{2}[oO][rR])""),HYPERLINK(""https://www.munzee.com/map/?sandbox=1&amp;lat=""&amp;$D296&amp;""&amp;lon=""&amp;$E296&amp;""&amp;name=""&amp;SUBSTITUTE($A296,""#"",""%23""),""SANDBOX"""&amp;"),HYPERLINK(""https://www.munzee.com/m/""&amp;$H296&amp;""/deploys/0/type/""&amp;IFNA(VLOOKUP($G296,IMPORTRANGE(""https://docs.google.com/spreadsheets/d/1DliIGyDywdzxhd4svtjaewR0p9Y5UBTMNMQ2PcXsqss"",""type data!E2:F""),2,FALSE),$G296)&amp;""/"",$H296)),""""))"),"cdwilliams1/725")</f>
        <v>cdwilliams1/725</v>
      </c>
      <c r="L296" s="19" t="b">
        <v>1</v>
      </c>
      <c r="M296" s="12">
        <f t="shared" si="1"/>
        <v>10</v>
      </c>
      <c r="N296" s="13"/>
      <c r="O296" s="13"/>
      <c r="P296" s="29"/>
    </row>
    <row r="297">
      <c r="A297" s="15" t="s">
        <v>439</v>
      </c>
      <c r="B297" s="16">
        <v>17.0</v>
      </c>
      <c r="C297" s="16">
        <v>12.0</v>
      </c>
      <c r="D297" s="17">
        <v>44.863774896616</v>
      </c>
      <c r="E297" s="17">
        <v>-93.334628066143</v>
      </c>
      <c r="F297" s="16" t="s">
        <v>41</v>
      </c>
      <c r="G297" s="16" t="s">
        <v>17</v>
      </c>
      <c r="H297" s="18" t="s">
        <v>95</v>
      </c>
      <c r="I297" s="19">
        <v>1659.0</v>
      </c>
      <c r="J297" s="21"/>
      <c r="K297" s="11" t="str">
        <f>IFERROR(__xludf.DUMMYFUNCTION("IF(AND(REGEXMATCH($H297,""50( ?['fF]([oO]{2})?[tT]?)?( ?[eE][rR]{2}[oO][rR])"")=FALSE,$H297&lt;&gt;"""",$I297&lt;&gt;""""),HYPERLINK(""https://www.munzee.com/m/""&amp;$H297&amp;""/""&amp;$I297&amp;""/map/?lat=""&amp;$D297&amp;""&amp;lon=""&amp;$E297&amp;""&amp;type=""&amp;$G297&amp;""&amp;name=""&amp;SUBSTITUTE($A297,""#"&amp;""",""%23""),$H297&amp;""/""&amp;$I297),IF($H297&lt;&gt;"""",IF(REGEXMATCH($H297,""50( ?['fF]([oO]{2})?[tT]?)?( ?[eE][rR]{2}[oO][rR])""),HYPERLINK(""https://www.munzee.com/map/?sandbox=1&amp;lat=""&amp;$D297&amp;""&amp;lon=""&amp;$E297&amp;""&amp;name=""&amp;SUBSTITUTE($A297,""#"",""%23""),""SANDBOX"""&amp;"),HYPERLINK(""https://www.munzee.com/m/""&amp;$H297&amp;""/deploys/0/type/""&amp;IFNA(VLOOKUP($G297,IMPORTRANGE(""https://docs.google.com/spreadsheets/d/1DliIGyDywdzxhd4svtjaewR0p9Y5UBTMNMQ2PcXsqss"",""type data!E2:F""),2,FALSE),$G297)&amp;""/"",$H297)),""""))"),"munzeepa/1659")</f>
        <v>munzeepa/1659</v>
      </c>
      <c r="L297" s="19" t="b">
        <v>1</v>
      </c>
      <c r="M297" s="12">
        <f t="shared" si="1"/>
        <v>20</v>
      </c>
      <c r="N297" s="13"/>
      <c r="O297" s="13"/>
      <c r="P297" s="29"/>
    </row>
    <row r="298">
      <c r="A298" s="15" t="s">
        <v>440</v>
      </c>
      <c r="B298" s="16">
        <v>17.0</v>
      </c>
      <c r="C298" s="16">
        <v>13.0</v>
      </c>
      <c r="D298" s="17">
        <v>44.863774896436</v>
      </c>
      <c r="E298" s="17">
        <v>-93.334425282158</v>
      </c>
      <c r="F298" s="16" t="s">
        <v>41</v>
      </c>
      <c r="G298" s="16" t="s">
        <v>17</v>
      </c>
      <c r="H298" s="18" t="s">
        <v>246</v>
      </c>
      <c r="I298" s="19">
        <v>110.0</v>
      </c>
      <c r="J298" s="21"/>
      <c r="K298" s="11" t="str">
        <f>IFERROR(__xludf.DUMMYFUNCTION("IF(AND(REGEXMATCH($H298,""50( ?['fF]([oO]{2})?[tT]?)?( ?[eE][rR]{2}[oO][rR])"")=FALSE,$H298&lt;&gt;"""",$I298&lt;&gt;""""),HYPERLINK(""https://www.munzee.com/m/""&amp;$H298&amp;""/""&amp;$I298&amp;""/map/?lat=""&amp;$D298&amp;""&amp;lon=""&amp;$E298&amp;""&amp;type=""&amp;$G298&amp;""&amp;name=""&amp;SUBSTITUTE($A298,""#"&amp;""",""%23""),$H298&amp;""/""&amp;$I298),IF($H298&lt;&gt;"""",IF(REGEXMATCH($H298,""50( ?['fF]([oO]{2})?[tT]?)?( ?[eE][rR]{2}[oO][rR])""),HYPERLINK(""https://www.munzee.com/map/?sandbox=1&amp;lat=""&amp;$D298&amp;""&amp;lon=""&amp;$E298&amp;""&amp;name=""&amp;SUBSTITUTE($A298,""#"",""%23""),""SANDBOX"""&amp;"),HYPERLINK(""https://www.munzee.com/m/""&amp;$H298&amp;""/deploys/0/type/""&amp;IFNA(VLOOKUP($G298,IMPORTRANGE(""https://docs.google.com/spreadsheets/d/1DliIGyDywdzxhd4svtjaewR0p9Y5UBTMNMQ2PcXsqss"",""type data!E2:F""),2,FALSE),$G298)&amp;""/"",$H298)),""""))"),"qwerty2582/110")</f>
        <v>qwerty2582/110</v>
      </c>
      <c r="L298" s="19" t="b">
        <v>1</v>
      </c>
      <c r="M298" s="12">
        <f t="shared" si="1"/>
        <v>12</v>
      </c>
      <c r="N298" s="13"/>
      <c r="O298" s="13"/>
      <c r="P298" s="15"/>
    </row>
    <row r="299">
      <c r="A299" s="15" t="s">
        <v>441</v>
      </c>
      <c r="B299" s="16">
        <v>17.0</v>
      </c>
      <c r="C299" s="16">
        <v>14.0</v>
      </c>
      <c r="D299" s="17">
        <v>44.863774896257</v>
      </c>
      <c r="E299" s="17">
        <v>-93.334222498174</v>
      </c>
      <c r="F299" s="16" t="s">
        <v>41</v>
      </c>
      <c r="G299" s="16" t="s">
        <v>17</v>
      </c>
      <c r="H299" s="18" t="s">
        <v>306</v>
      </c>
      <c r="I299" s="19">
        <v>4597.0</v>
      </c>
      <c r="J299" s="20"/>
      <c r="K299" s="11" t="str">
        <f>IFERROR(__xludf.DUMMYFUNCTION("IF(AND(REGEXMATCH($H299,""50( ?['fF]([oO]{2})?[tT]?)?( ?[eE][rR]{2}[oO][rR])"")=FALSE,$H299&lt;&gt;"""",$I299&lt;&gt;""""),HYPERLINK(""https://www.munzee.com/m/""&amp;$H299&amp;""/""&amp;$I299&amp;""/map/?lat=""&amp;$D299&amp;""&amp;lon=""&amp;$E299&amp;""&amp;type=""&amp;$G299&amp;""&amp;name=""&amp;SUBSTITUTE($A299,""#"&amp;""",""%23""),$H299&amp;""/""&amp;$I299),IF($H299&lt;&gt;"""",IF(REGEXMATCH($H299,""50( ?['fF]([oO]{2})?[tT]?)?( ?[eE][rR]{2}[oO][rR])""),HYPERLINK(""https://www.munzee.com/map/?sandbox=1&amp;lat=""&amp;$D299&amp;""&amp;lon=""&amp;$E299&amp;""&amp;name=""&amp;SUBSTITUTE($A299,""#"",""%23""),""SANDBOX"""&amp;"),HYPERLINK(""https://www.munzee.com/m/""&amp;$H299&amp;""/deploys/0/type/""&amp;IFNA(VLOOKUP($G299,IMPORTRANGE(""https://docs.google.com/spreadsheets/d/1DliIGyDywdzxhd4svtjaewR0p9Y5UBTMNMQ2PcXsqss"",""type data!E2:F""),2,FALSE),$G299)&amp;""/"",$H299)),""""))"),"FindersGirl/4597")</f>
        <v>FindersGirl/4597</v>
      </c>
      <c r="L299" s="19" t="b">
        <v>1</v>
      </c>
      <c r="M299" s="12">
        <f t="shared" si="1"/>
        <v>2</v>
      </c>
      <c r="N299" s="13"/>
      <c r="O299" s="13"/>
      <c r="P299" s="15"/>
    </row>
    <row r="300">
      <c r="A300" s="15" t="s">
        <v>442</v>
      </c>
      <c r="B300" s="16">
        <v>17.0</v>
      </c>
      <c r="C300" s="16">
        <v>15.0</v>
      </c>
      <c r="D300" s="17">
        <v>44.863774896078</v>
      </c>
      <c r="E300" s="17">
        <v>-93.334019714189</v>
      </c>
      <c r="F300" s="16" t="s">
        <v>41</v>
      </c>
      <c r="G300" s="16" t="s">
        <v>17</v>
      </c>
      <c r="H300" s="18" t="s">
        <v>443</v>
      </c>
      <c r="I300" s="19">
        <v>17646.0</v>
      </c>
      <c r="K300" s="11" t="str">
        <f>IFERROR(__xludf.DUMMYFUNCTION("IF(AND(REGEXMATCH($H300,""50( ?['fF]([oO]{2})?[tT]?)?( ?[eE][rR]{2}[oO][rR])"")=FALSE,$H300&lt;&gt;"""",$I300&lt;&gt;""""),HYPERLINK(""https://www.munzee.com/m/""&amp;$H300&amp;""/""&amp;$I300&amp;""/map/?lat=""&amp;$D300&amp;""&amp;lon=""&amp;$E300&amp;""&amp;type=""&amp;$G300&amp;""&amp;name=""&amp;SUBSTITUTE($A300,""#"&amp;""",""%23""),$H300&amp;""/""&amp;$I300),IF($H300&lt;&gt;"""",IF(REGEXMATCH($H300,""50( ?['fF]([oO]{2})?[tT]?)?( ?[eE][rR]{2}[oO][rR])""),HYPERLINK(""https://www.munzee.com/map/?sandbox=1&amp;lat=""&amp;$D300&amp;""&amp;lon=""&amp;$E300&amp;""&amp;name=""&amp;SUBSTITUTE($A300,""#"",""%23""),""SANDBOX"""&amp;"),HYPERLINK(""https://www.munzee.com/m/""&amp;$H300&amp;""/deploys/0/type/""&amp;IFNA(VLOOKUP($G300,IMPORTRANGE(""https://docs.google.com/spreadsheets/d/1DliIGyDywdzxhd4svtjaewR0p9Y5UBTMNMQ2PcXsqss"",""type data!E2:F""),2,FALSE),$G300)&amp;""/"",$H300)),""""))"),"OHail/17646")</f>
        <v>OHail/17646</v>
      </c>
      <c r="L300" s="19" t="b">
        <v>1</v>
      </c>
      <c r="M300" s="12">
        <f t="shared" si="1"/>
        <v>1</v>
      </c>
      <c r="N300" s="13"/>
      <c r="O300" s="13"/>
      <c r="P300" s="15"/>
    </row>
    <row r="301">
      <c r="A301" s="15" t="s">
        <v>444</v>
      </c>
      <c r="B301" s="16">
        <v>17.0</v>
      </c>
      <c r="C301" s="16">
        <v>16.0</v>
      </c>
      <c r="D301" s="17">
        <v>44.863774895898</v>
      </c>
      <c r="E301" s="17">
        <v>-93.333816930205</v>
      </c>
      <c r="F301" s="16" t="s">
        <v>41</v>
      </c>
      <c r="G301" s="16" t="s">
        <v>17</v>
      </c>
      <c r="H301" s="18" t="s">
        <v>246</v>
      </c>
      <c r="I301" s="19">
        <v>113.0</v>
      </c>
      <c r="J301" s="21"/>
      <c r="K301" s="11" t="str">
        <f>IFERROR(__xludf.DUMMYFUNCTION("IF(AND(REGEXMATCH($H301,""50( ?['fF]([oO]{2})?[tT]?)?( ?[eE][rR]{2}[oO][rR])"")=FALSE,$H301&lt;&gt;"""",$I301&lt;&gt;""""),HYPERLINK(""https://www.munzee.com/m/""&amp;$H301&amp;""/""&amp;$I301&amp;""/map/?lat=""&amp;$D301&amp;""&amp;lon=""&amp;$E301&amp;""&amp;type=""&amp;$G301&amp;""&amp;name=""&amp;SUBSTITUTE($A301,""#"&amp;""",""%23""),$H301&amp;""/""&amp;$I301),IF($H301&lt;&gt;"""",IF(REGEXMATCH($H301,""50( ?['fF]([oO]{2})?[tT]?)?( ?[eE][rR]{2}[oO][rR])""),HYPERLINK(""https://www.munzee.com/map/?sandbox=1&amp;lat=""&amp;$D301&amp;""&amp;lon=""&amp;$E301&amp;""&amp;name=""&amp;SUBSTITUTE($A301,""#"",""%23""),""SANDBOX"""&amp;"),HYPERLINK(""https://www.munzee.com/m/""&amp;$H301&amp;""/deploys/0/type/""&amp;IFNA(VLOOKUP($G301,IMPORTRANGE(""https://docs.google.com/spreadsheets/d/1DliIGyDywdzxhd4svtjaewR0p9Y5UBTMNMQ2PcXsqss"",""type data!E2:F""),2,FALSE),$G301)&amp;""/"",$H301)),""""))"),"qwerty2582/113")</f>
        <v>qwerty2582/113</v>
      </c>
      <c r="L301" s="19" t="b">
        <v>1</v>
      </c>
      <c r="M301" s="12">
        <f t="shared" si="1"/>
        <v>12</v>
      </c>
      <c r="N301" s="13"/>
      <c r="O301" s="13"/>
      <c r="P301" s="15"/>
    </row>
    <row r="302">
      <c r="A302" s="15" t="s">
        <v>445</v>
      </c>
      <c r="B302" s="16">
        <v>17.0</v>
      </c>
      <c r="C302" s="16">
        <v>17.0</v>
      </c>
      <c r="D302" s="17">
        <v>44.863774895719</v>
      </c>
      <c r="E302" s="17">
        <v>-93.33361414622</v>
      </c>
      <c r="F302" s="16" t="s">
        <v>41</v>
      </c>
      <c r="G302" s="16" t="s">
        <v>17</v>
      </c>
      <c r="H302" s="18" t="s">
        <v>446</v>
      </c>
      <c r="I302" s="19">
        <v>3924.0</v>
      </c>
      <c r="J302" s="20"/>
      <c r="K302" s="11" t="str">
        <f>IFERROR(__xludf.DUMMYFUNCTION("IF(AND(REGEXMATCH($H302,""50( ?['fF]([oO]{2})?[tT]?)?( ?[eE][rR]{2}[oO][rR])"")=FALSE,$H302&lt;&gt;"""",$I302&lt;&gt;""""),HYPERLINK(""https://www.munzee.com/m/""&amp;$H302&amp;""/""&amp;$I302&amp;""/map/?lat=""&amp;$D302&amp;""&amp;lon=""&amp;$E302&amp;""&amp;type=""&amp;$G302&amp;""&amp;name=""&amp;SUBSTITUTE($A302,""#"&amp;""",""%23""),$H302&amp;""/""&amp;$I302),IF($H302&lt;&gt;"""",IF(REGEXMATCH($H302,""50( ?['fF]([oO]{2})?[tT]?)?( ?[eE][rR]{2}[oO][rR])""),HYPERLINK(""https://www.munzee.com/map/?sandbox=1&amp;lat=""&amp;$D302&amp;""&amp;lon=""&amp;$E302&amp;""&amp;name=""&amp;SUBSTITUTE($A302,""#"",""%23""),""SANDBOX"""&amp;"),HYPERLINK(""https://www.munzee.com/m/""&amp;$H302&amp;""/deploys/0/type/""&amp;IFNA(VLOOKUP($G302,IMPORTRANGE(""https://docs.google.com/spreadsheets/d/1DliIGyDywdzxhd4svtjaewR0p9Y5UBTMNMQ2PcXsqss"",""type data!E2:F""),2,FALSE),$G302)&amp;""/"",$H302)),""""))"),"DaZie62/3924")</f>
        <v>DaZie62/3924</v>
      </c>
      <c r="L302" s="19" t="b">
        <v>1</v>
      </c>
      <c r="M302" s="12">
        <f t="shared" si="1"/>
        <v>2</v>
      </c>
      <c r="N302" s="13"/>
      <c r="O302" s="13"/>
      <c r="P302" s="15"/>
    </row>
    <row r="303">
      <c r="A303" s="15" t="s">
        <v>447</v>
      </c>
      <c r="B303" s="16">
        <v>17.0</v>
      </c>
      <c r="C303" s="16">
        <v>18.0</v>
      </c>
      <c r="D303" s="17">
        <v>44.863774895539</v>
      </c>
      <c r="E303" s="17">
        <v>-93.333411362236</v>
      </c>
      <c r="F303" s="16" t="s">
        <v>41</v>
      </c>
      <c r="G303" s="16" t="s">
        <v>17</v>
      </c>
      <c r="H303" s="18" t="s">
        <v>448</v>
      </c>
      <c r="I303" s="19">
        <v>1256.0</v>
      </c>
      <c r="J303" s="21"/>
      <c r="K303" s="11" t="str">
        <f>IFERROR(__xludf.DUMMYFUNCTION("IF(AND(REGEXMATCH($H303,""50( ?['fF]([oO]{2})?[tT]?)?( ?[eE][rR]{2}[oO][rR])"")=FALSE,$H303&lt;&gt;"""",$I303&lt;&gt;""""),HYPERLINK(""https://www.munzee.com/m/""&amp;$H303&amp;""/""&amp;$I303&amp;""/map/?lat=""&amp;$D303&amp;""&amp;lon=""&amp;$E303&amp;""&amp;type=""&amp;$G303&amp;""&amp;name=""&amp;SUBSTITUTE($A303,""#"&amp;""",""%23""),$H303&amp;""/""&amp;$I303),IF($H303&lt;&gt;"""",IF(REGEXMATCH($H303,""50( ?['fF]([oO]{2})?[tT]?)?( ?[eE][rR]{2}[oO][rR])""),HYPERLINK(""https://www.munzee.com/map/?sandbox=1&amp;lat=""&amp;$D303&amp;""&amp;lon=""&amp;$E303&amp;""&amp;name=""&amp;SUBSTITUTE($A303,""#"",""%23""),""SANDBOX"""&amp;"),HYPERLINK(""https://www.munzee.com/m/""&amp;$H303&amp;""/deploys/0/type/""&amp;IFNA(VLOOKUP($G303,IMPORTRANGE(""https://docs.google.com/spreadsheets/d/1DliIGyDywdzxhd4svtjaewR0p9Y5UBTMNMQ2PcXsqss"",""type data!E2:F""),2,FALSE),$G303)&amp;""/"",$H303)),""""))"),"Aphrael/1256")</f>
        <v>Aphrael/1256</v>
      </c>
      <c r="L303" s="19" t="b">
        <v>1</v>
      </c>
      <c r="M303" s="12">
        <f t="shared" si="1"/>
        <v>2</v>
      </c>
      <c r="N303" s="13"/>
      <c r="O303" s="13"/>
      <c r="P303" s="15"/>
    </row>
    <row r="304">
      <c r="A304" s="15" t="s">
        <v>449</v>
      </c>
      <c r="B304" s="16">
        <v>17.0</v>
      </c>
      <c r="C304" s="16">
        <v>19.0</v>
      </c>
      <c r="D304" s="17">
        <v>44.86377489536</v>
      </c>
      <c r="E304" s="17">
        <v>-93.333208578252</v>
      </c>
      <c r="F304" s="16" t="s">
        <v>41</v>
      </c>
      <c r="G304" s="16" t="s">
        <v>17</v>
      </c>
      <c r="H304" s="18" t="s">
        <v>246</v>
      </c>
      <c r="I304" s="19">
        <v>106.0</v>
      </c>
      <c r="J304" s="28"/>
      <c r="K304" s="11" t="str">
        <f>IFERROR(__xludf.DUMMYFUNCTION("IF(AND(REGEXMATCH($H304,""50( ?['fF]([oO]{2})?[tT]?)?( ?[eE][rR]{2}[oO][rR])"")=FALSE,$H304&lt;&gt;"""",$I304&lt;&gt;""""),HYPERLINK(""https://www.munzee.com/m/""&amp;$H304&amp;""/""&amp;$I304&amp;""/map/?lat=""&amp;$D304&amp;""&amp;lon=""&amp;$E304&amp;""&amp;type=""&amp;$G304&amp;""&amp;name=""&amp;SUBSTITUTE($A304,""#"&amp;""",""%23""),$H304&amp;""/""&amp;$I304),IF($H304&lt;&gt;"""",IF(REGEXMATCH($H304,""50( ?['fF]([oO]{2})?[tT]?)?( ?[eE][rR]{2}[oO][rR])""),HYPERLINK(""https://www.munzee.com/map/?sandbox=1&amp;lat=""&amp;$D304&amp;""&amp;lon=""&amp;$E304&amp;""&amp;name=""&amp;SUBSTITUTE($A304,""#"",""%23""),""SANDBOX"""&amp;"),HYPERLINK(""https://www.munzee.com/m/""&amp;$H304&amp;""/deploys/0/type/""&amp;IFNA(VLOOKUP($G304,IMPORTRANGE(""https://docs.google.com/spreadsheets/d/1DliIGyDywdzxhd4svtjaewR0p9Y5UBTMNMQ2PcXsqss"",""type data!E2:F""),2,FALSE),$G304)&amp;""/"",$H304)),""""))"),"qwerty2582/106")</f>
        <v>qwerty2582/106</v>
      </c>
      <c r="L304" s="19" t="b">
        <v>1</v>
      </c>
      <c r="M304" s="12">
        <f t="shared" si="1"/>
        <v>12</v>
      </c>
      <c r="N304" s="13"/>
      <c r="O304" s="13"/>
      <c r="P304" s="15"/>
    </row>
    <row r="305">
      <c r="A305" s="15" t="s">
        <v>450</v>
      </c>
      <c r="B305" s="16">
        <v>17.0</v>
      </c>
      <c r="C305" s="16">
        <v>20.0</v>
      </c>
      <c r="D305" s="17">
        <v>44.86377489518</v>
      </c>
      <c r="E305" s="17">
        <v>-93.333005794267</v>
      </c>
      <c r="F305" s="16" t="s">
        <v>16</v>
      </c>
      <c r="G305" s="16" t="s">
        <v>17</v>
      </c>
      <c r="H305" s="18" t="s">
        <v>174</v>
      </c>
      <c r="I305" s="19">
        <v>1893.0</v>
      </c>
      <c r="J305" s="21"/>
      <c r="K305" s="11" t="str">
        <f>IFERROR(__xludf.DUMMYFUNCTION("IF(AND(REGEXMATCH($H305,""50( ?['fF]([oO]{2})?[tT]?)?( ?[eE][rR]{2}[oO][rR])"")=FALSE,$H305&lt;&gt;"""",$I305&lt;&gt;""""),HYPERLINK(""https://www.munzee.com/m/""&amp;$H305&amp;""/""&amp;$I305&amp;""/map/?lat=""&amp;$D305&amp;""&amp;lon=""&amp;$E305&amp;""&amp;type=""&amp;$G305&amp;""&amp;name=""&amp;SUBSTITUTE($A305,""#"&amp;""",""%23""),$H305&amp;""/""&amp;$I305),IF($H305&lt;&gt;"""",IF(REGEXMATCH($H305,""50( ?['fF]([oO]{2})?[tT]?)?( ?[eE][rR]{2}[oO][rR])""),HYPERLINK(""https://www.munzee.com/map/?sandbox=1&amp;lat=""&amp;$D305&amp;""&amp;lon=""&amp;$E305&amp;""&amp;name=""&amp;SUBSTITUTE($A305,""#"",""%23""),""SANDBOX"""&amp;"),HYPERLINK(""https://www.munzee.com/m/""&amp;$H305&amp;""/deploys/0/type/""&amp;IFNA(VLOOKUP($G305,IMPORTRANGE(""https://docs.google.com/spreadsheets/d/1DliIGyDywdzxhd4svtjaewR0p9Y5UBTMNMQ2PcXsqss"",""type data!E2:F""),2,FALSE),$G305)&amp;""/"",$H305)),""""))"),"guido/1893")</f>
        <v>guido/1893</v>
      </c>
      <c r="L305" s="19" t="b">
        <v>1</v>
      </c>
      <c r="M305" s="12">
        <f t="shared" si="1"/>
        <v>4</v>
      </c>
      <c r="N305" s="13"/>
      <c r="O305" s="13"/>
      <c r="P305" s="15"/>
    </row>
    <row r="306">
      <c r="A306" s="15" t="s">
        <v>451</v>
      </c>
      <c r="B306" s="16">
        <v>18.0</v>
      </c>
      <c r="C306" s="16">
        <v>9.0</v>
      </c>
      <c r="D306" s="17">
        <v>44.863631166709</v>
      </c>
      <c r="E306" s="17">
        <v>-93.335236430247</v>
      </c>
      <c r="F306" s="16" t="s">
        <v>16</v>
      </c>
      <c r="G306" s="16" t="s">
        <v>17</v>
      </c>
      <c r="H306" s="18" t="s">
        <v>95</v>
      </c>
      <c r="I306" s="19">
        <v>1498.0</v>
      </c>
      <c r="J306" s="21"/>
      <c r="K306" s="11" t="str">
        <f>IFERROR(__xludf.DUMMYFUNCTION("IF(AND(REGEXMATCH($H306,""50( ?['fF]([oO]{2})?[tT]?)?( ?[eE][rR]{2}[oO][rR])"")=FALSE,$H306&lt;&gt;"""",$I306&lt;&gt;""""),HYPERLINK(""https://www.munzee.com/m/""&amp;$H306&amp;""/""&amp;$I306&amp;""/map/?lat=""&amp;$D306&amp;""&amp;lon=""&amp;$E306&amp;""&amp;type=""&amp;$G306&amp;""&amp;name=""&amp;SUBSTITUTE($A306,""#"&amp;""",""%23""),$H306&amp;""/""&amp;$I306),IF($H306&lt;&gt;"""",IF(REGEXMATCH($H306,""50( ?['fF]([oO]{2})?[tT]?)?( ?[eE][rR]{2}[oO][rR])""),HYPERLINK(""https://www.munzee.com/map/?sandbox=1&amp;lat=""&amp;$D306&amp;""&amp;lon=""&amp;$E306&amp;""&amp;name=""&amp;SUBSTITUTE($A306,""#"",""%23""),""SANDBOX"""&amp;"),HYPERLINK(""https://www.munzee.com/m/""&amp;$H306&amp;""/deploys/0/type/""&amp;IFNA(VLOOKUP($G306,IMPORTRANGE(""https://docs.google.com/spreadsheets/d/1DliIGyDywdzxhd4svtjaewR0p9Y5UBTMNMQ2PcXsqss"",""type data!E2:F""),2,FALSE),$G306)&amp;""/"",$H306)),""""))"),"munzeepa/1498")</f>
        <v>munzeepa/1498</v>
      </c>
      <c r="L306" s="19" t="b">
        <v>1</v>
      </c>
      <c r="M306" s="12">
        <f t="shared" si="1"/>
        <v>20</v>
      </c>
      <c r="N306" s="13"/>
      <c r="O306" s="13"/>
      <c r="P306" s="15"/>
    </row>
    <row r="307">
      <c r="A307" s="15" t="s">
        <v>452</v>
      </c>
      <c r="B307" s="16">
        <v>18.0</v>
      </c>
      <c r="C307" s="16">
        <v>10.0</v>
      </c>
      <c r="D307" s="17">
        <v>44.863631166529</v>
      </c>
      <c r="E307" s="17">
        <v>-93.335033646769</v>
      </c>
      <c r="F307" s="16" t="s">
        <v>41</v>
      </c>
      <c r="G307" s="16" t="s">
        <v>17</v>
      </c>
      <c r="H307" s="18" t="s">
        <v>99</v>
      </c>
      <c r="I307" s="19">
        <v>1358.0</v>
      </c>
      <c r="J307" s="21"/>
      <c r="K307" s="11" t="str">
        <f>IFERROR(__xludf.DUMMYFUNCTION("IF(AND(REGEXMATCH($H307,""50( ?['fF]([oO]{2})?[tT]?)?( ?[eE][rR]{2}[oO][rR])"")=FALSE,$H307&lt;&gt;"""",$I307&lt;&gt;""""),HYPERLINK(""https://www.munzee.com/m/""&amp;$H307&amp;""/""&amp;$I307&amp;""/map/?lat=""&amp;$D307&amp;""&amp;lon=""&amp;$E307&amp;""&amp;type=""&amp;$G307&amp;""&amp;name=""&amp;SUBSTITUTE($A307,""#"&amp;""",""%23""),$H307&amp;""/""&amp;$I307),IF($H307&lt;&gt;"""",IF(REGEXMATCH($H307,""50( ?['fF]([oO]{2})?[tT]?)?( ?[eE][rR]{2}[oO][rR])""),HYPERLINK(""https://www.munzee.com/map/?sandbox=1&amp;lat=""&amp;$D307&amp;""&amp;lon=""&amp;$E307&amp;""&amp;name=""&amp;SUBSTITUTE($A307,""#"",""%23""),""SANDBOX"""&amp;"),HYPERLINK(""https://www.munzee.com/m/""&amp;$H307&amp;""/deploys/0/type/""&amp;IFNA(VLOOKUP($G307,IMPORTRANGE(""https://docs.google.com/spreadsheets/d/1DliIGyDywdzxhd4svtjaewR0p9Y5UBTMNMQ2PcXsqss"",""type data!E2:F""),2,FALSE),$G307)&amp;""/"",$H307)),""""))"),"jsamundson/1358")</f>
        <v>jsamundson/1358</v>
      </c>
      <c r="L307" s="19" t="b">
        <v>1</v>
      </c>
      <c r="M307" s="12">
        <f t="shared" si="1"/>
        <v>20</v>
      </c>
      <c r="N307" s="13"/>
      <c r="O307" s="13"/>
      <c r="P307" s="15"/>
    </row>
    <row r="308">
      <c r="A308" s="15" t="s">
        <v>453</v>
      </c>
      <c r="B308" s="16">
        <v>18.0</v>
      </c>
      <c r="C308" s="16">
        <v>11.0</v>
      </c>
      <c r="D308" s="17">
        <v>44.86363116635</v>
      </c>
      <c r="E308" s="17">
        <v>-93.334830863291</v>
      </c>
      <c r="F308" s="16" t="s">
        <v>41</v>
      </c>
      <c r="G308" s="16" t="s">
        <v>17</v>
      </c>
      <c r="H308" s="18" t="s">
        <v>316</v>
      </c>
      <c r="I308" s="19">
        <v>2668.0</v>
      </c>
      <c r="J308" s="21"/>
      <c r="K308" s="11" t="str">
        <f>IFERROR(__xludf.DUMMYFUNCTION("IF(AND(REGEXMATCH($H308,""50( ?['fF]([oO]{2})?[tT]?)?( ?[eE][rR]{2}[oO][rR])"")=FALSE,$H308&lt;&gt;"""",$I308&lt;&gt;""""),HYPERLINK(""https://www.munzee.com/m/""&amp;$H308&amp;""/""&amp;$I308&amp;""/map/?lat=""&amp;$D308&amp;""&amp;lon=""&amp;$E308&amp;""&amp;type=""&amp;$G308&amp;""&amp;name=""&amp;SUBSTITUTE($A308,""#"&amp;""",""%23""),$H308&amp;""/""&amp;$I308),IF($H308&lt;&gt;"""",IF(REGEXMATCH($H308,""50( ?['fF]([oO]{2})?[tT]?)?( ?[eE][rR]{2}[oO][rR])""),HYPERLINK(""https://www.munzee.com/map/?sandbox=1&amp;lat=""&amp;$D308&amp;""&amp;lon=""&amp;$E308&amp;""&amp;name=""&amp;SUBSTITUTE($A308,""#"",""%23""),""SANDBOX"""&amp;"),HYPERLINK(""https://www.munzee.com/m/""&amp;$H308&amp;""/deploys/0/type/""&amp;IFNA(VLOOKUP($G308,IMPORTRANGE(""https://docs.google.com/spreadsheets/d/1DliIGyDywdzxhd4svtjaewR0p9Y5UBTMNMQ2PcXsqss"",""type data!E2:F""),2,FALSE),$G308)&amp;""/"",$H308)),""""))"),"mortonfox/2668")</f>
        <v>mortonfox/2668</v>
      </c>
      <c r="L308" s="19" t="b">
        <v>1</v>
      </c>
      <c r="M308" s="12">
        <f t="shared" si="1"/>
        <v>3</v>
      </c>
      <c r="N308" s="13"/>
      <c r="O308" s="13"/>
      <c r="P308" s="15"/>
    </row>
    <row r="309">
      <c r="A309" s="15" t="s">
        <v>454</v>
      </c>
      <c r="B309" s="16">
        <v>18.0</v>
      </c>
      <c r="C309" s="16">
        <v>12.0</v>
      </c>
      <c r="D309" s="17">
        <v>44.86363116617</v>
      </c>
      <c r="E309" s="17">
        <v>-93.334628079812</v>
      </c>
      <c r="F309" s="16" t="s">
        <v>41</v>
      </c>
      <c r="G309" s="16" t="s">
        <v>17</v>
      </c>
      <c r="H309" s="18" t="s">
        <v>455</v>
      </c>
      <c r="I309" s="19">
        <v>1218.0</v>
      </c>
      <c r="J309" s="20"/>
      <c r="K309" s="11" t="str">
        <f>IFERROR(__xludf.DUMMYFUNCTION("IF(AND(REGEXMATCH($H309,""50( ?['fF]([oO]{2})?[tT]?)?( ?[eE][rR]{2}[oO][rR])"")=FALSE,$H309&lt;&gt;"""",$I309&lt;&gt;""""),HYPERLINK(""https://www.munzee.com/m/""&amp;$H309&amp;""/""&amp;$I309&amp;""/map/?lat=""&amp;$D309&amp;""&amp;lon=""&amp;$E309&amp;""&amp;type=""&amp;$G309&amp;""&amp;name=""&amp;SUBSTITUTE($A309,""#"&amp;""",""%23""),$H309&amp;""/""&amp;$I309),IF($H309&lt;&gt;"""",IF(REGEXMATCH($H309,""50( ?['fF]([oO]{2})?[tT]?)?( ?[eE][rR]{2}[oO][rR])""),HYPERLINK(""https://www.munzee.com/map/?sandbox=1&amp;lat=""&amp;$D309&amp;""&amp;lon=""&amp;$E309&amp;""&amp;name=""&amp;SUBSTITUTE($A309,""#"",""%23""),""SANDBOX"""&amp;"),HYPERLINK(""https://www.munzee.com/m/""&amp;$H309&amp;""/deploys/0/type/""&amp;IFNA(VLOOKUP($G309,IMPORTRANGE(""https://docs.google.com/spreadsheets/d/1DliIGyDywdzxhd4svtjaewR0p9Y5UBTMNMQ2PcXsqss"",""type data!E2:F""),2,FALSE),$G309)&amp;""/"",$H309)),""""))"),"KLC/1218")</f>
        <v>KLC/1218</v>
      </c>
      <c r="L309" s="19" t="b">
        <v>1</v>
      </c>
      <c r="M309" s="12">
        <f t="shared" si="1"/>
        <v>1</v>
      </c>
      <c r="N309" s="13"/>
      <c r="O309" s="13"/>
      <c r="P309" s="15"/>
    </row>
    <row r="310">
      <c r="A310" s="15" t="s">
        <v>456</v>
      </c>
      <c r="B310" s="16">
        <v>18.0</v>
      </c>
      <c r="C310" s="16">
        <v>13.0</v>
      </c>
      <c r="D310" s="17">
        <v>44.863631165991</v>
      </c>
      <c r="E310" s="17">
        <v>-93.334425296334</v>
      </c>
      <c r="F310" s="16" t="s">
        <v>41</v>
      </c>
      <c r="G310" s="16" t="s">
        <v>17</v>
      </c>
      <c r="H310" s="18" t="s">
        <v>457</v>
      </c>
      <c r="I310" s="19">
        <v>526.0</v>
      </c>
      <c r="J310" s="20"/>
      <c r="K310" s="11" t="str">
        <f>IFERROR(__xludf.DUMMYFUNCTION("IF(AND(REGEXMATCH($H310,""50( ?['fF]([oO]{2})?[tT]?)?( ?[eE][rR]{2}[oO][rR])"")=FALSE,$H310&lt;&gt;"""",$I310&lt;&gt;""""),HYPERLINK(""https://www.munzee.com/m/""&amp;$H310&amp;""/""&amp;$I310&amp;""/map/?lat=""&amp;$D310&amp;""&amp;lon=""&amp;$E310&amp;""&amp;type=""&amp;$G310&amp;""&amp;name=""&amp;SUBSTITUTE($A310,""#"&amp;""",""%23""),$H310&amp;""/""&amp;$I310),IF($H310&lt;&gt;"""",IF(REGEXMATCH($H310,""50( ?['fF]([oO]{2})?[tT]?)?( ?[eE][rR]{2}[oO][rR])""),HYPERLINK(""https://www.munzee.com/map/?sandbox=1&amp;lat=""&amp;$D310&amp;""&amp;lon=""&amp;$E310&amp;""&amp;name=""&amp;SUBSTITUTE($A310,""#"",""%23""),""SANDBOX"""&amp;"),HYPERLINK(""https://www.munzee.com/m/""&amp;$H310&amp;""/deploys/0/type/""&amp;IFNA(VLOOKUP($G310,IMPORTRANGE(""https://docs.google.com/spreadsheets/d/1DliIGyDywdzxhd4svtjaewR0p9Y5UBTMNMQ2PcXsqss"",""type data!E2:F""),2,FALSE),$G310)&amp;""/"",$H310)),""""))"),"NuttyRachy/526")</f>
        <v>NuttyRachy/526</v>
      </c>
      <c r="L310" s="19" t="b">
        <v>1</v>
      </c>
      <c r="M310" s="12">
        <f t="shared" si="1"/>
        <v>1</v>
      </c>
      <c r="N310" s="13"/>
      <c r="O310" s="13"/>
      <c r="P310" s="15"/>
    </row>
    <row r="311">
      <c r="A311" s="15" t="s">
        <v>458</v>
      </c>
      <c r="B311" s="16">
        <v>18.0</v>
      </c>
      <c r="C311" s="16">
        <v>14.0</v>
      </c>
      <c r="D311" s="17">
        <v>44.863631165812</v>
      </c>
      <c r="E311" s="17">
        <v>-93.334222512856</v>
      </c>
      <c r="F311" s="16" t="s">
        <v>41</v>
      </c>
      <c r="G311" s="16" t="s">
        <v>410</v>
      </c>
      <c r="H311" s="18" t="s">
        <v>459</v>
      </c>
      <c r="I311" s="19">
        <v>1714.0</v>
      </c>
      <c r="J311" s="20"/>
      <c r="K311" s="11" t="str">
        <f>IFERROR(__xludf.DUMMYFUNCTION("IF(AND(REGEXMATCH($H311,""50( ?['fF]([oO]{2})?[tT]?)?( ?[eE][rR]{2}[oO][rR])"")=FALSE,$H311&lt;&gt;"""",$I311&lt;&gt;""""),HYPERLINK(""https://www.munzee.com/m/""&amp;$H311&amp;""/""&amp;$I311&amp;""/map/?lat=""&amp;$D311&amp;""&amp;lon=""&amp;$E311&amp;""&amp;type=""&amp;$G311&amp;""&amp;name=""&amp;SUBSTITUTE($A311,""#"&amp;""",""%23""),$H311&amp;""/""&amp;$I311),IF($H311&lt;&gt;"""",IF(REGEXMATCH($H311,""50( ?['fF]([oO]{2})?[tT]?)?( ?[eE][rR]{2}[oO][rR])""),HYPERLINK(""https://www.munzee.com/map/?sandbox=1&amp;lat=""&amp;$D311&amp;""&amp;lon=""&amp;$E311&amp;""&amp;name=""&amp;SUBSTITUTE($A311,""#"",""%23""),""SANDBOX"""&amp;"),HYPERLINK(""https://www.munzee.com/m/""&amp;$H311&amp;""/deploys/0/type/""&amp;IFNA(VLOOKUP($G311,IMPORTRANGE(""https://docs.google.com/spreadsheets/d/1DliIGyDywdzxhd4svtjaewR0p9Y5UBTMNMQ2PcXsqss"",""type data!E2:F""),2,FALSE),$G311)&amp;""/"",$H311)),""""))"),"Whatsoverthere /1714")</f>
        <v>Whatsoverthere /1714</v>
      </c>
      <c r="L311" s="19" t="b">
        <v>1</v>
      </c>
      <c r="M311" s="12">
        <f t="shared" si="1"/>
        <v>2</v>
      </c>
      <c r="N311" s="13"/>
      <c r="O311" s="13"/>
      <c r="P311" s="15"/>
    </row>
    <row r="312">
      <c r="A312" s="15" t="s">
        <v>460</v>
      </c>
      <c r="B312" s="16">
        <v>18.0</v>
      </c>
      <c r="C312" s="16">
        <v>15.0</v>
      </c>
      <c r="D312" s="17">
        <v>44.863631165632</v>
      </c>
      <c r="E312" s="17">
        <v>-93.334019729378</v>
      </c>
      <c r="F312" s="16" t="s">
        <v>41</v>
      </c>
      <c r="G312" s="16" t="s">
        <v>410</v>
      </c>
      <c r="H312" s="33" t="s">
        <v>194</v>
      </c>
      <c r="I312" s="19">
        <v>8625.0</v>
      </c>
      <c r="J312" s="20"/>
      <c r="K312" s="11" t="str">
        <f>IFERROR(__xludf.DUMMYFUNCTION("IF(AND(REGEXMATCH($H312,""50( ?['fF]([oO]{2})?[tT]?)?( ?[eE][rR]{2}[oO][rR])"")=FALSE,$H312&lt;&gt;"""",$I312&lt;&gt;""""),HYPERLINK(""https://www.munzee.com/m/""&amp;$H312&amp;""/""&amp;$I312&amp;""/map/?lat=""&amp;$D312&amp;""&amp;lon=""&amp;$E312&amp;""&amp;type=""&amp;$G312&amp;""&amp;name=""&amp;SUBSTITUTE($A312,""#"&amp;""",""%23""),$H312&amp;""/""&amp;$I312),IF($H312&lt;&gt;"""",IF(REGEXMATCH($H312,""50( ?['fF]([oO]{2})?[tT]?)?( ?[eE][rR]{2}[oO][rR])""),HYPERLINK(""https://www.munzee.com/map/?sandbox=1&amp;lat=""&amp;$D312&amp;""&amp;lon=""&amp;$E312&amp;""&amp;name=""&amp;SUBSTITUTE($A312,""#"",""%23""),""SANDBOX"""&amp;"),HYPERLINK(""https://www.munzee.com/m/""&amp;$H312&amp;""/deploys/0/type/""&amp;IFNA(VLOOKUP($G312,IMPORTRANGE(""https://docs.google.com/spreadsheets/d/1DliIGyDywdzxhd4svtjaewR0p9Y5UBTMNMQ2PcXsqss"",""type data!E2:F""),2,FALSE),$G312)&amp;""/"",$H312)),""""))"),"warped6/8625")</f>
        <v>warped6/8625</v>
      </c>
      <c r="L312" s="19" t="b">
        <v>1</v>
      </c>
      <c r="M312" s="12">
        <f t="shared" si="1"/>
        <v>24</v>
      </c>
      <c r="N312" s="13"/>
      <c r="O312" s="13"/>
      <c r="P312" s="15"/>
    </row>
    <row r="313">
      <c r="A313" s="15" t="s">
        <v>461</v>
      </c>
      <c r="B313" s="16">
        <v>18.0</v>
      </c>
      <c r="C313" s="16">
        <v>16.0</v>
      </c>
      <c r="D313" s="17">
        <v>44.863631165453</v>
      </c>
      <c r="E313" s="17">
        <v>-93.3338169459</v>
      </c>
      <c r="F313" s="16" t="s">
        <v>41</v>
      </c>
      <c r="G313" s="16" t="s">
        <v>410</v>
      </c>
      <c r="H313" s="18" t="s">
        <v>462</v>
      </c>
      <c r="I313" s="19">
        <v>535.0</v>
      </c>
      <c r="J313" s="21"/>
      <c r="K313" s="11" t="str">
        <f>IFERROR(__xludf.DUMMYFUNCTION("IF(AND(REGEXMATCH($H313,""50( ?['fF]([oO]{2})?[tT]?)?( ?[eE][rR]{2}[oO][rR])"")=FALSE,$H313&lt;&gt;"""",$I313&lt;&gt;""""),HYPERLINK(""https://www.munzee.com/m/""&amp;$H313&amp;""/""&amp;$I313&amp;""/map/?lat=""&amp;$D313&amp;""&amp;lon=""&amp;$E313&amp;""&amp;type=""&amp;$G313&amp;""&amp;name=""&amp;SUBSTITUTE($A313,""#"&amp;""",""%23""),$H313&amp;""/""&amp;$I313),IF($H313&lt;&gt;"""",IF(REGEXMATCH($H313,""50( ?['fF]([oO]{2})?[tT]?)?( ?[eE][rR]{2}[oO][rR])""),HYPERLINK(""https://www.munzee.com/map/?sandbox=1&amp;lat=""&amp;$D313&amp;""&amp;lon=""&amp;$E313&amp;""&amp;name=""&amp;SUBSTITUTE($A313,""#"",""%23""),""SANDBOX"""&amp;"),HYPERLINK(""https://www.munzee.com/m/""&amp;$H313&amp;""/deploys/0/type/""&amp;IFNA(VLOOKUP($G313,IMPORTRANGE(""https://docs.google.com/spreadsheets/d/1DliIGyDywdzxhd4svtjaewR0p9Y5UBTMNMQ2PcXsqss"",""type data!E2:F""),2,FALSE),$G313)&amp;""/"",$H313)),""""))"),"Smith2190/535")</f>
        <v>Smith2190/535</v>
      </c>
      <c r="L313" s="19" t="b">
        <v>1</v>
      </c>
      <c r="M313" s="12">
        <f t="shared" si="1"/>
        <v>1</v>
      </c>
      <c r="N313" s="13"/>
      <c r="O313" s="13"/>
      <c r="P313" s="15"/>
    </row>
    <row r="314">
      <c r="A314" s="15" t="s">
        <v>463</v>
      </c>
      <c r="B314" s="16">
        <v>18.0</v>
      </c>
      <c r="C314" s="16">
        <v>17.0</v>
      </c>
      <c r="D314" s="17">
        <v>44.863631165273</v>
      </c>
      <c r="E314" s="17">
        <v>-93.333614162422</v>
      </c>
      <c r="F314" s="16" t="s">
        <v>41</v>
      </c>
      <c r="G314" s="16" t="s">
        <v>410</v>
      </c>
      <c r="H314" s="18" t="s">
        <v>326</v>
      </c>
      <c r="I314" s="19">
        <v>3122.0</v>
      </c>
      <c r="J314" s="21"/>
      <c r="K314" s="11" t="str">
        <f>IFERROR(__xludf.DUMMYFUNCTION("IF(AND(REGEXMATCH($H314,""50( ?['fF]([oO]{2})?[tT]?)?( ?[eE][rR]{2}[oO][rR])"")=FALSE,$H314&lt;&gt;"""",$I314&lt;&gt;""""),HYPERLINK(""https://www.munzee.com/m/""&amp;$H314&amp;""/""&amp;$I314&amp;""/map/?lat=""&amp;$D314&amp;""&amp;lon=""&amp;$E314&amp;""&amp;type=""&amp;$G314&amp;""&amp;name=""&amp;SUBSTITUTE($A314,""#"&amp;""",""%23""),$H314&amp;""/""&amp;$I314),IF($H314&lt;&gt;"""",IF(REGEXMATCH($H314,""50( ?['fF]([oO]{2})?[tT]?)?( ?[eE][rR]{2}[oO][rR])""),HYPERLINK(""https://www.munzee.com/map/?sandbox=1&amp;lat=""&amp;$D314&amp;""&amp;lon=""&amp;$E314&amp;""&amp;name=""&amp;SUBSTITUTE($A314,""#"",""%23""),""SANDBOX"""&amp;"),HYPERLINK(""https://www.munzee.com/m/""&amp;$H314&amp;""/deploys/0/type/""&amp;IFNA(VLOOKUP($G314,IMPORTRANGE(""https://docs.google.com/spreadsheets/d/1DliIGyDywdzxhd4svtjaewR0p9Y5UBTMNMQ2PcXsqss"",""type data!E2:F""),2,FALSE),$G314)&amp;""/"",$H314)),""""))"),"rbct109/3122")</f>
        <v>rbct109/3122</v>
      </c>
      <c r="L314" s="19" t="b">
        <v>1</v>
      </c>
      <c r="M314" s="12">
        <f t="shared" si="1"/>
        <v>4</v>
      </c>
      <c r="N314" s="13"/>
      <c r="O314" s="13"/>
      <c r="P314" s="29"/>
    </row>
    <row r="315">
      <c r="A315" s="15" t="s">
        <v>464</v>
      </c>
      <c r="B315" s="16">
        <v>18.0</v>
      </c>
      <c r="C315" s="16">
        <v>18.0</v>
      </c>
      <c r="D315" s="17">
        <v>44.863631165094</v>
      </c>
      <c r="E315" s="17">
        <v>-93.333411378943</v>
      </c>
      <c r="F315" s="16" t="s">
        <v>41</v>
      </c>
      <c r="G315" s="16" t="s">
        <v>410</v>
      </c>
      <c r="H315" s="18" t="s">
        <v>294</v>
      </c>
      <c r="I315" s="19">
        <v>2076.0</v>
      </c>
      <c r="J315" s="20"/>
      <c r="K315" s="11" t="str">
        <f>IFERROR(__xludf.DUMMYFUNCTION("IF(AND(REGEXMATCH($H315,""50( ?['fF]([oO]{2})?[tT]?)?( ?[eE][rR]{2}[oO][rR])"")=FALSE,$H315&lt;&gt;"""",$I315&lt;&gt;""""),HYPERLINK(""https://www.munzee.com/m/""&amp;$H315&amp;""/""&amp;$I315&amp;""/map/?lat=""&amp;$D315&amp;""&amp;lon=""&amp;$E315&amp;""&amp;type=""&amp;$G315&amp;""&amp;name=""&amp;SUBSTITUTE($A315,""#"&amp;""",""%23""),$H315&amp;""/""&amp;$I315),IF($H315&lt;&gt;"""",IF(REGEXMATCH($H315,""50( ?['fF]([oO]{2})?[tT]?)?( ?[eE][rR]{2}[oO][rR])""),HYPERLINK(""https://www.munzee.com/map/?sandbox=1&amp;lat=""&amp;$D315&amp;""&amp;lon=""&amp;$E315&amp;""&amp;name=""&amp;SUBSTITUTE($A315,""#"",""%23""),""SANDBOX"""&amp;"),HYPERLINK(""https://www.munzee.com/m/""&amp;$H315&amp;""/deploys/0/type/""&amp;IFNA(VLOOKUP($G315,IMPORTRANGE(""https://docs.google.com/spreadsheets/d/1DliIGyDywdzxhd4svtjaewR0p9Y5UBTMNMQ2PcXsqss"",""type data!E2:F""),2,FALSE),$G315)&amp;""/"",$H315)),""""))"),"munzeemags/2076")</f>
        <v>munzeemags/2076</v>
      </c>
      <c r="L315" s="19" t="b">
        <v>1</v>
      </c>
      <c r="M315" s="12">
        <f t="shared" si="1"/>
        <v>5</v>
      </c>
      <c r="N315" s="13"/>
      <c r="O315" s="13"/>
      <c r="P315" s="29"/>
    </row>
    <row r="316">
      <c r="A316" s="15" t="s">
        <v>465</v>
      </c>
      <c r="B316" s="16">
        <v>18.0</v>
      </c>
      <c r="C316" s="16">
        <v>19.0</v>
      </c>
      <c r="D316" s="17">
        <v>44.863631164914</v>
      </c>
      <c r="E316" s="17">
        <v>-93.333208595465</v>
      </c>
      <c r="F316" s="16" t="s">
        <v>16</v>
      </c>
      <c r="G316" s="16" t="s">
        <v>17</v>
      </c>
      <c r="H316" s="18" t="s">
        <v>375</v>
      </c>
      <c r="I316" s="19">
        <v>2127.0</v>
      </c>
      <c r="J316" s="20"/>
      <c r="K316" s="11" t="str">
        <f>IFERROR(__xludf.DUMMYFUNCTION("IF(AND(REGEXMATCH($H316,""50( ?['fF]([oO]{2})?[tT]?)?( ?[eE][rR]{2}[oO][rR])"")=FALSE,$H316&lt;&gt;"""",$I316&lt;&gt;""""),HYPERLINK(""https://www.munzee.com/m/""&amp;$H316&amp;""/""&amp;$I316&amp;""/map/?lat=""&amp;$D316&amp;""&amp;lon=""&amp;$E316&amp;""&amp;type=""&amp;$G316&amp;""&amp;name=""&amp;SUBSTITUTE($A316,""#"&amp;""",""%23""),$H316&amp;""/""&amp;$I316),IF($H316&lt;&gt;"""",IF(REGEXMATCH($H316,""50( ?['fF]([oO]{2})?[tT]?)?( ?[eE][rR]{2}[oO][rR])""),HYPERLINK(""https://www.munzee.com/map/?sandbox=1&amp;lat=""&amp;$D316&amp;""&amp;lon=""&amp;$E316&amp;""&amp;name=""&amp;SUBSTITUTE($A316,""#"",""%23""),""SANDBOX"""&amp;"),HYPERLINK(""https://www.munzee.com/m/""&amp;$H316&amp;""/deploys/0/type/""&amp;IFNA(VLOOKUP($G316,IMPORTRANGE(""https://docs.google.com/spreadsheets/d/1DliIGyDywdzxhd4svtjaewR0p9Y5UBTMNMQ2PcXsqss"",""type data!E2:F""),2,FALSE),$G316)&amp;""/"",$H316)),""""))"),"Fire2Water/2127")</f>
        <v>Fire2Water/2127</v>
      </c>
      <c r="L316" s="19" t="b">
        <v>1</v>
      </c>
      <c r="M316" s="12">
        <f t="shared" si="1"/>
        <v>5</v>
      </c>
      <c r="N316" s="13"/>
      <c r="O316" s="13"/>
      <c r="P316" s="29"/>
    </row>
    <row r="317">
      <c r="A317" s="15" t="s">
        <v>466</v>
      </c>
      <c r="B317" s="16">
        <v>18.0</v>
      </c>
      <c r="C317" s="16">
        <v>20.0</v>
      </c>
      <c r="D317" s="17">
        <v>44.863631164735</v>
      </c>
      <c r="E317" s="17">
        <v>-93.333005811987</v>
      </c>
      <c r="F317" s="16" t="s">
        <v>16</v>
      </c>
      <c r="G317" s="16" t="s">
        <v>17</v>
      </c>
      <c r="H317" s="33" t="s">
        <v>194</v>
      </c>
      <c r="I317" s="19">
        <v>8362.0</v>
      </c>
      <c r="J317" s="20"/>
      <c r="K317" s="11" t="str">
        <f>IFERROR(__xludf.DUMMYFUNCTION("IF(AND(REGEXMATCH($H317,""50( ?['fF]([oO]{2})?[tT]?)?( ?[eE][rR]{2}[oO][rR])"")=FALSE,$H317&lt;&gt;"""",$I317&lt;&gt;""""),HYPERLINK(""https://www.munzee.com/m/""&amp;$H317&amp;""/""&amp;$I317&amp;""/map/?lat=""&amp;$D317&amp;""&amp;lon=""&amp;$E317&amp;""&amp;type=""&amp;$G317&amp;""&amp;name=""&amp;SUBSTITUTE($A317,""#"&amp;""",""%23""),$H317&amp;""/""&amp;$I317),IF($H317&lt;&gt;"""",IF(REGEXMATCH($H317,""50( ?['fF]([oO]{2})?[tT]?)?( ?[eE][rR]{2}[oO][rR])""),HYPERLINK(""https://www.munzee.com/map/?sandbox=1&amp;lat=""&amp;$D317&amp;""&amp;lon=""&amp;$E317&amp;""&amp;name=""&amp;SUBSTITUTE($A317,""#"",""%23""),""SANDBOX"""&amp;"),HYPERLINK(""https://www.munzee.com/m/""&amp;$H317&amp;""/deploys/0/type/""&amp;IFNA(VLOOKUP($G317,IMPORTRANGE(""https://docs.google.com/spreadsheets/d/1DliIGyDywdzxhd4svtjaewR0p9Y5UBTMNMQ2PcXsqss"",""type data!E2:F""),2,FALSE),$G317)&amp;""/"",$H317)),""""))"),"warped6/8362")</f>
        <v>warped6/8362</v>
      </c>
      <c r="L317" s="19" t="b">
        <v>1</v>
      </c>
      <c r="M317" s="12">
        <f t="shared" si="1"/>
        <v>24</v>
      </c>
      <c r="N317" s="13"/>
      <c r="O317" s="13"/>
      <c r="P317" s="29"/>
    </row>
    <row r="318">
      <c r="A318" s="15" t="s">
        <v>467</v>
      </c>
      <c r="B318" s="16">
        <v>19.0</v>
      </c>
      <c r="C318" s="16">
        <v>2.0</v>
      </c>
      <c r="D318" s="17">
        <v>44.863487437519</v>
      </c>
      <c r="E318" s="17">
        <v>-93.336655923201</v>
      </c>
      <c r="F318" s="16" t="s">
        <v>16</v>
      </c>
      <c r="G318" s="16" t="s">
        <v>17</v>
      </c>
      <c r="H318" s="18" t="s">
        <v>14</v>
      </c>
      <c r="I318" s="19">
        <v>541.0</v>
      </c>
      <c r="J318" s="20"/>
      <c r="K318" s="11" t="str">
        <f>IFERROR(__xludf.DUMMYFUNCTION("IF(AND(REGEXMATCH($H318,""50( ?['fF]([oO]{2})?[tT]?)?( ?[eE][rR]{2}[oO][rR])"")=FALSE,$H318&lt;&gt;"""",$I318&lt;&gt;""""),HYPERLINK(""https://www.munzee.com/m/""&amp;$H318&amp;""/""&amp;$I318&amp;""/map/?lat=""&amp;$D318&amp;""&amp;lon=""&amp;$E318&amp;""&amp;type=""&amp;$G318&amp;""&amp;name=""&amp;SUBSTITUTE($A318,""#"&amp;""",""%23""),$H318&amp;""/""&amp;$I318),IF($H318&lt;&gt;"""",IF(REGEXMATCH($H318,""50( ?['fF]([oO]{2})?[tT]?)?( ?[eE][rR]{2}[oO][rR])""),HYPERLINK(""https://www.munzee.com/map/?sandbox=1&amp;lat=""&amp;$D318&amp;""&amp;lon=""&amp;$E318&amp;""&amp;name=""&amp;SUBSTITUTE($A318,""#"",""%23""),""SANDBOX"""&amp;"),HYPERLINK(""https://www.munzee.com/m/""&amp;$H318&amp;""/deploys/0/type/""&amp;IFNA(VLOOKUP($G318,IMPORTRANGE(""https://docs.google.com/spreadsheets/d/1DliIGyDywdzxhd4svtjaewR0p9Y5UBTMNMQ2PcXsqss"",""type data!E2:F""),2,FALSE),$G318)&amp;""/"",$H318)),""""))"),"JABIE28/541")</f>
        <v>JABIE28/541</v>
      </c>
      <c r="L318" s="19" t="b">
        <v>1</v>
      </c>
      <c r="M318" s="12">
        <f t="shared" si="1"/>
        <v>85</v>
      </c>
      <c r="N318" s="13"/>
      <c r="O318" s="13"/>
      <c r="P318" s="29"/>
    </row>
    <row r="319">
      <c r="A319" s="15" t="s">
        <v>468</v>
      </c>
      <c r="B319" s="16">
        <v>19.0</v>
      </c>
      <c r="C319" s="16">
        <v>3.0</v>
      </c>
      <c r="D319" s="17">
        <v>44.86348743734</v>
      </c>
      <c r="E319" s="17">
        <v>-93.336453140229</v>
      </c>
      <c r="F319" s="16" t="s">
        <v>16</v>
      </c>
      <c r="G319" s="16" t="s">
        <v>17</v>
      </c>
      <c r="H319" s="18" t="s">
        <v>219</v>
      </c>
      <c r="I319" s="19">
        <v>891.0</v>
      </c>
      <c r="J319" s="21"/>
      <c r="K319" s="11" t="str">
        <f>IFERROR(__xludf.DUMMYFUNCTION("IF(AND(REGEXMATCH($H319,""50( ?['fF]([oO]{2})?[tT]?)?( ?[eE][rR]{2}[oO][rR])"")=FALSE,$H319&lt;&gt;"""",$I319&lt;&gt;""""),HYPERLINK(""https://www.munzee.com/m/""&amp;$H319&amp;""/""&amp;$I319&amp;""/map/?lat=""&amp;$D319&amp;""&amp;lon=""&amp;$E319&amp;""&amp;type=""&amp;$G319&amp;""&amp;name=""&amp;SUBSTITUTE($A319,""#"&amp;""",""%23""),$H319&amp;""/""&amp;$I319),IF($H319&lt;&gt;"""",IF(REGEXMATCH($H319,""50( ?['fF]([oO]{2})?[tT]?)?( ?[eE][rR]{2}[oO][rR])""),HYPERLINK(""https://www.munzee.com/map/?sandbox=1&amp;lat=""&amp;$D319&amp;""&amp;lon=""&amp;$E319&amp;""&amp;name=""&amp;SUBSTITUTE($A319,""#"",""%23""),""SANDBOX"""&amp;"),HYPERLINK(""https://www.munzee.com/m/""&amp;$H319&amp;""/deploys/0/type/""&amp;IFNA(VLOOKUP($G319,IMPORTRANGE(""https://docs.google.com/spreadsheets/d/1DliIGyDywdzxhd4svtjaewR0p9Y5UBTMNMQ2PcXsqss"",""type data!E2:F""),2,FALSE),$G319)&amp;""/"",$H319)),""""))"),"Quiltingisfuntoo/891")</f>
        <v>Quiltingisfuntoo/891</v>
      </c>
      <c r="L319" s="19" t="b">
        <v>1</v>
      </c>
      <c r="M319" s="12">
        <f t="shared" si="1"/>
        <v>8</v>
      </c>
      <c r="N319" s="13"/>
      <c r="O319" s="13"/>
      <c r="P319" s="29"/>
    </row>
    <row r="320">
      <c r="A320" s="15" t="s">
        <v>469</v>
      </c>
      <c r="B320" s="16">
        <v>19.0</v>
      </c>
      <c r="C320" s="16">
        <v>4.0</v>
      </c>
      <c r="D320" s="17">
        <v>44.86348743716</v>
      </c>
      <c r="E320" s="17">
        <v>-93.336250357257</v>
      </c>
      <c r="F320" s="16" t="s">
        <v>16</v>
      </c>
      <c r="G320" s="16" t="s">
        <v>17</v>
      </c>
      <c r="H320" s="18" t="s">
        <v>159</v>
      </c>
      <c r="I320" s="19">
        <v>818.0</v>
      </c>
      <c r="J320" s="20"/>
      <c r="K320" s="11" t="str">
        <f>IFERROR(__xludf.DUMMYFUNCTION("IF(AND(REGEXMATCH($H320,""50( ?['fF]([oO]{2})?[tT]?)?( ?[eE][rR]{2}[oO][rR])"")=FALSE,$H320&lt;&gt;"""",$I320&lt;&gt;""""),HYPERLINK(""https://www.munzee.com/m/""&amp;$H320&amp;""/""&amp;$I320&amp;""/map/?lat=""&amp;$D320&amp;""&amp;lon=""&amp;$E320&amp;""&amp;type=""&amp;$G320&amp;""&amp;name=""&amp;SUBSTITUTE($A320,""#"&amp;""",""%23""),$H320&amp;""/""&amp;$I320),IF($H320&lt;&gt;"""",IF(REGEXMATCH($H320,""50( ?['fF]([oO]{2})?[tT]?)?( ?[eE][rR]{2}[oO][rR])""),HYPERLINK(""https://www.munzee.com/map/?sandbox=1&amp;lat=""&amp;$D320&amp;""&amp;lon=""&amp;$E320&amp;""&amp;name=""&amp;SUBSTITUTE($A320,""#"",""%23""),""SANDBOX"""&amp;"),HYPERLINK(""https://www.munzee.com/m/""&amp;$H320&amp;""/deploys/0/type/""&amp;IFNA(VLOOKUP($G320,IMPORTRANGE(""https://docs.google.com/spreadsheets/d/1DliIGyDywdzxhd4svtjaewR0p9Y5UBTMNMQ2PcXsqss"",""type data!E2:F""),2,FALSE),$G320)&amp;""/"",$H320)),""""))"),"leesap/818")</f>
        <v>leesap/818</v>
      </c>
      <c r="L320" s="19" t="b">
        <v>1</v>
      </c>
      <c r="M320" s="12">
        <f t="shared" si="1"/>
        <v>3</v>
      </c>
      <c r="N320" s="13"/>
      <c r="O320" s="13"/>
      <c r="P320" s="29"/>
    </row>
    <row r="321">
      <c r="A321" s="15" t="s">
        <v>470</v>
      </c>
      <c r="B321" s="16">
        <v>19.0</v>
      </c>
      <c r="C321" s="16">
        <v>5.0</v>
      </c>
      <c r="D321" s="17">
        <v>44.863487436981</v>
      </c>
      <c r="E321" s="17">
        <v>-93.336047574285</v>
      </c>
      <c r="F321" s="16" t="s">
        <v>16</v>
      </c>
      <c r="G321" s="16" t="s">
        <v>17</v>
      </c>
      <c r="H321" s="18" t="s">
        <v>14</v>
      </c>
      <c r="I321" s="19">
        <v>538.0</v>
      </c>
      <c r="J321" s="20"/>
      <c r="K321" s="11" t="str">
        <f>IFERROR(__xludf.DUMMYFUNCTION("IF(AND(REGEXMATCH($H321,""50( ?['fF]([oO]{2})?[tT]?)?( ?[eE][rR]{2}[oO][rR])"")=FALSE,$H321&lt;&gt;"""",$I321&lt;&gt;""""),HYPERLINK(""https://www.munzee.com/m/""&amp;$H321&amp;""/""&amp;$I321&amp;""/map/?lat=""&amp;$D321&amp;""&amp;lon=""&amp;$E321&amp;""&amp;type=""&amp;$G321&amp;""&amp;name=""&amp;SUBSTITUTE($A321,""#"&amp;""",""%23""),$H321&amp;""/""&amp;$I321),IF($H321&lt;&gt;"""",IF(REGEXMATCH($H321,""50( ?['fF]([oO]{2})?[tT]?)?( ?[eE][rR]{2}[oO][rR])""),HYPERLINK(""https://www.munzee.com/map/?sandbox=1&amp;lat=""&amp;$D321&amp;""&amp;lon=""&amp;$E321&amp;""&amp;name=""&amp;SUBSTITUTE($A321,""#"",""%23""),""SANDBOX"""&amp;"),HYPERLINK(""https://www.munzee.com/m/""&amp;$H321&amp;""/deploys/0/type/""&amp;IFNA(VLOOKUP($G321,IMPORTRANGE(""https://docs.google.com/spreadsheets/d/1DliIGyDywdzxhd4svtjaewR0p9Y5UBTMNMQ2PcXsqss"",""type data!E2:F""),2,FALSE),$G321)&amp;""/"",$H321)),""""))"),"JABIE28/538")</f>
        <v>JABIE28/538</v>
      </c>
      <c r="L321" s="19" t="b">
        <v>1</v>
      </c>
      <c r="M321" s="12">
        <f t="shared" si="1"/>
        <v>85</v>
      </c>
      <c r="N321" s="13"/>
      <c r="O321" s="13"/>
      <c r="P321" s="29"/>
    </row>
    <row r="322">
      <c r="A322" s="15" t="s">
        <v>471</v>
      </c>
      <c r="B322" s="16">
        <v>19.0</v>
      </c>
      <c r="C322" s="16">
        <v>6.0</v>
      </c>
      <c r="D322" s="17">
        <v>44.863487436801</v>
      </c>
      <c r="E322" s="17">
        <v>-93.335844791314</v>
      </c>
      <c r="F322" s="16" t="s">
        <v>16</v>
      </c>
      <c r="G322" s="16" t="s">
        <v>410</v>
      </c>
      <c r="H322" s="18" t="s">
        <v>472</v>
      </c>
      <c r="I322" s="19">
        <v>1235.0</v>
      </c>
      <c r="J322" s="20"/>
      <c r="K322" s="11" t="str">
        <f>IFERROR(__xludf.DUMMYFUNCTION("IF(AND(REGEXMATCH($H322,""50( ?['fF]([oO]{2})?[tT]?)?( ?[eE][rR]{2}[oO][rR])"")=FALSE,$H322&lt;&gt;"""",$I322&lt;&gt;""""),HYPERLINK(""https://www.munzee.com/m/""&amp;$H322&amp;""/""&amp;$I322&amp;""/map/?lat=""&amp;$D322&amp;""&amp;lon=""&amp;$E322&amp;""&amp;type=""&amp;$G322&amp;""&amp;name=""&amp;SUBSTITUTE($A322,""#"&amp;""",""%23""),$H322&amp;""/""&amp;$I322),IF($H322&lt;&gt;"""",IF(REGEXMATCH($H322,""50( ?['fF]([oO]{2})?[tT]?)?( ?[eE][rR]{2}[oO][rR])""),HYPERLINK(""https://www.munzee.com/map/?sandbox=1&amp;lat=""&amp;$D322&amp;""&amp;lon=""&amp;$E322&amp;""&amp;name=""&amp;SUBSTITUTE($A322,""#"",""%23""),""SANDBOX"""&amp;"),HYPERLINK(""https://www.munzee.com/m/""&amp;$H322&amp;""/deploys/0/type/""&amp;IFNA(VLOOKUP($G322,IMPORTRANGE(""https://docs.google.com/spreadsheets/d/1DliIGyDywdzxhd4svtjaewR0p9Y5UBTMNMQ2PcXsqss"",""type data!E2:F""),2,FALSE),$G322)&amp;""/"",$H322)),""""))"),"Fluffystuff74/1235")</f>
        <v>Fluffystuff74/1235</v>
      </c>
      <c r="L322" s="19" t="b">
        <v>1</v>
      </c>
      <c r="M322" s="12">
        <f t="shared" si="1"/>
        <v>5</v>
      </c>
      <c r="N322" s="13"/>
      <c r="O322" s="13"/>
      <c r="P322" s="29"/>
    </row>
    <row r="323">
      <c r="A323" s="15" t="s">
        <v>473</v>
      </c>
      <c r="B323" s="16">
        <v>19.0</v>
      </c>
      <c r="C323" s="16">
        <v>7.0</v>
      </c>
      <c r="D323" s="17">
        <v>44.863487436622</v>
      </c>
      <c r="E323" s="17">
        <v>-93.335642008342</v>
      </c>
      <c r="F323" s="16" t="s">
        <v>16</v>
      </c>
      <c r="G323" s="16" t="s">
        <v>410</v>
      </c>
      <c r="H323" s="18" t="s">
        <v>214</v>
      </c>
      <c r="I323" s="19">
        <v>1383.0</v>
      </c>
      <c r="J323" s="21"/>
      <c r="K323" s="11" t="str">
        <f>IFERROR(__xludf.DUMMYFUNCTION("IF(AND(REGEXMATCH($H323,""50( ?['fF]([oO]{2})?[tT]?)?( ?[eE][rR]{2}[oO][rR])"")=FALSE,$H323&lt;&gt;"""",$I323&lt;&gt;""""),HYPERLINK(""https://www.munzee.com/m/""&amp;$H323&amp;""/""&amp;$I323&amp;""/map/?lat=""&amp;$D323&amp;""&amp;lon=""&amp;$E323&amp;""&amp;type=""&amp;$G323&amp;""&amp;name=""&amp;SUBSTITUTE($A323,""#"&amp;""",""%23""),$H323&amp;""/""&amp;$I323),IF($H323&lt;&gt;"""",IF(REGEXMATCH($H323,""50( ?['fF]([oO]{2})?[tT]?)?( ?[eE][rR]{2}[oO][rR])""),HYPERLINK(""https://www.munzee.com/map/?sandbox=1&amp;lat=""&amp;$D323&amp;""&amp;lon=""&amp;$E323&amp;""&amp;name=""&amp;SUBSTITUTE($A323,""#"",""%23""),""SANDBOX"""&amp;"),HYPERLINK(""https://www.munzee.com/m/""&amp;$H323&amp;""/deploys/0/type/""&amp;IFNA(VLOOKUP($G323,IMPORTRANGE(""https://docs.google.com/spreadsheets/d/1DliIGyDywdzxhd4svtjaewR0p9Y5UBTMNMQ2PcXsqss"",""type data!E2:F""),2,FALSE),$G323)&amp;""/"",$H323)),""""))"),"yida/1383")</f>
        <v>yida/1383</v>
      </c>
      <c r="L323" s="19" t="b">
        <v>1</v>
      </c>
      <c r="M323" s="12">
        <f t="shared" si="1"/>
        <v>3</v>
      </c>
      <c r="N323" s="13"/>
      <c r="O323" s="13"/>
      <c r="P323" s="29"/>
    </row>
    <row r="324">
      <c r="A324" s="15" t="s">
        <v>474</v>
      </c>
      <c r="B324" s="16">
        <v>19.0</v>
      </c>
      <c r="C324" s="16">
        <v>8.0</v>
      </c>
      <c r="D324" s="17">
        <v>44.863487436443</v>
      </c>
      <c r="E324" s="17">
        <v>-93.33543922537</v>
      </c>
      <c r="F324" s="16" t="s">
        <v>16</v>
      </c>
      <c r="G324" s="16" t="s">
        <v>410</v>
      </c>
      <c r="H324" s="18" t="s">
        <v>14</v>
      </c>
      <c r="I324" s="19">
        <v>2085.0</v>
      </c>
      <c r="J324" s="20"/>
      <c r="K324" s="11" t="str">
        <f>IFERROR(__xludf.DUMMYFUNCTION("IF(AND(REGEXMATCH($H324,""50( ?['fF]([oO]{2})?[tT]?)?( ?[eE][rR]{2}[oO][rR])"")=FALSE,$H324&lt;&gt;"""",$I324&lt;&gt;""""),HYPERLINK(""https://www.munzee.com/m/""&amp;$H324&amp;""/""&amp;$I324&amp;""/map/?lat=""&amp;$D324&amp;""&amp;lon=""&amp;$E324&amp;""&amp;type=""&amp;$G324&amp;""&amp;name=""&amp;SUBSTITUTE($A324,""#"&amp;""",""%23""),$H324&amp;""/""&amp;$I324),IF($H324&lt;&gt;"""",IF(REGEXMATCH($H324,""50( ?['fF]([oO]{2})?[tT]?)?( ?[eE][rR]{2}[oO][rR])""),HYPERLINK(""https://www.munzee.com/map/?sandbox=1&amp;lat=""&amp;$D324&amp;""&amp;lon=""&amp;$E324&amp;""&amp;name=""&amp;SUBSTITUTE($A324,""#"",""%23""),""SANDBOX"""&amp;"),HYPERLINK(""https://www.munzee.com/m/""&amp;$H324&amp;""/deploys/0/type/""&amp;IFNA(VLOOKUP($G324,IMPORTRANGE(""https://docs.google.com/spreadsheets/d/1DliIGyDywdzxhd4svtjaewR0p9Y5UBTMNMQ2PcXsqss"",""type data!E2:F""),2,FALSE),$G324)&amp;""/"",$H324)),""""))"),"JABIE28/2085")</f>
        <v>JABIE28/2085</v>
      </c>
      <c r="L324" s="19" t="b">
        <v>1</v>
      </c>
      <c r="M324" s="12">
        <f t="shared" si="1"/>
        <v>85</v>
      </c>
      <c r="N324" s="13"/>
      <c r="O324" s="13"/>
      <c r="P324" s="29"/>
    </row>
    <row r="325">
      <c r="A325" s="15" t="s">
        <v>475</v>
      </c>
      <c r="B325" s="16">
        <v>19.0</v>
      </c>
      <c r="C325" s="16">
        <v>9.0</v>
      </c>
      <c r="D325" s="17">
        <v>44.863487436263</v>
      </c>
      <c r="E325" s="17">
        <v>-93.335236442398</v>
      </c>
      <c r="F325" s="16" t="s">
        <v>41</v>
      </c>
      <c r="G325" s="16" t="s">
        <v>410</v>
      </c>
      <c r="H325" s="18" t="s">
        <v>273</v>
      </c>
      <c r="I325" s="19">
        <v>1926.0</v>
      </c>
      <c r="J325" s="21"/>
      <c r="K325" s="11" t="str">
        <f>IFERROR(__xludf.DUMMYFUNCTION("IF(AND(REGEXMATCH($H325,""50( ?['fF]([oO]{2})?[tT]?)?( ?[eE][rR]{2}[oO][rR])"")=FALSE,$H325&lt;&gt;"""",$I325&lt;&gt;""""),HYPERLINK(""https://www.munzee.com/m/""&amp;$H325&amp;""/""&amp;$I325&amp;""/map/?lat=""&amp;$D325&amp;""&amp;lon=""&amp;$E325&amp;""&amp;type=""&amp;$G325&amp;""&amp;name=""&amp;SUBSTITUTE($A325,""#"&amp;""",""%23""),$H325&amp;""/""&amp;$I325),IF($H325&lt;&gt;"""",IF(REGEXMATCH($H325,""50( ?['fF]([oO]{2})?[tT]?)?( ?[eE][rR]{2}[oO][rR])""),HYPERLINK(""https://www.munzee.com/map/?sandbox=1&amp;lat=""&amp;$D325&amp;""&amp;lon=""&amp;$E325&amp;""&amp;name=""&amp;SUBSTITUTE($A325,""#"",""%23""),""SANDBOX"""&amp;"),HYPERLINK(""https://www.munzee.com/m/""&amp;$H325&amp;""/deploys/0/type/""&amp;IFNA(VLOOKUP($G325,IMPORTRANGE(""https://docs.google.com/spreadsheets/d/1DliIGyDywdzxhd4svtjaewR0p9Y5UBTMNMQ2PcXsqss"",""type data!E2:F""),2,FALSE),$G325)&amp;""/"",$H325)),""""))"),"yhtak57/1926")</f>
        <v>yhtak57/1926</v>
      </c>
      <c r="L325" s="19" t="b">
        <v>1</v>
      </c>
      <c r="M325" s="12">
        <f t="shared" si="1"/>
        <v>12</v>
      </c>
      <c r="N325" s="13"/>
      <c r="O325" s="13"/>
      <c r="P325" s="29"/>
    </row>
    <row r="326">
      <c r="A326" s="15" t="s">
        <v>476</v>
      </c>
      <c r="B326" s="16">
        <v>19.0</v>
      </c>
      <c r="C326" s="16">
        <v>10.0</v>
      </c>
      <c r="D326" s="17">
        <v>44.863487436084</v>
      </c>
      <c r="E326" s="17">
        <v>-93.335033659426</v>
      </c>
      <c r="F326" s="16" t="s">
        <v>41</v>
      </c>
      <c r="G326" s="16" t="s">
        <v>410</v>
      </c>
      <c r="H326" s="18" t="s">
        <v>477</v>
      </c>
      <c r="I326" s="19">
        <v>2323.0</v>
      </c>
      <c r="J326" s="21"/>
      <c r="K326" s="11" t="str">
        <f>IFERROR(__xludf.DUMMYFUNCTION("IF(AND(REGEXMATCH($H326,""50( ?['fF]([oO]{2})?[tT]?)?( ?[eE][rR]{2}[oO][rR])"")=FALSE,$H326&lt;&gt;"""",$I326&lt;&gt;""""),HYPERLINK(""https://www.munzee.com/m/""&amp;$H326&amp;""/""&amp;$I326&amp;""/map/?lat=""&amp;$D326&amp;""&amp;lon=""&amp;$E326&amp;""&amp;type=""&amp;$G326&amp;""&amp;name=""&amp;SUBSTITUTE($A326,""#"&amp;""",""%23""),$H326&amp;""/""&amp;$I326),IF($H326&lt;&gt;"""",IF(REGEXMATCH($H326,""50( ?['fF]([oO]{2})?[tT]?)?( ?[eE][rR]{2}[oO][rR])""),HYPERLINK(""https://www.munzee.com/map/?sandbox=1&amp;lat=""&amp;$D326&amp;""&amp;lon=""&amp;$E326&amp;""&amp;name=""&amp;SUBSTITUTE($A326,""#"",""%23""),""SANDBOX"""&amp;"),HYPERLINK(""https://www.munzee.com/m/""&amp;$H326&amp;""/deploys/0/type/""&amp;IFNA(VLOOKUP($G326,IMPORTRANGE(""https://docs.google.com/spreadsheets/d/1DliIGyDywdzxhd4svtjaewR0p9Y5UBTMNMQ2PcXsqss"",""type data!E2:F""),2,FALSE),$G326)&amp;""/"",$H326)),""""))"),"bearmomscouter/2323")</f>
        <v>bearmomscouter/2323</v>
      </c>
      <c r="L326" s="19" t="b">
        <v>1</v>
      </c>
      <c r="M326" s="12">
        <f t="shared" si="1"/>
        <v>1</v>
      </c>
      <c r="N326" s="13"/>
      <c r="O326" s="13"/>
      <c r="P326" s="29"/>
    </row>
    <row r="327">
      <c r="A327" s="15" t="s">
        <v>478</v>
      </c>
      <c r="B327" s="16">
        <v>19.0</v>
      </c>
      <c r="C327" s="16">
        <v>11.0</v>
      </c>
      <c r="D327" s="17">
        <v>44.863487435904</v>
      </c>
      <c r="E327" s="17">
        <v>-93.334830876454</v>
      </c>
      <c r="F327" s="16" t="s">
        <v>41</v>
      </c>
      <c r="G327" s="16" t="s">
        <v>17</v>
      </c>
      <c r="H327" s="18" t="s">
        <v>14</v>
      </c>
      <c r="I327" s="19">
        <v>2082.0</v>
      </c>
      <c r="J327" s="27"/>
      <c r="K327" s="11" t="str">
        <f>IFERROR(__xludf.DUMMYFUNCTION("IF(AND(REGEXMATCH($H327,""50( ?['fF]([oO]{2})?[tT]?)?( ?[eE][rR]{2}[oO][rR])"")=FALSE,$H327&lt;&gt;"""",$I327&lt;&gt;""""),HYPERLINK(""https://www.munzee.com/m/""&amp;$H327&amp;""/""&amp;$I327&amp;""/map/?lat=""&amp;$D327&amp;""&amp;lon=""&amp;$E327&amp;""&amp;type=""&amp;$G327&amp;""&amp;name=""&amp;SUBSTITUTE($A327,""#"&amp;""",""%23""),$H327&amp;""/""&amp;$I327),IF($H327&lt;&gt;"""",IF(REGEXMATCH($H327,""50( ?['fF]([oO]{2})?[tT]?)?( ?[eE][rR]{2}[oO][rR])""),HYPERLINK(""https://www.munzee.com/map/?sandbox=1&amp;lat=""&amp;$D327&amp;""&amp;lon=""&amp;$E327&amp;""&amp;name=""&amp;SUBSTITUTE($A327,""#"",""%23""),""SANDBOX"""&amp;"),HYPERLINK(""https://www.munzee.com/m/""&amp;$H327&amp;""/deploys/0/type/""&amp;IFNA(VLOOKUP($G327,IMPORTRANGE(""https://docs.google.com/spreadsheets/d/1DliIGyDywdzxhd4svtjaewR0p9Y5UBTMNMQ2PcXsqss"",""type data!E2:F""),2,FALSE),$G327)&amp;""/"",$H327)),""""))"),"JABIE28/2082")</f>
        <v>JABIE28/2082</v>
      </c>
      <c r="L327" s="19" t="b">
        <v>1</v>
      </c>
      <c r="M327" s="12">
        <f t="shared" si="1"/>
        <v>85</v>
      </c>
      <c r="N327" s="13"/>
      <c r="O327" s="13"/>
      <c r="P327" s="29"/>
    </row>
    <row r="328">
      <c r="A328" s="15" t="s">
        <v>479</v>
      </c>
      <c r="B328" s="16">
        <v>19.0</v>
      </c>
      <c r="C328" s="16">
        <v>12.0</v>
      </c>
      <c r="D328" s="17">
        <v>44.863487435725</v>
      </c>
      <c r="E328" s="17">
        <v>-93.334628093482</v>
      </c>
      <c r="F328" s="16" t="s">
        <v>41</v>
      </c>
      <c r="G328" s="16" t="s">
        <v>17</v>
      </c>
      <c r="H328" s="18" t="s">
        <v>480</v>
      </c>
      <c r="I328" s="19">
        <v>3731.0</v>
      </c>
      <c r="J328" s="21"/>
      <c r="K328" s="11" t="str">
        <f>IFERROR(__xludf.DUMMYFUNCTION("IF(AND(REGEXMATCH($H328,""50( ?['fF]([oO]{2})?[tT]?)?( ?[eE][rR]{2}[oO][rR])"")=FALSE,$H328&lt;&gt;"""",$I328&lt;&gt;""""),HYPERLINK(""https://www.munzee.com/m/""&amp;$H328&amp;""/""&amp;$I328&amp;""/map/?lat=""&amp;$D328&amp;""&amp;lon=""&amp;$E328&amp;""&amp;type=""&amp;$G328&amp;""&amp;name=""&amp;SUBSTITUTE($A328,""#"&amp;""",""%23""),$H328&amp;""/""&amp;$I328),IF($H328&lt;&gt;"""",IF(REGEXMATCH($H328,""50( ?['fF]([oO]{2})?[tT]?)?( ?[eE][rR]{2}[oO][rR])""),HYPERLINK(""https://www.munzee.com/map/?sandbox=1&amp;lat=""&amp;$D328&amp;""&amp;lon=""&amp;$E328&amp;""&amp;name=""&amp;SUBSTITUTE($A328,""#"",""%23""),""SANDBOX"""&amp;"),HYPERLINK(""https://www.munzee.com/m/""&amp;$H328&amp;""/deploys/0/type/""&amp;IFNA(VLOOKUP($G328,IMPORTRANGE(""https://docs.google.com/spreadsheets/d/1DliIGyDywdzxhd4svtjaewR0p9Y5UBTMNMQ2PcXsqss"",""type data!E2:F""),2,FALSE),$G328)&amp;""/"",$H328)),""""))"),"ohiolady/3731")</f>
        <v>ohiolady/3731</v>
      </c>
      <c r="L328" s="19" t="b">
        <v>1</v>
      </c>
      <c r="M328" s="12">
        <f t="shared" si="1"/>
        <v>1</v>
      </c>
      <c r="N328" s="13"/>
      <c r="O328" s="13"/>
      <c r="P328" s="29"/>
    </row>
    <row r="329">
      <c r="A329" s="15" t="s">
        <v>481</v>
      </c>
      <c r="B329" s="16">
        <v>19.0</v>
      </c>
      <c r="C329" s="16">
        <v>13.0</v>
      </c>
      <c r="D329" s="17">
        <v>44.863487435546</v>
      </c>
      <c r="E329" s="17">
        <v>-93.33442531051</v>
      </c>
      <c r="F329" s="16" t="s">
        <v>41</v>
      </c>
      <c r="G329" s="16" t="s">
        <v>17</v>
      </c>
      <c r="H329" s="18" t="s">
        <v>482</v>
      </c>
      <c r="I329" s="19">
        <v>2642.0</v>
      </c>
      <c r="J329" s="21"/>
      <c r="K329" s="11" t="str">
        <f>IFERROR(__xludf.DUMMYFUNCTION("IF(AND(REGEXMATCH($H329,""50( ?['fF]([oO]{2})?[tT]?)?( ?[eE][rR]{2}[oO][rR])"")=FALSE,$H329&lt;&gt;"""",$I329&lt;&gt;""""),HYPERLINK(""https://www.munzee.com/m/""&amp;$H329&amp;""/""&amp;$I329&amp;""/map/?lat=""&amp;$D329&amp;""&amp;lon=""&amp;$E329&amp;""&amp;type=""&amp;$G329&amp;""&amp;name=""&amp;SUBSTITUTE($A329,""#"&amp;""",""%23""),$H329&amp;""/""&amp;$I329),IF($H329&lt;&gt;"""",IF(REGEXMATCH($H329,""50( ?['fF]([oO]{2})?[tT]?)?( ?[eE][rR]{2}[oO][rR])""),HYPERLINK(""https://www.munzee.com/map/?sandbox=1&amp;lat=""&amp;$D329&amp;""&amp;lon=""&amp;$E329&amp;""&amp;name=""&amp;SUBSTITUTE($A329,""#"",""%23""),""SANDBOX"""&amp;"),HYPERLINK(""https://www.munzee.com/m/""&amp;$H329&amp;""/deploys/0/type/""&amp;IFNA(VLOOKUP($G329,IMPORTRANGE(""https://docs.google.com/spreadsheets/d/1DliIGyDywdzxhd4svtjaewR0p9Y5UBTMNMQ2PcXsqss"",""type data!E2:F""),2,FALSE),$G329)&amp;""/"",$H329)),""""))"),"lighthousenut/2642")</f>
        <v>lighthousenut/2642</v>
      </c>
      <c r="L329" s="19" t="b">
        <v>1</v>
      </c>
      <c r="M329" s="12">
        <f t="shared" si="1"/>
        <v>1</v>
      </c>
      <c r="N329" s="13"/>
      <c r="O329" s="13"/>
      <c r="P329" s="29"/>
    </row>
    <row r="330">
      <c r="A330" s="15" t="s">
        <v>483</v>
      </c>
      <c r="B330" s="16">
        <v>19.0</v>
      </c>
      <c r="C330" s="16">
        <v>14.0</v>
      </c>
      <c r="D330" s="17">
        <v>44.863487435366</v>
      </c>
      <c r="E330" s="17">
        <v>-93.334222527539</v>
      </c>
      <c r="F330" s="16" t="s">
        <v>41</v>
      </c>
      <c r="G330" s="16" t="s">
        <v>17</v>
      </c>
      <c r="H330" s="18" t="s">
        <v>14</v>
      </c>
      <c r="I330" s="19">
        <v>408.0</v>
      </c>
      <c r="J330" s="20"/>
      <c r="K330" s="11" t="str">
        <f>IFERROR(__xludf.DUMMYFUNCTION("IF(AND(REGEXMATCH($H330,""50( ?['fF]([oO]{2})?[tT]?)?( ?[eE][rR]{2}[oO][rR])"")=FALSE,$H330&lt;&gt;"""",$I330&lt;&gt;""""),HYPERLINK(""https://www.munzee.com/m/""&amp;$H330&amp;""/""&amp;$I330&amp;""/map/?lat=""&amp;$D330&amp;""&amp;lon=""&amp;$E330&amp;""&amp;type=""&amp;$G330&amp;""&amp;name=""&amp;SUBSTITUTE($A330,""#"&amp;""",""%23""),$H330&amp;""/""&amp;$I330),IF($H330&lt;&gt;"""",IF(REGEXMATCH($H330,""50( ?['fF]([oO]{2})?[tT]?)?( ?[eE][rR]{2}[oO][rR])""),HYPERLINK(""https://www.munzee.com/map/?sandbox=1&amp;lat=""&amp;$D330&amp;""&amp;lon=""&amp;$E330&amp;""&amp;name=""&amp;SUBSTITUTE($A330,""#"",""%23""),""SANDBOX"""&amp;"),HYPERLINK(""https://www.munzee.com/m/""&amp;$H330&amp;""/deploys/0/type/""&amp;IFNA(VLOOKUP($G330,IMPORTRANGE(""https://docs.google.com/spreadsheets/d/1DliIGyDywdzxhd4svtjaewR0p9Y5UBTMNMQ2PcXsqss"",""type data!E2:F""),2,FALSE),$G330)&amp;""/"",$H330)),""""))"),"JABIE28/408")</f>
        <v>JABIE28/408</v>
      </c>
      <c r="L330" s="19" t="b">
        <v>1</v>
      </c>
      <c r="M330" s="12">
        <f t="shared" si="1"/>
        <v>85</v>
      </c>
      <c r="N330" s="13"/>
      <c r="O330" s="13"/>
      <c r="P330" s="29"/>
    </row>
    <row r="331">
      <c r="A331" s="15" t="s">
        <v>484</v>
      </c>
      <c r="B331" s="16">
        <v>19.0</v>
      </c>
      <c r="C331" s="16">
        <v>15.0</v>
      </c>
      <c r="D331" s="17">
        <v>44.863487435187</v>
      </c>
      <c r="E331" s="17">
        <v>-93.334019744567</v>
      </c>
      <c r="F331" s="16" t="s">
        <v>41</v>
      </c>
      <c r="G331" s="16" t="s">
        <v>17</v>
      </c>
      <c r="H331" s="18" t="s">
        <v>429</v>
      </c>
      <c r="I331" s="19">
        <v>4631.0</v>
      </c>
      <c r="J331" s="21"/>
      <c r="K331" s="11" t="str">
        <f>IFERROR(__xludf.DUMMYFUNCTION("IF(AND(REGEXMATCH($H331,""50( ?['fF]([oO]{2})?[tT]?)?( ?[eE][rR]{2}[oO][rR])"")=FALSE,$H331&lt;&gt;"""",$I331&lt;&gt;""""),HYPERLINK(""https://www.munzee.com/m/""&amp;$H331&amp;""/""&amp;$I331&amp;""/map/?lat=""&amp;$D331&amp;""&amp;lon=""&amp;$E331&amp;""&amp;type=""&amp;$G331&amp;""&amp;name=""&amp;SUBSTITUTE($A331,""#"&amp;""",""%23""),$H331&amp;""/""&amp;$I331),IF($H331&lt;&gt;"""",IF(REGEXMATCH($H331,""50( ?['fF]([oO]{2})?[tT]?)?( ?[eE][rR]{2}[oO][rR])""),HYPERLINK(""https://www.munzee.com/map/?sandbox=1&amp;lat=""&amp;$D331&amp;""&amp;lon=""&amp;$E331&amp;""&amp;name=""&amp;SUBSTITUTE($A331,""#"",""%23""),""SANDBOX"""&amp;"),HYPERLINK(""https://www.munzee.com/m/""&amp;$H331&amp;""/deploys/0/type/""&amp;IFNA(VLOOKUP($G331,IMPORTRANGE(""https://docs.google.com/spreadsheets/d/1DliIGyDywdzxhd4svtjaewR0p9Y5UBTMNMQ2PcXsqss"",""type data!E2:F""),2,FALSE),$G331)&amp;""/"",$H331)),""""))"),"halemeister/4631")</f>
        <v>halemeister/4631</v>
      </c>
      <c r="L331" s="19" t="b">
        <v>1</v>
      </c>
      <c r="M331" s="12">
        <f t="shared" si="1"/>
        <v>9</v>
      </c>
      <c r="N331" s="13"/>
      <c r="O331" s="13"/>
      <c r="P331" s="29"/>
    </row>
    <row r="332">
      <c r="A332" s="15" t="s">
        <v>485</v>
      </c>
      <c r="B332" s="16">
        <v>19.0</v>
      </c>
      <c r="C332" s="16">
        <v>16.0</v>
      </c>
      <c r="D332" s="17">
        <v>44.863487435007</v>
      </c>
      <c r="E332" s="17">
        <v>-93.333816961595</v>
      </c>
      <c r="F332" s="16" t="s">
        <v>41</v>
      </c>
      <c r="G332" s="16" t="s">
        <v>17</v>
      </c>
      <c r="H332" s="38" t="s">
        <v>486</v>
      </c>
      <c r="I332" s="19">
        <v>2576.0</v>
      </c>
      <c r="J332" s="21"/>
      <c r="K332" s="11" t="str">
        <f>IFERROR(__xludf.DUMMYFUNCTION("IF(AND(REGEXMATCH($H332,""50( ?['fF]([oO]{2})?[tT]?)?( ?[eE][rR]{2}[oO][rR])"")=FALSE,$H332&lt;&gt;"""",$I332&lt;&gt;""""),HYPERLINK(""https://www.munzee.com/m/""&amp;$H332&amp;""/""&amp;$I332&amp;""/map/?lat=""&amp;$D332&amp;""&amp;lon=""&amp;$E332&amp;""&amp;type=""&amp;$G332&amp;""&amp;name=""&amp;SUBSTITUTE($A332,""#"&amp;""",""%23""),$H332&amp;""/""&amp;$I332),IF($H332&lt;&gt;"""",IF(REGEXMATCH($H332,""50( ?['fF]([oO]{2})?[tT]?)?( ?[eE][rR]{2}[oO][rR])""),HYPERLINK(""https://www.munzee.com/map/?sandbox=1&amp;lat=""&amp;$D332&amp;""&amp;lon=""&amp;$E332&amp;""&amp;name=""&amp;SUBSTITUTE($A332,""#"",""%23""),""SANDBOX"""&amp;"),HYPERLINK(""https://www.munzee.com/m/""&amp;$H332&amp;""/deploys/0/type/""&amp;IFNA(VLOOKUP($G332,IMPORTRANGE(""https://docs.google.com/spreadsheets/d/1DliIGyDywdzxhd4svtjaewR0p9Y5UBTMNMQ2PcXsqss"",""type data!E2:F""),2,FALSE),$G332)&amp;""/"",$H332)),""""))"),"MeLa/2576")</f>
        <v>MeLa/2576</v>
      </c>
      <c r="L332" s="19" t="b">
        <v>1</v>
      </c>
      <c r="M332" s="12">
        <f t="shared" si="1"/>
        <v>3</v>
      </c>
      <c r="N332" s="13"/>
      <c r="O332" s="13"/>
      <c r="P332" s="29"/>
    </row>
    <row r="333">
      <c r="A333" s="15" t="s">
        <v>487</v>
      </c>
      <c r="B333" s="16">
        <v>19.0</v>
      </c>
      <c r="C333" s="16">
        <v>17.0</v>
      </c>
      <c r="D333" s="17">
        <v>44.863487434828</v>
      </c>
      <c r="E333" s="17">
        <v>-93.333614178623</v>
      </c>
      <c r="F333" s="16" t="s">
        <v>41</v>
      </c>
      <c r="G333" s="16" t="s">
        <v>17</v>
      </c>
      <c r="H333" s="18" t="s">
        <v>14</v>
      </c>
      <c r="I333" s="19">
        <v>394.0</v>
      </c>
      <c r="J333" s="20"/>
      <c r="K333" s="11" t="str">
        <f>IFERROR(__xludf.DUMMYFUNCTION("IF(AND(REGEXMATCH($H333,""50( ?['fF]([oO]{2})?[tT]?)?( ?[eE][rR]{2}[oO][rR])"")=FALSE,$H333&lt;&gt;"""",$I333&lt;&gt;""""),HYPERLINK(""https://www.munzee.com/m/""&amp;$H333&amp;""/""&amp;$I333&amp;""/map/?lat=""&amp;$D333&amp;""&amp;lon=""&amp;$E333&amp;""&amp;type=""&amp;$G333&amp;""&amp;name=""&amp;SUBSTITUTE($A333,""#"&amp;""",""%23""),$H333&amp;""/""&amp;$I333),IF($H333&lt;&gt;"""",IF(REGEXMATCH($H333,""50( ?['fF]([oO]{2})?[tT]?)?( ?[eE][rR]{2}[oO][rR])""),HYPERLINK(""https://www.munzee.com/map/?sandbox=1&amp;lat=""&amp;$D333&amp;""&amp;lon=""&amp;$E333&amp;""&amp;name=""&amp;SUBSTITUTE($A333,""#"",""%23""),""SANDBOX"""&amp;"),HYPERLINK(""https://www.munzee.com/m/""&amp;$H333&amp;""/deploys/0/type/""&amp;IFNA(VLOOKUP($G333,IMPORTRANGE(""https://docs.google.com/spreadsheets/d/1DliIGyDywdzxhd4svtjaewR0p9Y5UBTMNMQ2PcXsqss"",""type data!E2:F""),2,FALSE),$G333)&amp;""/"",$H333)),""""))"),"JABIE28/394")</f>
        <v>JABIE28/394</v>
      </c>
      <c r="L333" s="19" t="b">
        <v>1</v>
      </c>
      <c r="M333" s="12">
        <f t="shared" si="1"/>
        <v>85</v>
      </c>
      <c r="N333" s="13"/>
      <c r="O333" s="13"/>
      <c r="P333" s="29"/>
    </row>
    <row r="334">
      <c r="A334" s="15" t="s">
        <v>488</v>
      </c>
      <c r="B334" s="16">
        <v>19.0</v>
      </c>
      <c r="C334" s="16">
        <v>18.0</v>
      </c>
      <c r="D334" s="17">
        <v>44.863487434648</v>
      </c>
      <c r="E334" s="17">
        <v>-93.333411395651</v>
      </c>
      <c r="F334" s="16" t="s">
        <v>41</v>
      </c>
      <c r="G334" s="16" t="s">
        <v>17</v>
      </c>
      <c r="H334" s="18" t="s">
        <v>489</v>
      </c>
      <c r="I334" s="19">
        <v>171.0</v>
      </c>
      <c r="J334" s="20"/>
      <c r="K334" s="11" t="str">
        <f>IFERROR(__xludf.DUMMYFUNCTION("IF(AND(REGEXMATCH($H334,""50( ?['fF]([oO]{2})?[tT]?)?( ?[eE][rR]{2}[oO][rR])"")=FALSE,$H334&lt;&gt;"""",$I334&lt;&gt;""""),HYPERLINK(""https://www.munzee.com/m/""&amp;$H334&amp;""/""&amp;$I334&amp;""/map/?lat=""&amp;$D334&amp;""&amp;lon=""&amp;$E334&amp;""&amp;type=""&amp;$G334&amp;""&amp;name=""&amp;SUBSTITUTE($A334,""#"&amp;""",""%23""),$H334&amp;""/""&amp;$I334),IF($H334&lt;&gt;"""",IF(REGEXMATCH($H334,""50( ?['fF]([oO]{2})?[tT]?)?( ?[eE][rR]{2}[oO][rR])""),HYPERLINK(""https://www.munzee.com/map/?sandbox=1&amp;lat=""&amp;$D334&amp;""&amp;lon=""&amp;$E334&amp;""&amp;name=""&amp;SUBSTITUTE($A334,""#"",""%23""),""SANDBOX"""&amp;"),HYPERLINK(""https://www.munzee.com/m/""&amp;$H334&amp;""/deploys/0/type/""&amp;IFNA(VLOOKUP($G334,IMPORTRANGE(""https://docs.google.com/spreadsheets/d/1DliIGyDywdzxhd4svtjaewR0p9Y5UBTMNMQ2PcXsqss"",""type data!E2:F""),2,FALSE),$G334)&amp;""/"",$H334)),""""))"),"Nadtocs/171")</f>
        <v>Nadtocs/171</v>
      </c>
      <c r="L334" s="19" t="b">
        <v>1</v>
      </c>
      <c r="M334" s="12">
        <f t="shared" si="1"/>
        <v>1</v>
      </c>
      <c r="N334" s="13"/>
      <c r="O334" s="13"/>
      <c r="P334" s="29"/>
    </row>
    <row r="335">
      <c r="A335" s="15" t="s">
        <v>490</v>
      </c>
      <c r="B335" s="16">
        <v>19.0</v>
      </c>
      <c r="C335" s="16">
        <v>19.0</v>
      </c>
      <c r="D335" s="17">
        <v>44.863487434469</v>
      </c>
      <c r="E335" s="17">
        <v>-93.333208612679</v>
      </c>
      <c r="F335" s="16" t="s">
        <v>41</v>
      </c>
      <c r="G335" s="16" t="s">
        <v>17</v>
      </c>
      <c r="H335" s="18" t="s">
        <v>491</v>
      </c>
      <c r="I335" s="19">
        <v>496.0</v>
      </c>
      <c r="J335" s="20"/>
      <c r="K335" s="11" t="str">
        <f>IFERROR(__xludf.DUMMYFUNCTION("IF(AND(REGEXMATCH($H335,""50( ?['fF]([oO]{2})?[tT]?)?( ?[eE][rR]{2}[oO][rR])"")=FALSE,$H335&lt;&gt;"""",$I335&lt;&gt;""""),HYPERLINK(""https://www.munzee.com/m/""&amp;$H335&amp;""/""&amp;$I335&amp;""/map/?lat=""&amp;$D335&amp;""&amp;lon=""&amp;$E335&amp;""&amp;type=""&amp;$G335&amp;""&amp;name=""&amp;SUBSTITUTE($A335,""#"&amp;""",""%23""),$H335&amp;""/""&amp;$I335),IF($H335&lt;&gt;"""",IF(REGEXMATCH($H335,""50( ?['fF]([oO]{2})?[tT]?)?( ?[eE][rR]{2}[oO][rR])""),HYPERLINK(""https://www.munzee.com/map/?sandbox=1&amp;lat=""&amp;$D335&amp;""&amp;lon=""&amp;$E335&amp;""&amp;name=""&amp;SUBSTITUTE($A335,""#"",""%23""),""SANDBOX"""&amp;"),HYPERLINK(""https://www.munzee.com/m/""&amp;$H335&amp;""/deploys/0/type/""&amp;IFNA(VLOOKUP($G335,IMPORTRANGE(""https://docs.google.com/spreadsheets/d/1DliIGyDywdzxhd4svtjaewR0p9Y5UBTMNMQ2PcXsqss"",""type data!E2:F""),2,FALSE),$G335)&amp;""/"",$H335)),""""))"),"ItsSkeeter/496")</f>
        <v>ItsSkeeter/496</v>
      </c>
      <c r="L335" s="19" t="b">
        <v>1</v>
      </c>
      <c r="M335" s="12">
        <f t="shared" si="1"/>
        <v>1</v>
      </c>
      <c r="N335" s="13"/>
      <c r="O335" s="13"/>
      <c r="P335" s="29"/>
    </row>
    <row r="336">
      <c r="A336" s="15" t="s">
        <v>492</v>
      </c>
      <c r="B336" s="16">
        <v>19.0</v>
      </c>
      <c r="C336" s="16">
        <v>20.0</v>
      </c>
      <c r="D336" s="17">
        <v>44.86348743429</v>
      </c>
      <c r="E336" s="17">
        <v>-93.333005829707</v>
      </c>
      <c r="F336" s="16" t="s">
        <v>41</v>
      </c>
      <c r="G336" s="16" t="s">
        <v>17</v>
      </c>
      <c r="H336" s="18" t="s">
        <v>14</v>
      </c>
      <c r="I336" s="19">
        <v>391.0</v>
      </c>
      <c r="J336" s="20"/>
      <c r="K336" s="11" t="str">
        <f>IFERROR(__xludf.DUMMYFUNCTION("IF(AND(REGEXMATCH($H336,""50( ?['fF]([oO]{2})?[tT]?)?( ?[eE][rR]{2}[oO][rR])"")=FALSE,$H336&lt;&gt;"""",$I336&lt;&gt;""""),HYPERLINK(""https://www.munzee.com/m/""&amp;$H336&amp;""/""&amp;$I336&amp;""/map/?lat=""&amp;$D336&amp;""&amp;lon=""&amp;$E336&amp;""&amp;type=""&amp;$G336&amp;""&amp;name=""&amp;SUBSTITUTE($A336,""#"&amp;""",""%23""),$H336&amp;""/""&amp;$I336),IF($H336&lt;&gt;"""",IF(REGEXMATCH($H336,""50( ?['fF]([oO]{2})?[tT]?)?( ?[eE][rR]{2}[oO][rR])""),HYPERLINK(""https://www.munzee.com/map/?sandbox=1&amp;lat=""&amp;$D336&amp;""&amp;lon=""&amp;$E336&amp;""&amp;name=""&amp;SUBSTITUTE($A336,""#"",""%23""),""SANDBOX"""&amp;"),HYPERLINK(""https://www.munzee.com/m/""&amp;$H336&amp;""/deploys/0/type/""&amp;IFNA(VLOOKUP($G336,IMPORTRANGE(""https://docs.google.com/spreadsheets/d/1DliIGyDywdzxhd4svtjaewR0p9Y5UBTMNMQ2PcXsqss"",""type data!E2:F""),2,FALSE),$G336)&amp;""/"",$H336)),""""))"),"JABIE28/391")</f>
        <v>JABIE28/391</v>
      </c>
      <c r="L336" s="19" t="b">
        <v>1</v>
      </c>
      <c r="M336" s="12">
        <f t="shared" si="1"/>
        <v>85</v>
      </c>
      <c r="N336" s="13"/>
      <c r="O336" s="13"/>
      <c r="P336" s="29"/>
    </row>
    <row r="337">
      <c r="A337" s="15" t="s">
        <v>493</v>
      </c>
      <c r="B337" s="16">
        <v>19.0</v>
      </c>
      <c r="C337" s="16">
        <v>21.0</v>
      </c>
      <c r="D337" s="17">
        <v>44.86348743411</v>
      </c>
      <c r="E337" s="17">
        <v>-93.332803046735</v>
      </c>
      <c r="F337" s="16" t="s">
        <v>16</v>
      </c>
      <c r="G337" s="16" t="s">
        <v>17</v>
      </c>
      <c r="H337" s="18" t="s">
        <v>494</v>
      </c>
      <c r="I337" s="19">
        <v>655.0</v>
      </c>
      <c r="J337" s="21"/>
      <c r="K337" s="11" t="str">
        <f>IFERROR(__xludf.DUMMYFUNCTION("IF(AND(REGEXMATCH($H337,""50( ?['fF]([oO]{2})?[tT]?)?( ?[eE][rR]{2}[oO][rR])"")=FALSE,$H337&lt;&gt;"""",$I337&lt;&gt;""""),HYPERLINK(""https://www.munzee.com/m/""&amp;$H337&amp;""/""&amp;$I337&amp;""/map/?lat=""&amp;$D337&amp;""&amp;lon=""&amp;$E337&amp;""&amp;type=""&amp;$G337&amp;""&amp;name=""&amp;SUBSTITUTE($A337,""#"&amp;""",""%23""),$H337&amp;""/""&amp;$I337),IF($H337&lt;&gt;"""",IF(REGEXMATCH($H337,""50( ?['fF]([oO]{2})?[tT]?)?( ?[eE][rR]{2}[oO][rR])""),HYPERLINK(""https://www.munzee.com/map/?sandbox=1&amp;lat=""&amp;$D337&amp;""&amp;lon=""&amp;$E337&amp;""&amp;name=""&amp;SUBSTITUTE($A337,""#"",""%23""),""SANDBOX"""&amp;"),HYPERLINK(""https://www.munzee.com/m/""&amp;$H337&amp;""/deploys/0/type/""&amp;IFNA(VLOOKUP($G337,IMPORTRANGE(""https://docs.google.com/spreadsheets/d/1DliIGyDywdzxhd4svtjaewR0p9Y5UBTMNMQ2PcXsqss"",""type data!E2:F""),2,FALSE),$G337)&amp;""/"",$H337)),""""))"),"BarbMitchell/655")</f>
        <v>BarbMitchell/655</v>
      </c>
      <c r="L337" s="19" t="b">
        <v>1</v>
      </c>
      <c r="M337" s="12">
        <f t="shared" si="1"/>
        <v>10</v>
      </c>
      <c r="N337" s="13"/>
      <c r="O337" s="13"/>
      <c r="P337" s="29"/>
    </row>
    <row r="338">
      <c r="A338" s="15" t="s">
        <v>495</v>
      </c>
      <c r="B338" s="16">
        <v>19.0</v>
      </c>
      <c r="C338" s="16">
        <v>22.0</v>
      </c>
      <c r="D338" s="17">
        <v>44.863487433931</v>
      </c>
      <c r="E338" s="17">
        <v>-93.332600263763</v>
      </c>
      <c r="F338" s="16" t="s">
        <v>16</v>
      </c>
      <c r="G338" s="16" t="s">
        <v>17</v>
      </c>
      <c r="H338" s="18" t="s">
        <v>294</v>
      </c>
      <c r="I338" s="19">
        <v>2075.0</v>
      </c>
      <c r="J338" s="20"/>
      <c r="K338" s="11" t="str">
        <f>IFERROR(__xludf.DUMMYFUNCTION("IF(AND(REGEXMATCH($H338,""50( ?['fF]([oO]{2})?[tT]?)?( ?[eE][rR]{2}[oO][rR])"")=FALSE,$H338&lt;&gt;"""",$I338&lt;&gt;""""),HYPERLINK(""https://www.munzee.com/m/""&amp;$H338&amp;""/""&amp;$I338&amp;""/map/?lat=""&amp;$D338&amp;""&amp;lon=""&amp;$E338&amp;""&amp;type=""&amp;$G338&amp;""&amp;name=""&amp;SUBSTITUTE($A338,""#"&amp;""",""%23""),$H338&amp;""/""&amp;$I338),IF($H338&lt;&gt;"""",IF(REGEXMATCH($H338,""50( ?['fF]([oO]{2})?[tT]?)?( ?[eE][rR]{2}[oO][rR])""),HYPERLINK(""https://www.munzee.com/map/?sandbox=1&amp;lat=""&amp;$D338&amp;""&amp;lon=""&amp;$E338&amp;""&amp;name=""&amp;SUBSTITUTE($A338,""#"",""%23""),""SANDBOX"""&amp;"),HYPERLINK(""https://www.munzee.com/m/""&amp;$H338&amp;""/deploys/0/type/""&amp;IFNA(VLOOKUP($G338,IMPORTRANGE(""https://docs.google.com/spreadsheets/d/1DliIGyDywdzxhd4svtjaewR0p9Y5UBTMNMQ2PcXsqss"",""type data!E2:F""),2,FALSE),$G338)&amp;""/"",$H338)),""""))"),"munzeemags/2075")</f>
        <v>munzeemags/2075</v>
      </c>
      <c r="L338" s="19" t="b">
        <v>1</v>
      </c>
      <c r="M338" s="12">
        <f t="shared" si="1"/>
        <v>5</v>
      </c>
      <c r="N338" s="13"/>
      <c r="O338" s="13"/>
      <c r="P338" s="29"/>
    </row>
    <row r="339">
      <c r="A339" s="15" t="s">
        <v>496</v>
      </c>
      <c r="B339" s="16">
        <v>19.0</v>
      </c>
      <c r="C339" s="16">
        <v>23.0</v>
      </c>
      <c r="D339" s="17">
        <v>44.863487433751</v>
      </c>
      <c r="E339" s="17">
        <v>-93.332397480792</v>
      </c>
      <c r="F339" s="16" t="s">
        <v>16</v>
      </c>
      <c r="G339" s="16" t="s">
        <v>17</v>
      </c>
      <c r="H339" s="18" t="s">
        <v>340</v>
      </c>
      <c r="I339" s="19">
        <v>2122.0</v>
      </c>
      <c r="J339" s="20"/>
      <c r="K339" s="11" t="str">
        <f>IFERROR(__xludf.DUMMYFUNCTION("IF(AND(REGEXMATCH($H339,""50( ?['fF]([oO]{2})?[tT]?)?( ?[eE][rR]{2}[oO][rR])"")=FALSE,$H339&lt;&gt;"""",$I339&lt;&gt;""""),HYPERLINK(""https://www.munzee.com/m/""&amp;$H339&amp;""/""&amp;$I339&amp;""/map/?lat=""&amp;$D339&amp;""&amp;lon=""&amp;$E339&amp;""&amp;type=""&amp;$G339&amp;""&amp;name=""&amp;SUBSTITUTE($A339,""#"&amp;""",""%23""),$H339&amp;""/""&amp;$I339),IF($H339&lt;&gt;"""",IF(REGEXMATCH($H339,""50( ?['fF]([oO]{2})?[tT]?)?( ?[eE][rR]{2}[oO][rR])""),HYPERLINK(""https://www.munzee.com/map/?sandbox=1&amp;lat=""&amp;$D339&amp;""&amp;lon=""&amp;$E339&amp;""&amp;name=""&amp;SUBSTITUTE($A339,""#"",""%23""),""SANDBOX"""&amp;"),HYPERLINK(""https://www.munzee.com/m/""&amp;$H339&amp;""/deploys/0/type/""&amp;IFNA(VLOOKUP($G339,IMPORTRANGE(""https://docs.google.com/spreadsheets/d/1DliIGyDywdzxhd4svtjaewR0p9Y5UBTMNMQ2PcXsqss"",""type data!E2:F""),2,FALSE),$G339)&amp;""/"",$H339)),""""))"),"Fire2water/2122")</f>
        <v>Fire2water/2122</v>
      </c>
      <c r="L339" s="19" t="b">
        <v>1</v>
      </c>
      <c r="M339" s="12">
        <f t="shared" si="1"/>
        <v>5</v>
      </c>
      <c r="N339" s="13"/>
      <c r="O339" s="13"/>
      <c r="P339" s="29"/>
    </row>
    <row r="340">
      <c r="A340" s="15" t="s">
        <v>497</v>
      </c>
      <c r="B340" s="16">
        <v>19.0</v>
      </c>
      <c r="C340" s="16">
        <v>24.0</v>
      </c>
      <c r="D340" s="17">
        <v>44.863487433572</v>
      </c>
      <c r="E340" s="17">
        <v>-93.33219469782</v>
      </c>
      <c r="F340" s="16" t="s">
        <v>16</v>
      </c>
      <c r="G340" s="16" t="s">
        <v>17</v>
      </c>
      <c r="H340" s="18" t="s">
        <v>416</v>
      </c>
      <c r="I340" s="19">
        <v>7828.0</v>
      </c>
      <c r="J340" s="21"/>
      <c r="K340" s="11" t="str">
        <f>IFERROR(__xludf.DUMMYFUNCTION("IF(AND(REGEXMATCH($H340,""50( ?['fF]([oO]{2})?[tT]?)?( ?[eE][rR]{2}[oO][rR])"")=FALSE,$H340&lt;&gt;"""",$I340&lt;&gt;""""),HYPERLINK(""https://www.munzee.com/m/""&amp;$H340&amp;""/""&amp;$I340&amp;""/map/?lat=""&amp;$D340&amp;""&amp;lon=""&amp;$E340&amp;""&amp;type=""&amp;$G340&amp;""&amp;name=""&amp;SUBSTITUTE($A340,""#"&amp;""",""%23""),$H340&amp;""/""&amp;$I340),IF($H340&lt;&gt;"""",IF(REGEXMATCH($H340,""50( ?['fF]([oO]{2})?[tT]?)?( ?[eE][rR]{2}[oO][rR])""),HYPERLINK(""https://www.munzee.com/map/?sandbox=1&amp;lat=""&amp;$D340&amp;""&amp;lon=""&amp;$E340&amp;""&amp;name=""&amp;SUBSTITUTE($A340,""#"",""%23""),""SANDBOX"""&amp;"),HYPERLINK(""https://www.munzee.com/m/""&amp;$H340&amp;""/deploys/0/type/""&amp;IFNA(VLOOKUP($G340,IMPORTRANGE(""https://docs.google.com/spreadsheets/d/1DliIGyDywdzxhd4svtjaewR0p9Y5UBTMNMQ2PcXsqss"",""type data!E2:F""),2,FALSE),$G340)&amp;""/"",$H340)),""""))"),"ReeJ/7828")</f>
        <v>ReeJ/7828</v>
      </c>
      <c r="L340" s="19" t="b">
        <v>1</v>
      </c>
      <c r="M340" s="12">
        <f t="shared" si="1"/>
        <v>2</v>
      </c>
      <c r="N340" s="13"/>
      <c r="O340" s="13"/>
      <c r="P340" s="29"/>
    </row>
    <row r="341">
      <c r="A341" s="15" t="s">
        <v>498</v>
      </c>
      <c r="B341" s="16">
        <v>19.0</v>
      </c>
      <c r="C341" s="16">
        <v>25.0</v>
      </c>
      <c r="D341" s="17">
        <v>44.863487433392</v>
      </c>
      <c r="E341" s="17">
        <v>-93.331991914848</v>
      </c>
      <c r="F341" s="16" t="s">
        <v>16</v>
      </c>
      <c r="G341" s="16" t="s">
        <v>17</v>
      </c>
      <c r="H341" s="38" t="s">
        <v>379</v>
      </c>
      <c r="I341" s="19">
        <v>1136.0</v>
      </c>
      <c r="J341" s="21"/>
      <c r="K341" s="11" t="str">
        <f>IFERROR(__xludf.DUMMYFUNCTION("IF(AND(REGEXMATCH($H341,""50( ?['fF]([oO]{2})?[tT]?)?( ?[eE][rR]{2}[oO][rR])"")=FALSE,$H341&lt;&gt;"""",$I341&lt;&gt;""""),HYPERLINK(""https://www.munzee.com/m/""&amp;$H341&amp;""/""&amp;$I341&amp;""/map/?lat=""&amp;$D341&amp;""&amp;lon=""&amp;$E341&amp;""&amp;type=""&amp;$G341&amp;""&amp;name=""&amp;SUBSTITUTE($A341,""#"&amp;""",""%23""),$H341&amp;""/""&amp;$I341),IF($H341&lt;&gt;"""",IF(REGEXMATCH($H341,""50( ?['fF]([oO]{2})?[tT]?)?( ?[eE][rR]{2}[oO][rR])""),HYPERLINK(""https://www.munzee.com/map/?sandbox=1&amp;lat=""&amp;$D341&amp;""&amp;lon=""&amp;$E341&amp;""&amp;name=""&amp;SUBSTITUTE($A341,""#"",""%23""),""SANDBOX"""&amp;"),HYPERLINK(""https://www.munzee.com/m/""&amp;$H341&amp;""/deploys/0/type/""&amp;IFNA(VLOOKUP($G341,IMPORTRANGE(""https://docs.google.com/spreadsheets/d/1DliIGyDywdzxhd4svtjaewR0p9Y5UBTMNMQ2PcXsqss"",""type data!E2:F""),2,FALSE),$G341)&amp;""/"",$H341)),""""))"),"rohdej/1136")</f>
        <v>rohdej/1136</v>
      </c>
      <c r="L341" s="19" t="b">
        <v>1</v>
      </c>
      <c r="M341" s="12">
        <f t="shared" si="1"/>
        <v>10</v>
      </c>
      <c r="N341" s="13"/>
      <c r="O341" s="13"/>
      <c r="P341" s="29"/>
    </row>
    <row r="342">
      <c r="A342" s="15" t="s">
        <v>499</v>
      </c>
      <c r="B342" s="16">
        <v>19.0</v>
      </c>
      <c r="C342" s="16">
        <v>26.0</v>
      </c>
      <c r="D342" s="17">
        <v>44.863487433213</v>
      </c>
      <c r="E342" s="17">
        <v>-93.331789131876</v>
      </c>
      <c r="F342" s="16" t="s">
        <v>16</v>
      </c>
      <c r="G342" s="16" t="s">
        <v>17</v>
      </c>
      <c r="H342" s="18" t="s">
        <v>14</v>
      </c>
      <c r="I342" s="19">
        <v>388.0</v>
      </c>
      <c r="J342" s="20"/>
      <c r="K342" s="11" t="str">
        <f>IFERROR(__xludf.DUMMYFUNCTION("IF(AND(REGEXMATCH($H342,""50( ?['fF]([oO]{2})?[tT]?)?( ?[eE][rR]{2}[oO][rR])"")=FALSE,$H342&lt;&gt;"""",$I342&lt;&gt;""""),HYPERLINK(""https://www.munzee.com/m/""&amp;$H342&amp;""/""&amp;$I342&amp;""/map/?lat=""&amp;$D342&amp;""&amp;lon=""&amp;$E342&amp;""&amp;type=""&amp;$G342&amp;""&amp;name=""&amp;SUBSTITUTE($A342,""#"&amp;""",""%23""),$H342&amp;""/""&amp;$I342),IF($H342&lt;&gt;"""",IF(REGEXMATCH($H342,""50( ?['fF]([oO]{2})?[tT]?)?( ?[eE][rR]{2}[oO][rR])""),HYPERLINK(""https://www.munzee.com/map/?sandbox=1&amp;lat=""&amp;$D342&amp;""&amp;lon=""&amp;$E342&amp;""&amp;name=""&amp;SUBSTITUTE($A342,""#"",""%23""),""SANDBOX"""&amp;"),HYPERLINK(""https://www.munzee.com/m/""&amp;$H342&amp;""/deploys/0/type/""&amp;IFNA(VLOOKUP($G342,IMPORTRANGE(""https://docs.google.com/spreadsheets/d/1DliIGyDywdzxhd4svtjaewR0p9Y5UBTMNMQ2PcXsqss"",""type data!E2:F""),2,FALSE),$G342)&amp;""/"",$H342)),""""))"),"JABIE28/388")</f>
        <v>JABIE28/388</v>
      </c>
      <c r="L342" s="19" t="b">
        <v>1</v>
      </c>
      <c r="M342" s="12">
        <f t="shared" si="1"/>
        <v>85</v>
      </c>
      <c r="N342" s="13"/>
      <c r="O342" s="13"/>
      <c r="P342" s="29"/>
    </row>
    <row r="343">
      <c r="A343" s="15" t="s">
        <v>500</v>
      </c>
      <c r="B343" s="16">
        <v>19.0</v>
      </c>
      <c r="C343" s="16">
        <v>27.0</v>
      </c>
      <c r="D343" s="17">
        <v>44.863487433034</v>
      </c>
      <c r="E343" s="17">
        <v>-93.331586348904</v>
      </c>
      <c r="F343" s="16" t="s">
        <v>16</v>
      </c>
      <c r="G343" s="16" t="s">
        <v>17</v>
      </c>
      <c r="H343" s="18" t="s">
        <v>95</v>
      </c>
      <c r="I343" s="19">
        <v>1504.0</v>
      </c>
      <c r="J343" s="21"/>
      <c r="K343" s="11" t="str">
        <f>IFERROR(__xludf.DUMMYFUNCTION("IF(AND(REGEXMATCH($H343,""50( ?['fF]([oO]{2})?[tT]?)?( ?[eE][rR]{2}[oO][rR])"")=FALSE,$H343&lt;&gt;"""",$I343&lt;&gt;""""),HYPERLINK(""https://www.munzee.com/m/""&amp;$H343&amp;""/""&amp;$I343&amp;""/map/?lat=""&amp;$D343&amp;""&amp;lon=""&amp;$E343&amp;""&amp;type=""&amp;$G343&amp;""&amp;name=""&amp;SUBSTITUTE($A343,""#"&amp;""",""%23""),$H343&amp;""/""&amp;$I343),IF($H343&lt;&gt;"""",IF(REGEXMATCH($H343,""50( ?['fF]([oO]{2})?[tT]?)?( ?[eE][rR]{2}[oO][rR])""),HYPERLINK(""https://www.munzee.com/map/?sandbox=1&amp;lat=""&amp;$D343&amp;""&amp;lon=""&amp;$E343&amp;""&amp;name=""&amp;SUBSTITUTE($A343,""#"",""%23""),""SANDBOX"""&amp;"),HYPERLINK(""https://www.munzee.com/m/""&amp;$H343&amp;""/deploys/0/type/""&amp;IFNA(VLOOKUP($G343,IMPORTRANGE(""https://docs.google.com/spreadsheets/d/1DliIGyDywdzxhd4svtjaewR0p9Y5UBTMNMQ2PcXsqss"",""type data!E2:F""),2,FALSE),$G343)&amp;""/"",$H343)),""""))"),"munzeepa/1504")</f>
        <v>munzeepa/1504</v>
      </c>
      <c r="L343" s="19" t="b">
        <v>1</v>
      </c>
      <c r="M343" s="12">
        <f t="shared" si="1"/>
        <v>20</v>
      </c>
      <c r="N343" s="13"/>
      <c r="O343" s="13"/>
      <c r="P343" s="29"/>
    </row>
    <row r="344">
      <c r="A344" s="15" t="s">
        <v>501</v>
      </c>
      <c r="B344" s="16">
        <v>20.0</v>
      </c>
      <c r="C344" s="16">
        <v>1.0</v>
      </c>
      <c r="D344" s="17">
        <v>44.863343707253</v>
      </c>
      <c r="E344" s="17">
        <v>-93.336858714273</v>
      </c>
      <c r="F344" s="16" t="s">
        <v>16</v>
      </c>
      <c r="G344" s="16" t="s">
        <v>17</v>
      </c>
      <c r="H344" s="18" t="s">
        <v>99</v>
      </c>
      <c r="I344" s="19">
        <v>1357.0</v>
      </c>
      <c r="J344" s="21"/>
      <c r="K344" s="11" t="str">
        <f>IFERROR(__xludf.DUMMYFUNCTION("IF(AND(REGEXMATCH($H344,""50( ?['fF]([oO]{2})?[tT]?)?( ?[eE][rR]{2}[oO][rR])"")=FALSE,$H344&lt;&gt;"""",$I344&lt;&gt;""""),HYPERLINK(""https://www.munzee.com/m/""&amp;$H344&amp;""/""&amp;$I344&amp;""/map/?lat=""&amp;$D344&amp;""&amp;lon=""&amp;$E344&amp;""&amp;type=""&amp;$G344&amp;""&amp;name=""&amp;SUBSTITUTE($A344,""#"&amp;""",""%23""),$H344&amp;""/""&amp;$I344),IF($H344&lt;&gt;"""",IF(REGEXMATCH($H344,""50( ?['fF]([oO]{2})?[tT]?)?( ?[eE][rR]{2}[oO][rR])""),HYPERLINK(""https://www.munzee.com/map/?sandbox=1&amp;lat=""&amp;$D344&amp;""&amp;lon=""&amp;$E344&amp;""&amp;name=""&amp;SUBSTITUTE($A344,""#"",""%23""),""SANDBOX"""&amp;"),HYPERLINK(""https://www.munzee.com/m/""&amp;$H344&amp;""/deploys/0/type/""&amp;IFNA(VLOOKUP($G344,IMPORTRANGE(""https://docs.google.com/spreadsheets/d/1DliIGyDywdzxhd4svtjaewR0p9Y5UBTMNMQ2PcXsqss"",""type data!E2:F""),2,FALSE),$G344)&amp;""/"",$H344)),""""))"),"jsamundson/1357")</f>
        <v>jsamundson/1357</v>
      </c>
      <c r="L344" s="19" t="b">
        <v>1</v>
      </c>
      <c r="M344" s="12">
        <f t="shared" si="1"/>
        <v>20</v>
      </c>
      <c r="N344" s="13"/>
      <c r="O344" s="13"/>
      <c r="P344" s="29"/>
    </row>
    <row r="345">
      <c r="A345" s="15" t="s">
        <v>502</v>
      </c>
      <c r="B345" s="16">
        <v>20.0</v>
      </c>
      <c r="C345" s="16">
        <v>2.0</v>
      </c>
      <c r="D345" s="17">
        <v>44.863343707074</v>
      </c>
      <c r="E345" s="17">
        <v>-93.336655931808</v>
      </c>
      <c r="F345" s="16" t="s">
        <v>41</v>
      </c>
      <c r="G345" s="16" t="s">
        <v>17</v>
      </c>
      <c r="H345" s="18" t="s">
        <v>503</v>
      </c>
      <c r="I345" s="19">
        <v>1343.0</v>
      </c>
      <c r="J345" s="21"/>
      <c r="K345" s="11" t="str">
        <f>IFERROR(__xludf.DUMMYFUNCTION("IF(AND(REGEXMATCH($H345,""50( ?['fF]([oO]{2})?[tT]?)?( ?[eE][rR]{2}[oO][rR])"")=FALSE,$H345&lt;&gt;"""",$I345&lt;&gt;""""),HYPERLINK(""https://www.munzee.com/m/""&amp;$H345&amp;""/""&amp;$I345&amp;""/map/?lat=""&amp;$D345&amp;""&amp;lon=""&amp;$E345&amp;""&amp;type=""&amp;$G345&amp;""&amp;name=""&amp;SUBSTITUTE($A345,""#"&amp;""",""%23""),$H345&amp;""/""&amp;$I345),IF($H345&lt;&gt;"""",IF(REGEXMATCH($H345,""50( ?['fF]([oO]{2})?[tT]?)?( ?[eE][rR]{2}[oO][rR])""),HYPERLINK(""https://www.munzee.com/map/?sandbox=1&amp;lat=""&amp;$D345&amp;""&amp;lon=""&amp;$E345&amp;""&amp;name=""&amp;SUBSTITUTE($A345,""#"",""%23""),""SANDBOX"""&amp;"),HYPERLINK(""https://www.munzee.com/m/""&amp;$H345&amp;""/deploys/0/type/""&amp;IFNA(VLOOKUP($G345,IMPORTRANGE(""https://docs.google.com/spreadsheets/d/1DliIGyDywdzxhd4svtjaewR0p9Y5UBTMNMQ2PcXsqss"",""type data!E2:F""),2,FALSE),$G345)&amp;""/"",$H345)),""""))"),"Pamster13/1343")</f>
        <v>Pamster13/1343</v>
      </c>
      <c r="L345" s="19" t="b">
        <v>1</v>
      </c>
      <c r="M345" s="12">
        <f t="shared" si="1"/>
        <v>3</v>
      </c>
      <c r="N345" s="13"/>
      <c r="O345" s="13"/>
      <c r="P345" s="29"/>
    </row>
    <row r="346">
      <c r="A346" s="15" t="s">
        <v>504</v>
      </c>
      <c r="B346" s="16">
        <v>20.0</v>
      </c>
      <c r="C346" s="16">
        <v>3.0</v>
      </c>
      <c r="D346" s="17">
        <v>44.863343706894</v>
      </c>
      <c r="E346" s="17">
        <v>-93.336453149342</v>
      </c>
      <c r="F346" s="16" t="s">
        <v>41</v>
      </c>
      <c r="G346" s="16" t="s">
        <v>17</v>
      </c>
      <c r="H346" s="18" t="s">
        <v>505</v>
      </c>
      <c r="I346" s="19">
        <v>4645.0</v>
      </c>
      <c r="J346" s="21"/>
      <c r="K346" s="11" t="str">
        <f>IFERROR(__xludf.DUMMYFUNCTION("IF(AND(REGEXMATCH($H346,""50( ?['fF]([oO]{2})?[tT]?)?( ?[eE][rR]{2}[oO][rR])"")=FALSE,$H346&lt;&gt;"""",$I346&lt;&gt;""""),HYPERLINK(""https://www.munzee.com/m/""&amp;$H346&amp;""/""&amp;$I346&amp;""/map/?lat=""&amp;$D346&amp;""&amp;lon=""&amp;$E346&amp;""&amp;type=""&amp;$G346&amp;""&amp;name=""&amp;SUBSTITUTE($A346,""#"&amp;""",""%23""),$H346&amp;""/""&amp;$I346),IF($H346&lt;&gt;"""",IF(REGEXMATCH($H346,""50( ?['fF]([oO]{2})?[tT]?)?( ?[eE][rR]{2}[oO][rR])""),HYPERLINK(""https://www.munzee.com/map/?sandbox=1&amp;lat=""&amp;$D346&amp;""&amp;lon=""&amp;$E346&amp;""&amp;name=""&amp;SUBSTITUTE($A346,""#"",""%23""),""SANDBOX"""&amp;"),HYPERLINK(""https://www.munzee.com/m/""&amp;$H346&amp;""/deploys/0/type/""&amp;IFNA(VLOOKUP($G346,IMPORTRANGE(""https://docs.google.com/spreadsheets/d/1DliIGyDywdzxhd4svtjaewR0p9Y5UBTMNMQ2PcXsqss"",""type data!E2:F""),2,FALSE),$G346)&amp;""/"",$H346)),""""))"),"vadotech/4645")</f>
        <v>vadotech/4645</v>
      </c>
      <c r="L346" s="19" t="b">
        <v>1</v>
      </c>
      <c r="M346" s="12">
        <f t="shared" si="1"/>
        <v>4</v>
      </c>
      <c r="N346" s="13"/>
      <c r="O346" s="13"/>
      <c r="P346" s="29"/>
    </row>
    <row r="347">
      <c r="A347" s="15" t="s">
        <v>506</v>
      </c>
      <c r="B347" s="16">
        <v>20.0</v>
      </c>
      <c r="C347" s="16">
        <v>4.0</v>
      </c>
      <c r="D347" s="17">
        <v>44.863343706715</v>
      </c>
      <c r="E347" s="17">
        <v>-93.336250366876</v>
      </c>
      <c r="F347" s="16" t="s">
        <v>41</v>
      </c>
      <c r="G347" s="16" t="s">
        <v>17</v>
      </c>
      <c r="H347" s="18" t="s">
        <v>429</v>
      </c>
      <c r="I347" s="19">
        <v>4561.0</v>
      </c>
      <c r="J347" s="21"/>
      <c r="K347" s="11" t="str">
        <f>IFERROR(__xludf.DUMMYFUNCTION("IF(AND(REGEXMATCH($H347,""50( ?['fF]([oO]{2})?[tT]?)?( ?[eE][rR]{2}[oO][rR])"")=FALSE,$H347&lt;&gt;"""",$I347&lt;&gt;""""),HYPERLINK(""https://www.munzee.com/m/""&amp;$H347&amp;""/""&amp;$I347&amp;""/map/?lat=""&amp;$D347&amp;""&amp;lon=""&amp;$E347&amp;""&amp;type=""&amp;$G347&amp;""&amp;name=""&amp;SUBSTITUTE($A347,""#"&amp;""",""%23""),$H347&amp;""/""&amp;$I347),IF($H347&lt;&gt;"""",IF(REGEXMATCH($H347,""50( ?['fF]([oO]{2})?[tT]?)?( ?[eE][rR]{2}[oO][rR])""),HYPERLINK(""https://www.munzee.com/map/?sandbox=1&amp;lat=""&amp;$D347&amp;""&amp;lon=""&amp;$E347&amp;""&amp;name=""&amp;SUBSTITUTE($A347,""#"",""%23""),""SANDBOX"""&amp;"),HYPERLINK(""https://www.munzee.com/m/""&amp;$H347&amp;""/deploys/0/type/""&amp;IFNA(VLOOKUP($G347,IMPORTRANGE(""https://docs.google.com/spreadsheets/d/1DliIGyDywdzxhd4svtjaewR0p9Y5UBTMNMQ2PcXsqss"",""type data!E2:F""),2,FALSE),$G347)&amp;""/"",$H347)),""""))"),"halemeister/4561")</f>
        <v>halemeister/4561</v>
      </c>
      <c r="L347" s="19" t="b">
        <v>1</v>
      </c>
      <c r="M347" s="12">
        <f t="shared" si="1"/>
        <v>9</v>
      </c>
      <c r="N347" s="13"/>
      <c r="O347" s="13"/>
      <c r="P347" s="29"/>
    </row>
    <row r="348">
      <c r="A348" s="15" t="s">
        <v>507</v>
      </c>
      <c r="B348" s="16">
        <v>20.0</v>
      </c>
      <c r="C348" s="16">
        <v>5.0</v>
      </c>
      <c r="D348" s="17">
        <v>44.863343706535</v>
      </c>
      <c r="E348" s="17">
        <v>-93.336047584411</v>
      </c>
      <c r="F348" s="16" t="s">
        <v>41</v>
      </c>
      <c r="G348" s="16" t="s">
        <v>410</v>
      </c>
      <c r="H348" s="18" t="s">
        <v>508</v>
      </c>
      <c r="I348" s="19">
        <v>2230.0</v>
      </c>
      <c r="J348" s="20"/>
      <c r="K348" s="11" t="str">
        <f>IFERROR(__xludf.DUMMYFUNCTION("IF(AND(REGEXMATCH($H348,""50( ?['fF]([oO]{2})?[tT]?)?( ?[eE][rR]{2}[oO][rR])"")=FALSE,$H348&lt;&gt;"""",$I348&lt;&gt;""""),HYPERLINK(""https://www.munzee.com/m/""&amp;$H348&amp;""/""&amp;$I348&amp;""/map/?lat=""&amp;$D348&amp;""&amp;lon=""&amp;$E348&amp;""&amp;type=""&amp;$G348&amp;""&amp;name=""&amp;SUBSTITUTE($A348,""#"&amp;""",""%23""),$H348&amp;""/""&amp;$I348),IF($H348&lt;&gt;"""",IF(REGEXMATCH($H348,""50( ?['fF]([oO]{2})?[tT]?)?( ?[eE][rR]{2}[oO][rR])""),HYPERLINK(""https://www.munzee.com/map/?sandbox=1&amp;lat=""&amp;$D348&amp;""&amp;lon=""&amp;$E348&amp;""&amp;name=""&amp;SUBSTITUTE($A348,""#"",""%23""),""SANDBOX"""&amp;"),HYPERLINK(""https://www.munzee.com/m/""&amp;$H348&amp;""/deploys/0/type/""&amp;IFNA(VLOOKUP($G348,IMPORTRANGE(""https://docs.google.com/spreadsheets/d/1DliIGyDywdzxhd4svtjaewR0p9Y5UBTMNMQ2PcXsqss"",""type data!E2:F""),2,FALSE),$G348)&amp;""/"",$H348)),""""))"),"heathcote07/2230")</f>
        <v>heathcote07/2230</v>
      </c>
      <c r="L348" s="19" t="b">
        <v>1</v>
      </c>
      <c r="M348" s="12">
        <f t="shared" si="1"/>
        <v>1</v>
      </c>
      <c r="N348" s="13"/>
      <c r="O348" s="13"/>
      <c r="P348" s="29"/>
    </row>
    <row r="349">
      <c r="A349" s="15" t="s">
        <v>509</v>
      </c>
      <c r="B349" s="16">
        <v>20.0</v>
      </c>
      <c r="C349" s="16">
        <v>6.0</v>
      </c>
      <c r="D349" s="17">
        <v>44.863343706356</v>
      </c>
      <c r="E349" s="17">
        <v>-93.335844801945</v>
      </c>
      <c r="F349" s="16" t="s">
        <v>510</v>
      </c>
      <c r="G349" s="16" t="s">
        <v>410</v>
      </c>
      <c r="H349" s="18" t="s">
        <v>511</v>
      </c>
      <c r="I349" s="19">
        <v>15388.0</v>
      </c>
      <c r="J349" s="20"/>
      <c r="K349" s="11" t="str">
        <f>IFERROR(__xludf.DUMMYFUNCTION("IF(AND(REGEXMATCH($H349,""50( ?['fF]([oO]{2})?[tT]?)?( ?[eE][rR]{2}[oO][rR])"")=FALSE,$H349&lt;&gt;"""",$I349&lt;&gt;""""),HYPERLINK(""https://www.munzee.com/m/""&amp;$H349&amp;""/""&amp;$I349&amp;""/map/?lat=""&amp;$D349&amp;""&amp;lon=""&amp;$E349&amp;""&amp;type=""&amp;$G349&amp;""&amp;name=""&amp;SUBSTITUTE($A349,""#"&amp;""",""%23""),$H349&amp;""/""&amp;$I349),IF($H349&lt;&gt;"""",IF(REGEXMATCH($H349,""50( ?['fF]([oO]{2})?[tT]?)?( ?[eE][rR]{2}[oO][rR])""),HYPERLINK(""https://www.munzee.com/map/?sandbox=1&amp;lat=""&amp;$D349&amp;""&amp;lon=""&amp;$E349&amp;""&amp;name=""&amp;SUBSTITUTE($A349,""#"",""%23""),""SANDBOX"""&amp;"),HYPERLINK(""https://www.munzee.com/m/""&amp;$H349&amp;""/deploys/0/type/""&amp;IFNA(VLOOKUP($G349,IMPORTRANGE(""https://docs.google.com/spreadsheets/d/1DliIGyDywdzxhd4svtjaewR0p9Y5UBTMNMQ2PcXsqss"",""type data!E2:F""),2,FALSE),$G349)&amp;""/"",$H349)),""""))"),"c-bn/15388")</f>
        <v>c-bn/15388</v>
      </c>
      <c r="L349" s="19" t="b">
        <v>1</v>
      </c>
      <c r="M349" s="12">
        <f t="shared" si="1"/>
        <v>5</v>
      </c>
      <c r="N349" s="13"/>
      <c r="O349" s="13"/>
      <c r="P349" s="29"/>
    </row>
    <row r="350">
      <c r="A350" s="15" t="s">
        <v>512</v>
      </c>
      <c r="B350" s="16">
        <v>20.0</v>
      </c>
      <c r="C350" s="16">
        <v>7.0</v>
      </c>
      <c r="D350" s="17">
        <v>44.863343706177</v>
      </c>
      <c r="E350" s="17">
        <v>-93.335642019479</v>
      </c>
      <c r="F350" s="16" t="s">
        <v>510</v>
      </c>
      <c r="G350" s="16" t="s">
        <v>410</v>
      </c>
      <c r="H350" s="18" t="s">
        <v>513</v>
      </c>
      <c r="I350" s="19">
        <v>892.0</v>
      </c>
      <c r="J350" s="21"/>
      <c r="K350" s="11" t="str">
        <f>IFERROR(__xludf.DUMMYFUNCTION("IF(AND(REGEXMATCH($H350,""50( ?['fF]([oO]{2})?[tT]?)?( ?[eE][rR]{2}[oO][rR])"")=FALSE,$H350&lt;&gt;"""",$I350&lt;&gt;""""),HYPERLINK(""https://www.munzee.com/m/""&amp;$H350&amp;""/""&amp;$I350&amp;""/map/?lat=""&amp;$D350&amp;""&amp;lon=""&amp;$E350&amp;""&amp;type=""&amp;$G350&amp;""&amp;name=""&amp;SUBSTITUTE($A350,""#"&amp;""",""%23""),$H350&amp;""/""&amp;$I350),IF($H350&lt;&gt;"""",IF(REGEXMATCH($H350,""50( ?['fF]([oO]{2})?[tT]?)?( ?[eE][rR]{2}[oO][rR])""),HYPERLINK(""https://www.munzee.com/map/?sandbox=1&amp;lat=""&amp;$D350&amp;""&amp;lon=""&amp;$E350&amp;""&amp;name=""&amp;SUBSTITUTE($A350,""#"",""%23""),""SANDBOX"""&amp;"),HYPERLINK(""https://www.munzee.com/m/""&amp;$H350&amp;""/deploys/0/type/""&amp;IFNA(VLOOKUP($G350,IMPORTRANGE(""https://docs.google.com/spreadsheets/d/1DliIGyDywdzxhd4svtjaewR0p9Y5UBTMNMQ2PcXsqss"",""type data!E2:F""),2,FALSE),$G350)&amp;""/"",$H350)),""""))"),"MPeters82/892")</f>
        <v>MPeters82/892</v>
      </c>
      <c r="L350" s="19" t="b">
        <v>1</v>
      </c>
      <c r="M350" s="12">
        <f t="shared" si="1"/>
        <v>1</v>
      </c>
      <c r="N350" s="13"/>
      <c r="O350" s="13"/>
      <c r="P350" s="29"/>
    </row>
    <row r="351">
      <c r="A351" s="15" t="s">
        <v>514</v>
      </c>
      <c r="B351" s="16">
        <v>20.0</v>
      </c>
      <c r="C351" s="16">
        <v>8.0</v>
      </c>
      <c r="D351" s="17">
        <v>44.863343705997</v>
      </c>
      <c r="E351" s="17">
        <v>-93.335439237014</v>
      </c>
      <c r="F351" s="16" t="s">
        <v>41</v>
      </c>
      <c r="G351" s="16" t="s">
        <v>410</v>
      </c>
      <c r="H351" s="18" t="s">
        <v>503</v>
      </c>
      <c r="I351" s="19">
        <v>1359.0</v>
      </c>
      <c r="J351" s="21"/>
      <c r="K351" s="11" t="str">
        <f>IFERROR(__xludf.DUMMYFUNCTION("IF(AND(REGEXMATCH($H351,""50( ?['fF]([oO]{2})?[tT]?)?( ?[eE][rR]{2}[oO][rR])"")=FALSE,$H351&lt;&gt;"""",$I351&lt;&gt;""""),HYPERLINK(""https://www.munzee.com/m/""&amp;$H351&amp;""/""&amp;$I351&amp;""/map/?lat=""&amp;$D351&amp;""&amp;lon=""&amp;$E351&amp;""&amp;type=""&amp;$G351&amp;""&amp;name=""&amp;SUBSTITUTE($A351,""#"&amp;""",""%23""),$H351&amp;""/""&amp;$I351),IF($H351&lt;&gt;"""",IF(REGEXMATCH($H351,""50( ?['fF]([oO]{2})?[tT]?)?( ?[eE][rR]{2}[oO][rR])""),HYPERLINK(""https://www.munzee.com/map/?sandbox=1&amp;lat=""&amp;$D351&amp;""&amp;lon=""&amp;$E351&amp;""&amp;name=""&amp;SUBSTITUTE($A351,""#"",""%23""),""SANDBOX"""&amp;"),HYPERLINK(""https://www.munzee.com/m/""&amp;$H351&amp;""/deploys/0/type/""&amp;IFNA(VLOOKUP($G351,IMPORTRANGE(""https://docs.google.com/spreadsheets/d/1DliIGyDywdzxhd4svtjaewR0p9Y5UBTMNMQ2PcXsqss"",""type data!E2:F""),2,FALSE),$G351)&amp;""/"",$H351)),""""))"),"Pamster13/1359")</f>
        <v>Pamster13/1359</v>
      </c>
      <c r="L351" s="19" t="b">
        <v>1</v>
      </c>
      <c r="M351" s="12">
        <f t="shared" si="1"/>
        <v>3</v>
      </c>
      <c r="N351" s="13"/>
      <c r="O351" s="13"/>
      <c r="P351" s="29"/>
    </row>
    <row r="352">
      <c r="A352" s="15" t="s">
        <v>515</v>
      </c>
      <c r="B352" s="16">
        <v>20.0</v>
      </c>
      <c r="C352" s="16">
        <v>9.0</v>
      </c>
      <c r="D352" s="17">
        <v>44.863343705818</v>
      </c>
      <c r="E352" s="17">
        <v>-93.335236454548</v>
      </c>
      <c r="F352" s="16" t="s">
        <v>41</v>
      </c>
      <c r="G352" s="16" t="s">
        <v>410</v>
      </c>
      <c r="H352" s="18" t="s">
        <v>505</v>
      </c>
      <c r="I352" s="19">
        <v>4640.0</v>
      </c>
      <c r="J352" s="21"/>
      <c r="K352" s="11" t="str">
        <f>IFERROR(__xludf.DUMMYFUNCTION("IF(AND(REGEXMATCH($H352,""50( ?['fF]([oO]{2})?[tT]?)?( ?[eE][rR]{2}[oO][rR])"")=FALSE,$H352&lt;&gt;"""",$I352&lt;&gt;""""),HYPERLINK(""https://www.munzee.com/m/""&amp;$H352&amp;""/""&amp;$I352&amp;""/map/?lat=""&amp;$D352&amp;""&amp;lon=""&amp;$E352&amp;""&amp;type=""&amp;$G352&amp;""&amp;name=""&amp;SUBSTITUTE($A352,""#"&amp;""",""%23""),$H352&amp;""/""&amp;$I352),IF($H352&lt;&gt;"""",IF(REGEXMATCH($H352,""50( ?['fF]([oO]{2})?[tT]?)?( ?[eE][rR]{2}[oO][rR])""),HYPERLINK(""https://www.munzee.com/map/?sandbox=1&amp;lat=""&amp;$D352&amp;""&amp;lon=""&amp;$E352&amp;""&amp;name=""&amp;SUBSTITUTE($A352,""#"",""%23""),""SANDBOX"""&amp;"),HYPERLINK(""https://www.munzee.com/m/""&amp;$H352&amp;""/deploys/0/type/""&amp;IFNA(VLOOKUP($G352,IMPORTRANGE(""https://docs.google.com/spreadsheets/d/1DliIGyDywdzxhd4svtjaewR0p9Y5UBTMNMQ2PcXsqss"",""type data!E2:F""),2,FALSE),$G352)&amp;""/"",$H352)),""""))"),"vadotech/4640")</f>
        <v>vadotech/4640</v>
      </c>
      <c r="L352" s="19" t="b">
        <v>1</v>
      </c>
      <c r="M352" s="12">
        <f t="shared" si="1"/>
        <v>4</v>
      </c>
      <c r="N352" s="13"/>
      <c r="O352" s="13"/>
      <c r="P352" s="29"/>
    </row>
    <row r="353">
      <c r="A353" s="15" t="s">
        <v>516</v>
      </c>
      <c r="B353" s="16">
        <v>20.0</v>
      </c>
      <c r="C353" s="16">
        <v>10.0</v>
      </c>
      <c r="D353" s="17">
        <v>44.863343705638</v>
      </c>
      <c r="E353" s="17">
        <v>-93.335033672082</v>
      </c>
      <c r="F353" s="16" t="s">
        <v>41</v>
      </c>
      <c r="G353" s="16" t="s">
        <v>17</v>
      </c>
      <c r="H353" s="18" t="s">
        <v>368</v>
      </c>
      <c r="I353" s="19">
        <v>3661.0</v>
      </c>
      <c r="J353" s="20"/>
      <c r="K353" s="11" t="str">
        <f>IFERROR(__xludf.DUMMYFUNCTION("IF(AND(REGEXMATCH($H353,""50( ?['fF]([oO]{2})?[tT]?)?( ?[eE][rR]{2}[oO][rR])"")=FALSE,$H353&lt;&gt;"""",$I353&lt;&gt;""""),HYPERLINK(""https://www.munzee.com/m/""&amp;$H353&amp;""/""&amp;$I353&amp;""/map/?lat=""&amp;$D353&amp;""&amp;lon=""&amp;$E353&amp;""&amp;type=""&amp;$G353&amp;""&amp;name=""&amp;SUBSTITUTE($A353,""#"&amp;""",""%23""),$H353&amp;""/""&amp;$I353),IF($H353&lt;&gt;"""",IF(REGEXMATCH($H353,""50( ?['fF]([oO]{2})?[tT]?)?( ?[eE][rR]{2}[oO][rR])""),HYPERLINK(""https://www.munzee.com/map/?sandbox=1&amp;lat=""&amp;$D353&amp;""&amp;lon=""&amp;$E353&amp;""&amp;name=""&amp;SUBSTITUTE($A353,""#"",""%23""),""SANDBOX"""&amp;"),HYPERLINK(""https://www.munzee.com/m/""&amp;$H353&amp;""/deploys/0/type/""&amp;IFNA(VLOOKUP($G353,IMPORTRANGE(""https://docs.google.com/spreadsheets/d/1DliIGyDywdzxhd4svtjaewR0p9Y5UBTMNMQ2PcXsqss"",""type data!E2:F""),2,FALSE),$G353)&amp;""/"",$H353)),""""))"),"mollymoo09/3661")</f>
        <v>mollymoo09/3661</v>
      </c>
      <c r="L353" s="19" t="b">
        <v>1</v>
      </c>
      <c r="M353" s="12">
        <f t="shared" si="1"/>
        <v>3</v>
      </c>
      <c r="N353" s="13"/>
      <c r="O353" s="13"/>
      <c r="P353" s="29"/>
    </row>
    <row r="354">
      <c r="A354" s="15" t="s">
        <v>517</v>
      </c>
      <c r="B354" s="16">
        <v>20.0</v>
      </c>
      <c r="C354" s="16">
        <v>11.0</v>
      </c>
      <c r="D354" s="17">
        <v>44.863343705459</v>
      </c>
      <c r="E354" s="17">
        <v>-93.334830889617</v>
      </c>
      <c r="F354" s="16" t="s">
        <v>41</v>
      </c>
      <c r="G354" s="16" t="s">
        <v>17</v>
      </c>
      <c r="H354" s="18" t="s">
        <v>429</v>
      </c>
      <c r="I354" s="19">
        <v>4638.0</v>
      </c>
      <c r="J354" s="21"/>
      <c r="K354" s="11" t="str">
        <f>IFERROR(__xludf.DUMMYFUNCTION("IF(AND(REGEXMATCH($H354,""50( ?['fF]([oO]{2})?[tT]?)?( ?[eE][rR]{2}[oO][rR])"")=FALSE,$H354&lt;&gt;"""",$I354&lt;&gt;""""),HYPERLINK(""https://www.munzee.com/m/""&amp;$H354&amp;""/""&amp;$I354&amp;""/map/?lat=""&amp;$D354&amp;""&amp;lon=""&amp;$E354&amp;""&amp;type=""&amp;$G354&amp;""&amp;name=""&amp;SUBSTITUTE($A354,""#"&amp;""",""%23""),$H354&amp;""/""&amp;$I354),IF($H354&lt;&gt;"""",IF(REGEXMATCH($H354,""50( ?['fF]([oO]{2})?[tT]?)?( ?[eE][rR]{2}[oO][rR])""),HYPERLINK(""https://www.munzee.com/map/?sandbox=1&amp;lat=""&amp;$D354&amp;""&amp;lon=""&amp;$E354&amp;""&amp;name=""&amp;SUBSTITUTE($A354,""#"",""%23""),""SANDBOX"""&amp;"),HYPERLINK(""https://www.munzee.com/m/""&amp;$H354&amp;""/deploys/0/type/""&amp;IFNA(VLOOKUP($G354,IMPORTRANGE(""https://docs.google.com/spreadsheets/d/1DliIGyDywdzxhd4svtjaewR0p9Y5UBTMNMQ2PcXsqss"",""type data!E2:F""),2,FALSE),$G354)&amp;""/"",$H354)),""""))"),"halemeister/4638")</f>
        <v>halemeister/4638</v>
      </c>
      <c r="L354" s="19" t="b">
        <v>1</v>
      </c>
      <c r="M354" s="12">
        <f t="shared" si="1"/>
        <v>9</v>
      </c>
      <c r="N354" s="13"/>
      <c r="O354" s="13"/>
      <c r="P354" s="29"/>
    </row>
    <row r="355">
      <c r="A355" s="15" t="s">
        <v>518</v>
      </c>
      <c r="B355" s="16">
        <v>20.0</v>
      </c>
      <c r="C355" s="16">
        <v>12.0</v>
      </c>
      <c r="D355" s="17">
        <v>44.863343705279</v>
      </c>
      <c r="E355" s="17">
        <v>-93.334628107151</v>
      </c>
      <c r="F355" s="16" t="s">
        <v>41</v>
      </c>
      <c r="G355" s="16" t="s">
        <v>17</v>
      </c>
      <c r="H355" s="18" t="s">
        <v>519</v>
      </c>
      <c r="I355" s="19">
        <v>5122.0</v>
      </c>
      <c r="J355" s="20"/>
      <c r="K355" s="11" t="str">
        <f>IFERROR(__xludf.DUMMYFUNCTION("IF(AND(REGEXMATCH($H355,""50( ?['fF]([oO]{2})?[tT]?)?( ?[eE][rR]{2}[oO][rR])"")=FALSE,$H355&lt;&gt;"""",$I355&lt;&gt;""""),HYPERLINK(""https://www.munzee.com/m/""&amp;$H355&amp;""/""&amp;$I355&amp;""/map/?lat=""&amp;$D355&amp;""&amp;lon=""&amp;$E355&amp;""&amp;type=""&amp;$G355&amp;""&amp;name=""&amp;SUBSTITUTE($A355,""#"&amp;""",""%23""),$H355&amp;""/""&amp;$I355),IF($H355&lt;&gt;"""",IF(REGEXMATCH($H355,""50( ?['fF]([oO]{2})?[tT]?)?( ?[eE][rR]{2}[oO][rR])""),HYPERLINK(""https://www.munzee.com/map/?sandbox=1&amp;lat=""&amp;$D355&amp;""&amp;lon=""&amp;$E355&amp;""&amp;name=""&amp;SUBSTITUTE($A355,""#"",""%23""),""SANDBOX"""&amp;"),HYPERLINK(""https://www.munzee.com/m/""&amp;$H355&amp;""/deploys/0/type/""&amp;IFNA(VLOOKUP($G355,IMPORTRANGE(""https://docs.google.com/spreadsheets/d/1DliIGyDywdzxhd4svtjaewR0p9Y5UBTMNMQ2PcXsqss"",""type data!E2:F""),2,FALSE),$G355)&amp;""/"",$H355)),""""))"),"naturelover/5122")</f>
        <v>naturelover/5122</v>
      </c>
      <c r="L355" s="19" t="b">
        <v>1</v>
      </c>
      <c r="M355" s="12">
        <f t="shared" si="1"/>
        <v>1</v>
      </c>
      <c r="N355" s="13"/>
      <c r="O355" s="13"/>
      <c r="P355" s="29"/>
    </row>
    <row r="356">
      <c r="A356" s="15" t="s">
        <v>520</v>
      </c>
      <c r="B356" s="16">
        <v>20.0</v>
      </c>
      <c r="C356" s="16">
        <v>13.0</v>
      </c>
      <c r="D356" s="17">
        <v>44.8633437051</v>
      </c>
      <c r="E356" s="17">
        <v>-93.334425324686</v>
      </c>
      <c r="F356" s="16" t="s">
        <v>41</v>
      </c>
      <c r="G356" s="16" t="s">
        <v>17</v>
      </c>
      <c r="H356" s="18" t="s">
        <v>326</v>
      </c>
      <c r="I356" s="19">
        <v>3121.0</v>
      </c>
      <c r="J356" s="21"/>
      <c r="K356" s="11" t="str">
        <f>IFERROR(__xludf.DUMMYFUNCTION("IF(AND(REGEXMATCH($H356,""50( ?['fF]([oO]{2})?[tT]?)?( ?[eE][rR]{2}[oO][rR])"")=FALSE,$H356&lt;&gt;"""",$I356&lt;&gt;""""),HYPERLINK(""https://www.munzee.com/m/""&amp;$H356&amp;""/""&amp;$I356&amp;""/map/?lat=""&amp;$D356&amp;""&amp;lon=""&amp;$E356&amp;""&amp;type=""&amp;$G356&amp;""&amp;name=""&amp;SUBSTITUTE($A356,""#"&amp;""",""%23""),$H356&amp;""/""&amp;$I356),IF($H356&lt;&gt;"""",IF(REGEXMATCH($H356,""50( ?['fF]([oO]{2})?[tT]?)?( ?[eE][rR]{2}[oO][rR])""),HYPERLINK(""https://www.munzee.com/map/?sandbox=1&amp;lat=""&amp;$D356&amp;""&amp;lon=""&amp;$E356&amp;""&amp;name=""&amp;SUBSTITUTE($A356,""#"",""%23""),""SANDBOX"""&amp;"),HYPERLINK(""https://www.munzee.com/m/""&amp;$H356&amp;""/deploys/0/type/""&amp;IFNA(VLOOKUP($G356,IMPORTRANGE(""https://docs.google.com/spreadsheets/d/1DliIGyDywdzxhd4svtjaewR0p9Y5UBTMNMQ2PcXsqss"",""type data!E2:F""),2,FALSE),$G356)&amp;""/"",$H356)),""""))"),"rbct109/3121")</f>
        <v>rbct109/3121</v>
      </c>
      <c r="L356" s="19" t="b">
        <v>1</v>
      </c>
      <c r="M356" s="12">
        <f t="shared" si="1"/>
        <v>4</v>
      </c>
      <c r="N356" s="13"/>
      <c r="O356" s="13"/>
      <c r="P356" s="29"/>
    </row>
    <row r="357">
      <c r="A357" s="15" t="s">
        <v>521</v>
      </c>
      <c r="B357" s="16">
        <v>20.0</v>
      </c>
      <c r="C357" s="16">
        <v>14.0</v>
      </c>
      <c r="D357" s="17">
        <v>44.863343704921</v>
      </c>
      <c r="E357" s="17">
        <v>-93.33422254222</v>
      </c>
      <c r="F357" s="16" t="s">
        <v>522</v>
      </c>
      <c r="G357" s="16" t="s">
        <v>17</v>
      </c>
      <c r="H357" s="18" t="s">
        <v>21</v>
      </c>
      <c r="I357" s="19">
        <v>1136.0</v>
      </c>
      <c r="J357" s="20"/>
      <c r="K357" s="11" t="str">
        <f>IFERROR(__xludf.DUMMYFUNCTION("IF(AND(REGEXMATCH($H357,""50( ?['fF]([oO]{2})?[tT]?)?( ?[eE][rR]{2}[oO][rR])"")=FALSE,$H357&lt;&gt;"""",$I357&lt;&gt;""""),HYPERLINK(""https://www.munzee.com/m/""&amp;$H357&amp;""/""&amp;$I357&amp;""/map/?lat=""&amp;$D357&amp;""&amp;lon=""&amp;$E357&amp;""&amp;type=""&amp;$G357&amp;""&amp;name=""&amp;SUBSTITUTE($A357,""#"&amp;""",""%23""),$H357&amp;""/""&amp;$I357),IF($H357&lt;&gt;"""",IF(REGEXMATCH($H357,""50( ?['fF]([oO]{2})?[tT]?)?( ?[eE][rR]{2}[oO][rR])""),HYPERLINK(""https://www.munzee.com/map/?sandbox=1&amp;lat=""&amp;$D357&amp;""&amp;lon=""&amp;$E357&amp;""&amp;name=""&amp;SUBSTITUTE($A357,""#"",""%23""),""SANDBOX"""&amp;"),HYPERLINK(""https://www.munzee.com/m/""&amp;$H357&amp;""/deploys/0/type/""&amp;IFNA(VLOOKUP($G357,IMPORTRANGE(""https://docs.google.com/spreadsheets/d/1DliIGyDywdzxhd4svtjaewR0p9Y5UBTMNMQ2PcXsqss"",""type data!E2:F""),2,FALSE),$G357)&amp;""/"",$H357)),""""))"),"Westmarch/1136")</f>
        <v>Westmarch/1136</v>
      </c>
      <c r="L357" s="19" t="b">
        <v>1</v>
      </c>
      <c r="M357" s="12">
        <f t="shared" si="1"/>
        <v>12</v>
      </c>
      <c r="N357" s="13"/>
      <c r="O357" s="13"/>
      <c r="P357" s="29"/>
    </row>
    <row r="358">
      <c r="A358" s="15" t="s">
        <v>523</v>
      </c>
      <c r="B358" s="16">
        <v>20.0</v>
      </c>
      <c r="C358" s="16">
        <v>15.0</v>
      </c>
      <c r="D358" s="17">
        <v>44.863343704741</v>
      </c>
      <c r="E358" s="17">
        <v>-93.334019759754</v>
      </c>
      <c r="F358" s="16" t="s">
        <v>522</v>
      </c>
      <c r="G358" s="16" t="s">
        <v>17</v>
      </c>
      <c r="H358" s="18" t="s">
        <v>42</v>
      </c>
      <c r="I358" s="19">
        <v>2455.0</v>
      </c>
      <c r="J358" s="20"/>
      <c r="K358" s="11" t="str">
        <f>IFERROR(__xludf.DUMMYFUNCTION("IF(AND(REGEXMATCH($H358,""50( ?['fF]([oO]{2})?[tT]?)?( ?[eE][rR]{2}[oO][rR])"")=FALSE,$H358&lt;&gt;"""",$I358&lt;&gt;""""),HYPERLINK(""https://www.munzee.com/m/""&amp;$H358&amp;""/""&amp;$I358&amp;""/map/?lat=""&amp;$D358&amp;""&amp;lon=""&amp;$E358&amp;""&amp;type=""&amp;$G358&amp;""&amp;name=""&amp;SUBSTITUTE($A358,""#"&amp;""",""%23""),$H358&amp;""/""&amp;$I358),IF($H358&lt;&gt;"""",IF(REGEXMATCH($H358,""50( ?['fF]([oO]{2})?[tT]?)?( ?[eE][rR]{2}[oO][rR])""),HYPERLINK(""https://www.munzee.com/map/?sandbox=1&amp;lat=""&amp;$D358&amp;""&amp;lon=""&amp;$E358&amp;""&amp;name=""&amp;SUBSTITUTE($A358,""#"",""%23""),""SANDBOX"""&amp;"),HYPERLINK(""https://www.munzee.com/m/""&amp;$H358&amp;""/deploys/0/type/""&amp;IFNA(VLOOKUP($G358,IMPORTRANGE(""https://docs.google.com/spreadsheets/d/1DliIGyDywdzxhd4svtjaewR0p9Y5UBTMNMQ2PcXsqss"",""type data!E2:F""),2,FALSE),$G358)&amp;""/"",$H358)),""""))"),"snakelips/2455")</f>
        <v>snakelips/2455</v>
      </c>
      <c r="L358" s="19" t="b">
        <v>1</v>
      </c>
      <c r="M358" s="12">
        <f t="shared" si="1"/>
        <v>7</v>
      </c>
      <c r="N358" s="13"/>
      <c r="O358" s="13"/>
      <c r="P358" s="29"/>
    </row>
    <row r="359">
      <c r="A359" s="15" t="s">
        <v>524</v>
      </c>
      <c r="B359" s="16">
        <v>20.0</v>
      </c>
      <c r="C359" s="16">
        <v>16.0</v>
      </c>
      <c r="D359" s="17">
        <v>44.863343704562</v>
      </c>
      <c r="E359" s="17">
        <v>-93.333816977289</v>
      </c>
      <c r="F359" s="16" t="s">
        <v>41</v>
      </c>
      <c r="G359" s="16" t="s">
        <v>410</v>
      </c>
      <c r="H359" s="18" t="s">
        <v>525</v>
      </c>
      <c r="I359" s="19">
        <v>4147.0</v>
      </c>
      <c r="J359" s="21"/>
      <c r="K359" s="11" t="str">
        <f>IFERROR(__xludf.DUMMYFUNCTION("IF(AND(REGEXMATCH($H359,""50( ?['fF]([oO]{2})?[tT]?)?( ?[eE][rR]{2}[oO][rR])"")=FALSE,$H359&lt;&gt;"""",$I359&lt;&gt;""""),HYPERLINK(""https://www.munzee.com/m/""&amp;$H359&amp;""/""&amp;$I359&amp;""/map/?lat=""&amp;$D359&amp;""&amp;lon=""&amp;$E359&amp;""&amp;type=""&amp;$G359&amp;""&amp;name=""&amp;SUBSTITUTE($A359,""#"&amp;""",""%23""),$H359&amp;""/""&amp;$I359),IF($H359&lt;&gt;"""",IF(REGEXMATCH($H359,""50( ?['fF]([oO]{2})?[tT]?)?( ?[eE][rR]{2}[oO][rR])""),HYPERLINK(""https://www.munzee.com/map/?sandbox=1&amp;lat=""&amp;$D359&amp;""&amp;lon=""&amp;$E359&amp;""&amp;name=""&amp;SUBSTITUTE($A359,""#"",""%23""),""SANDBOX"""&amp;"),HYPERLINK(""https://www.munzee.com/m/""&amp;$H359&amp;""/deploys/0/type/""&amp;IFNA(VLOOKUP($G359,IMPORTRANGE(""https://docs.google.com/spreadsheets/d/1DliIGyDywdzxhd4svtjaewR0p9Y5UBTMNMQ2PcXsqss"",""type data!E2:F""),2,FALSE),$G359)&amp;""/"",$H359)),""""))"),"DisneyGirl/4147")</f>
        <v>DisneyGirl/4147</v>
      </c>
      <c r="L359" s="19" t="b">
        <v>1</v>
      </c>
      <c r="M359" s="12">
        <f t="shared" si="1"/>
        <v>1</v>
      </c>
      <c r="N359" s="13"/>
      <c r="O359" s="13"/>
      <c r="P359" s="29"/>
    </row>
    <row r="360">
      <c r="A360" s="15" t="s">
        <v>526</v>
      </c>
      <c r="B360" s="16">
        <v>20.0</v>
      </c>
      <c r="C360" s="16">
        <v>17.0</v>
      </c>
      <c r="D360" s="17">
        <v>44.863343704382</v>
      </c>
      <c r="E360" s="17">
        <v>-93.333614194823</v>
      </c>
      <c r="F360" s="16" t="s">
        <v>41</v>
      </c>
      <c r="G360" s="16" t="s">
        <v>410</v>
      </c>
      <c r="H360" s="18" t="s">
        <v>505</v>
      </c>
      <c r="I360" s="19">
        <v>4641.0</v>
      </c>
      <c r="J360" s="21"/>
      <c r="K360" s="11" t="str">
        <f>IFERROR(__xludf.DUMMYFUNCTION("IF(AND(REGEXMATCH($H360,""50( ?['fF]([oO]{2})?[tT]?)?( ?[eE][rR]{2}[oO][rR])"")=FALSE,$H360&lt;&gt;"""",$I360&lt;&gt;""""),HYPERLINK(""https://www.munzee.com/m/""&amp;$H360&amp;""/""&amp;$I360&amp;""/map/?lat=""&amp;$D360&amp;""&amp;lon=""&amp;$E360&amp;""&amp;type=""&amp;$G360&amp;""&amp;name=""&amp;SUBSTITUTE($A360,""#"&amp;""",""%23""),$H360&amp;""/""&amp;$I360),IF($H360&lt;&gt;"""",IF(REGEXMATCH($H360,""50( ?['fF]([oO]{2})?[tT]?)?( ?[eE][rR]{2}[oO][rR])""),HYPERLINK(""https://www.munzee.com/map/?sandbox=1&amp;lat=""&amp;$D360&amp;""&amp;lon=""&amp;$E360&amp;""&amp;name=""&amp;SUBSTITUTE($A360,""#"",""%23""),""SANDBOX"""&amp;"),HYPERLINK(""https://www.munzee.com/m/""&amp;$H360&amp;""/deploys/0/type/""&amp;IFNA(VLOOKUP($G360,IMPORTRANGE(""https://docs.google.com/spreadsheets/d/1DliIGyDywdzxhd4svtjaewR0p9Y5UBTMNMQ2PcXsqss"",""type data!E2:F""),2,FALSE),$G360)&amp;""/"",$H360)),""""))"),"vadotech/4641")</f>
        <v>vadotech/4641</v>
      </c>
      <c r="L360" s="19" t="b">
        <v>1</v>
      </c>
      <c r="M360" s="12">
        <f t="shared" si="1"/>
        <v>4</v>
      </c>
      <c r="N360" s="13"/>
      <c r="O360" s="13"/>
      <c r="P360" s="29"/>
    </row>
    <row r="361">
      <c r="A361" s="15" t="s">
        <v>527</v>
      </c>
      <c r="B361" s="16">
        <v>20.0</v>
      </c>
      <c r="C361" s="16">
        <v>18.0</v>
      </c>
      <c r="D361" s="17">
        <v>44.863343704203</v>
      </c>
      <c r="E361" s="17">
        <v>-93.333411412357</v>
      </c>
      <c r="F361" s="16" t="s">
        <v>41</v>
      </c>
      <c r="G361" s="16" t="s">
        <v>410</v>
      </c>
      <c r="H361" s="18" t="s">
        <v>503</v>
      </c>
      <c r="I361" s="19">
        <v>1373.0</v>
      </c>
      <c r="J361" s="21"/>
      <c r="K361" s="11" t="str">
        <f>IFERROR(__xludf.DUMMYFUNCTION("IF(AND(REGEXMATCH($H361,""50( ?['fF]([oO]{2})?[tT]?)?( ?[eE][rR]{2}[oO][rR])"")=FALSE,$H361&lt;&gt;"""",$I361&lt;&gt;""""),HYPERLINK(""https://www.munzee.com/m/""&amp;$H361&amp;""/""&amp;$I361&amp;""/map/?lat=""&amp;$D361&amp;""&amp;lon=""&amp;$E361&amp;""&amp;type=""&amp;$G361&amp;""&amp;name=""&amp;SUBSTITUTE($A361,""#"&amp;""",""%23""),$H361&amp;""/""&amp;$I361),IF($H361&lt;&gt;"""",IF(REGEXMATCH($H361,""50( ?['fF]([oO]{2})?[tT]?)?( ?[eE][rR]{2}[oO][rR])""),HYPERLINK(""https://www.munzee.com/map/?sandbox=1&amp;lat=""&amp;$D361&amp;""&amp;lon=""&amp;$E361&amp;""&amp;name=""&amp;SUBSTITUTE($A361,""#"",""%23""),""SANDBOX"""&amp;"),HYPERLINK(""https://www.munzee.com/m/""&amp;$H361&amp;""/deploys/0/type/""&amp;IFNA(VLOOKUP($G361,IMPORTRANGE(""https://docs.google.com/spreadsheets/d/1DliIGyDywdzxhd4svtjaewR0p9Y5UBTMNMQ2PcXsqss"",""type data!E2:F""),2,FALSE),$G361)&amp;""/"",$H361)),""""))"),"Pamster13/1373")</f>
        <v>Pamster13/1373</v>
      </c>
      <c r="L361" s="19" t="b">
        <v>1</v>
      </c>
      <c r="M361" s="12">
        <f t="shared" si="1"/>
        <v>3</v>
      </c>
      <c r="N361" s="13"/>
      <c r="O361" s="13"/>
      <c r="P361" s="29"/>
    </row>
    <row r="362">
      <c r="A362" s="15" t="s">
        <v>528</v>
      </c>
      <c r="B362" s="16">
        <v>20.0</v>
      </c>
      <c r="C362" s="16">
        <v>19.0</v>
      </c>
      <c r="D362" s="17">
        <v>44.863343704024</v>
      </c>
      <c r="E362" s="17">
        <v>-93.333208629892</v>
      </c>
      <c r="F362" s="16" t="s">
        <v>41</v>
      </c>
      <c r="G362" s="16" t="s">
        <v>410</v>
      </c>
      <c r="H362" s="18" t="s">
        <v>529</v>
      </c>
      <c r="I362" s="19">
        <v>5235.0</v>
      </c>
      <c r="J362" s="20"/>
      <c r="K362" s="11" t="str">
        <f>IFERROR(__xludf.DUMMYFUNCTION("IF(AND(REGEXMATCH($H362,""50( ?['fF]([oO]{2})?[tT]?)?( ?[eE][rR]{2}[oO][rR])"")=FALSE,$H362&lt;&gt;"""",$I362&lt;&gt;""""),HYPERLINK(""https://www.munzee.com/m/""&amp;$H362&amp;""/""&amp;$I362&amp;""/map/?lat=""&amp;$D362&amp;""&amp;lon=""&amp;$E362&amp;""&amp;type=""&amp;$G362&amp;""&amp;name=""&amp;SUBSTITUTE($A362,""#"&amp;""",""%23""),$H362&amp;""/""&amp;$I362),IF($H362&lt;&gt;"""",IF(REGEXMATCH($H362,""50( ?['fF]([oO]{2})?[tT]?)?( ?[eE][rR]{2}[oO][rR])""),HYPERLINK(""https://www.munzee.com/map/?sandbox=1&amp;lat=""&amp;$D362&amp;""&amp;lon=""&amp;$E362&amp;""&amp;name=""&amp;SUBSTITUTE($A362,""#"",""%23""),""SANDBOX"""&amp;"),HYPERLINK(""https://www.munzee.com/m/""&amp;$H362&amp;""/deploys/0/type/""&amp;IFNA(VLOOKUP($G362,IMPORTRANGE(""https://docs.google.com/spreadsheets/d/1DliIGyDywdzxhd4svtjaewR0p9Y5UBTMNMQ2PcXsqss"",""type data!E2:F""),2,FALSE),$G362)&amp;""/"",$H362)),""""))"),"oldfruits/5235")</f>
        <v>oldfruits/5235</v>
      </c>
      <c r="L362" s="19" t="b">
        <v>1</v>
      </c>
      <c r="M362" s="12">
        <f t="shared" si="1"/>
        <v>1</v>
      </c>
      <c r="N362" s="13"/>
      <c r="O362" s="13"/>
      <c r="P362" s="29"/>
    </row>
    <row r="363">
      <c r="A363" s="15" t="s">
        <v>530</v>
      </c>
      <c r="B363" s="16">
        <v>20.0</v>
      </c>
      <c r="C363" s="16">
        <v>20.0</v>
      </c>
      <c r="D363" s="17">
        <v>44.863343703844</v>
      </c>
      <c r="E363" s="17">
        <v>-93.333005847426</v>
      </c>
      <c r="F363" s="16" t="s">
        <v>41</v>
      </c>
      <c r="G363" s="16" t="s">
        <v>410</v>
      </c>
      <c r="H363" s="18" t="s">
        <v>531</v>
      </c>
      <c r="I363" s="19">
        <v>7240.0</v>
      </c>
      <c r="J363" s="20"/>
      <c r="K363" s="11" t="str">
        <f>IFERROR(__xludf.DUMMYFUNCTION("IF(AND(REGEXMATCH($H363,""50( ?['fF]([oO]{2})?[tT]?)?( ?[eE][rR]{2}[oO][rR])"")=FALSE,$H363&lt;&gt;"""",$I363&lt;&gt;""""),HYPERLINK(""https://www.munzee.com/m/""&amp;$H363&amp;""/""&amp;$I363&amp;""/map/?lat=""&amp;$D363&amp;""&amp;lon=""&amp;$E363&amp;""&amp;type=""&amp;$G363&amp;""&amp;name=""&amp;SUBSTITUTE($A363,""#"&amp;""",""%23""),$H363&amp;""/""&amp;$I363),IF($H363&lt;&gt;"""",IF(REGEXMATCH($H363,""50( ?['fF]([oO]{2})?[tT]?)?( ?[eE][rR]{2}[oO][rR])""),HYPERLINK(""https://www.munzee.com/map/?sandbox=1&amp;lat=""&amp;$D363&amp;""&amp;lon=""&amp;$E363&amp;""&amp;name=""&amp;SUBSTITUTE($A363,""#"",""%23""),""SANDBOX"""&amp;"),HYPERLINK(""https://www.munzee.com/m/""&amp;$H363&amp;""/deploys/0/type/""&amp;IFNA(VLOOKUP($G363,IMPORTRANGE(""https://docs.google.com/spreadsheets/d/1DliIGyDywdzxhd4svtjaewR0p9Y5UBTMNMQ2PcXsqss"",""type data!E2:F""),2,FALSE),$G363)&amp;""/"",$H363)),""""))"),"QueenofDNile/7240")</f>
        <v>QueenofDNile/7240</v>
      </c>
      <c r="L363" s="19" t="b">
        <v>1</v>
      </c>
      <c r="M363" s="12">
        <f t="shared" si="1"/>
        <v>7</v>
      </c>
      <c r="N363" s="13"/>
      <c r="O363" s="13"/>
      <c r="P363" s="29"/>
    </row>
    <row r="364">
      <c r="A364" s="15" t="s">
        <v>532</v>
      </c>
      <c r="B364" s="16">
        <v>20.0</v>
      </c>
      <c r="C364" s="16">
        <v>21.0</v>
      </c>
      <c r="D364" s="17">
        <v>44.863343703665</v>
      </c>
      <c r="E364" s="17">
        <v>-93.332803064961</v>
      </c>
      <c r="F364" s="16" t="s">
        <v>41</v>
      </c>
      <c r="G364" s="16" t="s">
        <v>17</v>
      </c>
      <c r="H364" s="18" t="s">
        <v>459</v>
      </c>
      <c r="I364" s="19">
        <v>1744.0</v>
      </c>
      <c r="J364" s="20"/>
      <c r="K364" s="11" t="str">
        <f>IFERROR(__xludf.DUMMYFUNCTION("IF(AND(REGEXMATCH($H364,""50( ?['fF]([oO]{2})?[tT]?)?( ?[eE][rR]{2}[oO][rR])"")=FALSE,$H364&lt;&gt;"""",$I364&lt;&gt;""""),HYPERLINK(""https://www.munzee.com/m/""&amp;$H364&amp;""/""&amp;$I364&amp;""/map/?lat=""&amp;$D364&amp;""&amp;lon=""&amp;$E364&amp;""&amp;type=""&amp;$G364&amp;""&amp;name=""&amp;SUBSTITUTE($A364,""#"&amp;""",""%23""),$H364&amp;""/""&amp;$I364),IF($H364&lt;&gt;"""",IF(REGEXMATCH($H364,""50( ?['fF]([oO]{2})?[tT]?)?( ?[eE][rR]{2}[oO][rR])""),HYPERLINK(""https://www.munzee.com/map/?sandbox=1&amp;lat=""&amp;$D364&amp;""&amp;lon=""&amp;$E364&amp;""&amp;name=""&amp;SUBSTITUTE($A364,""#"",""%23""),""SANDBOX"""&amp;"),HYPERLINK(""https://www.munzee.com/m/""&amp;$H364&amp;""/deploys/0/type/""&amp;IFNA(VLOOKUP($G364,IMPORTRANGE(""https://docs.google.com/spreadsheets/d/1DliIGyDywdzxhd4svtjaewR0p9Y5UBTMNMQ2PcXsqss"",""type data!E2:F""),2,FALSE),$G364)&amp;""/"",$H364)),""""))"),"Whatsoverthere /1744")</f>
        <v>Whatsoverthere /1744</v>
      </c>
      <c r="L364" s="19" t="b">
        <v>1</v>
      </c>
      <c r="M364" s="12">
        <f t="shared" si="1"/>
        <v>2</v>
      </c>
      <c r="N364" s="13"/>
      <c r="O364" s="13"/>
      <c r="P364" s="29"/>
    </row>
    <row r="365">
      <c r="A365" s="15" t="s">
        <v>533</v>
      </c>
      <c r="B365" s="16">
        <v>20.0</v>
      </c>
      <c r="C365" s="16">
        <v>22.0</v>
      </c>
      <c r="D365" s="17">
        <v>44.863343703485</v>
      </c>
      <c r="E365" s="17">
        <v>-93.332600282495</v>
      </c>
      <c r="F365" s="16" t="s">
        <v>510</v>
      </c>
      <c r="G365" s="16" t="s">
        <v>17</v>
      </c>
      <c r="H365" s="18" t="s">
        <v>511</v>
      </c>
      <c r="I365" s="19">
        <v>15387.0</v>
      </c>
      <c r="J365" s="20"/>
      <c r="K365" s="11" t="str">
        <f>IFERROR(__xludf.DUMMYFUNCTION("IF(AND(REGEXMATCH($H365,""50( ?['fF]([oO]{2})?[tT]?)?( ?[eE][rR]{2}[oO][rR])"")=FALSE,$H365&lt;&gt;"""",$I365&lt;&gt;""""),HYPERLINK(""https://www.munzee.com/m/""&amp;$H365&amp;""/""&amp;$I365&amp;""/map/?lat=""&amp;$D365&amp;""&amp;lon=""&amp;$E365&amp;""&amp;type=""&amp;$G365&amp;""&amp;name=""&amp;SUBSTITUTE($A365,""#"&amp;""",""%23""),$H365&amp;""/""&amp;$I365),IF($H365&lt;&gt;"""",IF(REGEXMATCH($H365,""50( ?['fF]([oO]{2})?[tT]?)?( ?[eE][rR]{2}[oO][rR])""),HYPERLINK(""https://www.munzee.com/map/?sandbox=1&amp;lat=""&amp;$D365&amp;""&amp;lon=""&amp;$E365&amp;""&amp;name=""&amp;SUBSTITUTE($A365,""#"",""%23""),""SANDBOX"""&amp;"),HYPERLINK(""https://www.munzee.com/m/""&amp;$H365&amp;""/deploys/0/type/""&amp;IFNA(VLOOKUP($G365,IMPORTRANGE(""https://docs.google.com/spreadsheets/d/1DliIGyDywdzxhd4svtjaewR0p9Y5UBTMNMQ2PcXsqss"",""type data!E2:F""),2,FALSE),$G365)&amp;""/"",$H365)),""""))"),"c-bn/15387")</f>
        <v>c-bn/15387</v>
      </c>
      <c r="L365" s="19" t="b">
        <v>1</v>
      </c>
      <c r="M365" s="12">
        <f t="shared" si="1"/>
        <v>5</v>
      </c>
      <c r="N365" s="13"/>
      <c r="O365" s="13"/>
      <c r="P365" s="29"/>
    </row>
    <row r="366">
      <c r="A366" s="15" t="s">
        <v>534</v>
      </c>
      <c r="B366" s="16">
        <v>20.0</v>
      </c>
      <c r="C366" s="16">
        <v>23.0</v>
      </c>
      <c r="D366" s="17">
        <v>44.863343703306</v>
      </c>
      <c r="E366" s="17">
        <v>-93.332397500029</v>
      </c>
      <c r="F366" s="16" t="s">
        <v>510</v>
      </c>
      <c r="G366" s="16" t="s">
        <v>17</v>
      </c>
      <c r="H366" s="18" t="s">
        <v>535</v>
      </c>
      <c r="I366" s="19">
        <v>1015.0</v>
      </c>
      <c r="J366" s="20"/>
      <c r="K366" s="11" t="str">
        <f>IFERROR(__xludf.DUMMYFUNCTION("IF(AND(REGEXMATCH($H366,""50( ?['fF]([oO]{2})?[tT]?)?( ?[eE][rR]{2}[oO][rR])"")=FALSE,$H366&lt;&gt;"""",$I366&lt;&gt;""""),HYPERLINK(""https://www.munzee.com/m/""&amp;$H366&amp;""/""&amp;$I366&amp;""/map/?lat=""&amp;$D366&amp;""&amp;lon=""&amp;$E366&amp;""&amp;type=""&amp;$G366&amp;""&amp;name=""&amp;SUBSTITUTE($A366,""#"&amp;""",""%23""),$H366&amp;""/""&amp;$I366),IF($H366&lt;&gt;"""",IF(REGEXMATCH($H366,""50( ?['fF]([oO]{2})?[tT]?)?( ?[eE][rR]{2}[oO][rR])""),HYPERLINK(""https://www.munzee.com/map/?sandbox=1&amp;lat=""&amp;$D366&amp;""&amp;lon=""&amp;$E366&amp;""&amp;name=""&amp;SUBSTITUTE($A366,""#"",""%23""),""SANDBOX"""&amp;"),HYPERLINK(""https://www.munzee.com/m/""&amp;$H366&amp;""/deploys/0/type/""&amp;IFNA(VLOOKUP($G366,IMPORTRANGE(""https://docs.google.com/spreadsheets/d/1DliIGyDywdzxhd4svtjaewR0p9Y5UBTMNMQ2PcXsqss"",""type data!E2:F""),2,FALSE),$G366)&amp;""/"",$H366)),""""))"),"Syrtene/1015")</f>
        <v>Syrtene/1015</v>
      </c>
      <c r="L366" s="19" t="b">
        <v>1</v>
      </c>
      <c r="M366" s="12">
        <f t="shared" si="1"/>
        <v>1</v>
      </c>
      <c r="N366" s="13"/>
      <c r="O366" s="13"/>
      <c r="P366" s="29"/>
    </row>
    <row r="367">
      <c r="A367" s="15" t="s">
        <v>536</v>
      </c>
      <c r="B367" s="16">
        <v>20.0</v>
      </c>
      <c r="C367" s="16">
        <v>24.0</v>
      </c>
      <c r="D367" s="17">
        <v>44.863343703126</v>
      </c>
      <c r="E367" s="17">
        <v>-93.332194717564</v>
      </c>
      <c r="F367" s="16" t="s">
        <v>41</v>
      </c>
      <c r="G367" s="16" t="s">
        <v>17</v>
      </c>
      <c r="H367" s="18" t="s">
        <v>531</v>
      </c>
      <c r="I367" s="19">
        <v>7241.0</v>
      </c>
      <c r="J367" s="20"/>
      <c r="K367" s="11" t="str">
        <f>IFERROR(__xludf.DUMMYFUNCTION("IF(AND(REGEXMATCH($H367,""50( ?['fF]([oO]{2})?[tT]?)?( ?[eE][rR]{2}[oO][rR])"")=FALSE,$H367&lt;&gt;"""",$I367&lt;&gt;""""),HYPERLINK(""https://www.munzee.com/m/""&amp;$H367&amp;""/""&amp;$I367&amp;""/map/?lat=""&amp;$D367&amp;""&amp;lon=""&amp;$E367&amp;""&amp;type=""&amp;$G367&amp;""&amp;name=""&amp;SUBSTITUTE($A367,""#"&amp;""",""%23""),$H367&amp;""/""&amp;$I367),IF($H367&lt;&gt;"""",IF(REGEXMATCH($H367,""50( ?['fF]([oO]{2})?[tT]?)?( ?[eE][rR]{2}[oO][rR])""),HYPERLINK(""https://www.munzee.com/map/?sandbox=1&amp;lat=""&amp;$D367&amp;""&amp;lon=""&amp;$E367&amp;""&amp;name=""&amp;SUBSTITUTE($A367,""#"",""%23""),""SANDBOX"""&amp;"),HYPERLINK(""https://www.munzee.com/m/""&amp;$H367&amp;""/deploys/0/type/""&amp;IFNA(VLOOKUP($G367,IMPORTRANGE(""https://docs.google.com/spreadsheets/d/1DliIGyDywdzxhd4svtjaewR0p9Y5UBTMNMQ2PcXsqss"",""type data!E2:F""),2,FALSE),$G367)&amp;""/"",$H367)),""""))"),"QueenofDNile/7241")</f>
        <v>QueenofDNile/7241</v>
      </c>
      <c r="L367" s="19" t="b">
        <v>1</v>
      </c>
      <c r="M367" s="12">
        <f t="shared" si="1"/>
        <v>7</v>
      </c>
      <c r="N367" s="13"/>
      <c r="O367" s="13"/>
      <c r="P367" s="29"/>
    </row>
    <row r="368">
      <c r="A368" s="15" t="s">
        <v>537</v>
      </c>
      <c r="B368" s="16">
        <v>20.0</v>
      </c>
      <c r="C368" s="16">
        <v>25.0</v>
      </c>
      <c r="D368" s="17">
        <v>44.863343702947</v>
      </c>
      <c r="E368" s="17">
        <v>-93.331991935098</v>
      </c>
      <c r="F368" s="16" t="s">
        <v>41</v>
      </c>
      <c r="G368" s="16" t="s">
        <v>17</v>
      </c>
      <c r="H368" s="18" t="s">
        <v>429</v>
      </c>
      <c r="I368" s="19">
        <v>4573.0</v>
      </c>
      <c r="J368" s="21"/>
      <c r="K368" s="11" t="str">
        <f>IFERROR(__xludf.DUMMYFUNCTION("IF(AND(REGEXMATCH($H368,""50( ?['fF]([oO]{2})?[tT]?)?( ?[eE][rR]{2}[oO][rR])"")=FALSE,$H368&lt;&gt;"""",$I368&lt;&gt;""""),HYPERLINK(""https://www.munzee.com/m/""&amp;$H368&amp;""/""&amp;$I368&amp;""/map/?lat=""&amp;$D368&amp;""&amp;lon=""&amp;$E368&amp;""&amp;type=""&amp;$G368&amp;""&amp;name=""&amp;SUBSTITUTE($A368,""#"&amp;""",""%23""),$H368&amp;""/""&amp;$I368),IF($H368&lt;&gt;"""",IF(REGEXMATCH($H368,""50( ?['fF]([oO]{2})?[tT]?)?( ?[eE][rR]{2}[oO][rR])""),HYPERLINK(""https://www.munzee.com/map/?sandbox=1&amp;lat=""&amp;$D368&amp;""&amp;lon=""&amp;$E368&amp;""&amp;name=""&amp;SUBSTITUTE($A368,""#"",""%23""),""SANDBOX"""&amp;"),HYPERLINK(""https://www.munzee.com/m/""&amp;$H368&amp;""/deploys/0/type/""&amp;IFNA(VLOOKUP($G368,IMPORTRANGE(""https://docs.google.com/spreadsheets/d/1DliIGyDywdzxhd4svtjaewR0p9Y5UBTMNMQ2PcXsqss"",""type data!E2:F""),2,FALSE),$G368)&amp;""/"",$H368)),""""))"),"halemeister/4573")</f>
        <v>halemeister/4573</v>
      </c>
      <c r="L368" s="19" t="b">
        <v>1</v>
      </c>
      <c r="M368" s="12">
        <f t="shared" si="1"/>
        <v>9</v>
      </c>
      <c r="N368" s="13"/>
      <c r="O368" s="13"/>
      <c r="P368" s="29"/>
    </row>
    <row r="369">
      <c r="A369" s="15" t="s">
        <v>538</v>
      </c>
      <c r="B369" s="16">
        <v>20.0</v>
      </c>
      <c r="C369" s="16">
        <v>26.0</v>
      </c>
      <c r="D369" s="17">
        <v>44.863343702768</v>
      </c>
      <c r="E369" s="17">
        <v>-93.331789152633</v>
      </c>
      <c r="F369" s="16" t="s">
        <v>41</v>
      </c>
      <c r="G369" s="16" t="s">
        <v>17</v>
      </c>
      <c r="H369" s="38" t="s">
        <v>539</v>
      </c>
      <c r="I369" s="19">
        <v>6335.0</v>
      </c>
      <c r="J369" s="21"/>
      <c r="K369" s="11" t="str">
        <f>IFERROR(__xludf.DUMMYFUNCTION("IF(AND(REGEXMATCH($H369,""50( ?['fF]([oO]{2})?[tT]?)?( ?[eE][rR]{2}[oO][rR])"")=FALSE,$H369&lt;&gt;"""",$I369&lt;&gt;""""),HYPERLINK(""https://www.munzee.com/m/""&amp;$H369&amp;""/""&amp;$I369&amp;""/map/?lat=""&amp;$D369&amp;""&amp;lon=""&amp;$E369&amp;""&amp;type=""&amp;$G369&amp;""&amp;name=""&amp;SUBSTITUTE($A369,""#"&amp;""",""%23""),$H369&amp;""/""&amp;$I369),IF($H369&lt;&gt;"""",IF(REGEXMATCH($H369,""50( ?['fF]([oO]{2})?[tT]?)?( ?[eE][rR]{2}[oO][rR])""),HYPERLINK(""https://www.munzee.com/map/?sandbox=1&amp;lat=""&amp;$D369&amp;""&amp;lon=""&amp;$E369&amp;""&amp;name=""&amp;SUBSTITUTE($A369,""#"",""%23""),""SANDBOX"""&amp;"),HYPERLINK(""https://www.munzee.com/m/""&amp;$H369&amp;""/deploys/0/type/""&amp;IFNA(VLOOKUP($G369,IMPORTRANGE(""https://docs.google.com/spreadsheets/d/1DliIGyDywdzxhd4svtjaewR0p9Y5UBTMNMQ2PcXsqss"",""type data!E2:F""),2,FALSE),$G369)&amp;""/"",$H369)),""""))"),"roughdraft/6335")</f>
        <v>roughdraft/6335</v>
      </c>
      <c r="L369" s="19" t="b">
        <v>1</v>
      </c>
      <c r="M369" s="12">
        <f t="shared" si="1"/>
        <v>1</v>
      </c>
      <c r="N369" s="13"/>
      <c r="O369" s="13"/>
      <c r="P369" s="29"/>
    </row>
    <row r="370">
      <c r="A370" s="15" t="s">
        <v>540</v>
      </c>
      <c r="B370" s="16">
        <v>20.0</v>
      </c>
      <c r="C370" s="16">
        <v>27.0</v>
      </c>
      <c r="D370" s="17">
        <v>44.863343702588</v>
      </c>
      <c r="E370" s="17">
        <v>-93.331586370167</v>
      </c>
      <c r="F370" s="16" t="s">
        <v>41</v>
      </c>
      <c r="G370" s="16" t="s">
        <v>17</v>
      </c>
      <c r="H370" s="18" t="s">
        <v>531</v>
      </c>
      <c r="I370" s="19">
        <v>7243.0</v>
      </c>
      <c r="J370" s="20"/>
      <c r="K370" s="11" t="str">
        <f>IFERROR(__xludf.DUMMYFUNCTION("IF(AND(REGEXMATCH($H370,""50( ?['fF]([oO]{2})?[tT]?)?( ?[eE][rR]{2}[oO][rR])"")=FALSE,$H370&lt;&gt;"""",$I370&lt;&gt;""""),HYPERLINK(""https://www.munzee.com/m/""&amp;$H370&amp;""/""&amp;$I370&amp;""/map/?lat=""&amp;$D370&amp;""&amp;lon=""&amp;$E370&amp;""&amp;type=""&amp;$G370&amp;""&amp;name=""&amp;SUBSTITUTE($A370,""#"&amp;""",""%23""),$H370&amp;""/""&amp;$I370),IF($H370&lt;&gt;"""",IF(REGEXMATCH($H370,""50( ?['fF]([oO]{2})?[tT]?)?( ?[eE][rR]{2}[oO][rR])""),HYPERLINK(""https://www.munzee.com/map/?sandbox=1&amp;lat=""&amp;$D370&amp;""&amp;lon=""&amp;$E370&amp;""&amp;name=""&amp;SUBSTITUTE($A370,""#"",""%23""),""SANDBOX"""&amp;"),HYPERLINK(""https://www.munzee.com/m/""&amp;$H370&amp;""/deploys/0/type/""&amp;IFNA(VLOOKUP($G370,IMPORTRANGE(""https://docs.google.com/spreadsheets/d/1DliIGyDywdzxhd4svtjaewR0p9Y5UBTMNMQ2PcXsqss"",""type data!E2:F""),2,FALSE),$G370)&amp;""/"",$H370)),""""))"),"QueenofDNile/7243")</f>
        <v>QueenofDNile/7243</v>
      </c>
      <c r="L370" s="19" t="b">
        <v>1</v>
      </c>
      <c r="M370" s="12">
        <f t="shared" si="1"/>
        <v>7</v>
      </c>
      <c r="N370" s="13"/>
      <c r="O370" s="13"/>
      <c r="P370" s="29"/>
    </row>
    <row r="371">
      <c r="A371" s="15" t="s">
        <v>541</v>
      </c>
      <c r="B371" s="16">
        <v>20.0</v>
      </c>
      <c r="C371" s="16">
        <v>28.0</v>
      </c>
      <c r="D371" s="17">
        <v>44.863343702409</v>
      </c>
      <c r="E371" s="17">
        <v>-93.331383587701</v>
      </c>
      <c r="F371" s="16" t="s">
        <v>16</v>
      </c>
      <c r="G371" s="16" t="s">
        <v>17</v>
      </c>
      <c r="H371" s="18" t="s">
        <v>343</v>
      </c>
      <c r="I371" s="19">
        <v>440.0</v>
      </c>
      <c r="J371" s="21"/>
      <c r="K371" s="11" t="str">
        <f>IFERROR(__xludf.DUMMYFUNCTION("IF(AND(REGEXMATCH($H371,""50( ?['fF]([oO]{2})?[tT]?)?( ?[eE][rR]{2}[oO][rR])"")=FALSE,$H371&lt;&gt;"""",$I371&lt;&gt;""""),HYPERLINK(""https://www.munzee.com/m/""&amp;$H371&amp;""/""&amp;$I371&amp;""/map/?lat=""&amp;$D371&amp;""&amp;lon=""&amp;$E371&amp;""&amp;type=""&amp;$G371&amp;""&amp;name=""&amp;SUBSTITUTE($A371,""#"&amp;""",""%23""),$H371&amp;""/""&amp;$I371),IF($H371&lt;&gt;"""",IF(REGEXMATCH($H371,""50( ?['fF]([oO]{2})?[tT]?)?( ?[eE][rR]{2}[oO][rR])""),HYPERLINK(""https://www.munzee.com/map/?sandbox=1&amp;lat=""&amp;$D371&amp;""&amp;lon=""&amp;$E371&amp;""&amp;name=""&amp;SUBSTITUTE($A371,""#"",""%23""),""SANDBOX"""&amp;"),HYPERLINK(""https://www.munzee.com/m/""&amp;$H371&amp;""/deploys/0/type/""&amp;IFNA(VLOOKUP($G371,IMPORTRANGE(""https://docs.google.com/spreadsheets/d/1DliIGyDywdzxhd4svtjaewR0p9Y5UBTMNMQ2PcXsqss"",""type data!E2:F""),2,FALSE),$G371)&amp;""/"",$H371)),""""))"),"jens985/440")</f>
        <v>jens985/440</v>
      </c>
      <c r="L371" s="19" t="b">
        <v>1</v>
      </c>
      <c r="M371" s="12">
        <f t="shared" si="1"/>
        <v>5</v>
      </c>
      <c r="N371" s="13"/>
      <c r="O371" s="13"/>
      <c r="P371" s="29"/>
    </row>
    <row r="372">
      <c r="A372" s="15" t="s">
        <v>542</v>
      </c>
      <c r="B372" s="16">
        <v>21.0</v>
      </c>
      <c r="C372" s="16">
        <v>1.0</v>
      </c>
      <c r="D372" s="17">
        <v>44.863199976808</v>
      </c>
      <c r="E372" s="17">
        <v>-93.336858722374</v>
      </c>
      <c r="F372" s="16" t="s">
        <v>16</v>
      </c>
      <c r="G372" s="16" t="s">
        <v>17</v>
      </c>
      <c r="H372" s="18" t="s">
        <v>543</v>
      </c>
      <c r="I372" s="19">
        <v>3409.0</v>
      </c>
      <c r="J372" s="20"/>
      <c r="K372" s="11" t="str">
        <f>IFERROR(__xludf.DUMMYFUNCTION("IF(AND(REGEXMATCH($H372,""50( ?['fF]([oO]{2})?[tT]?)?( ?[eE][rR]{2}[oO][rR])"")=FALSE,$H372&lt;&gt;"""",$I372&lt;&gt;""""),HYPERLINK(""https://www.munzee.com/m/""&amp;$H372&amp;""/""&amp;$I372&amp;""/map/?lat=""&amp;$D372&amp;""&amp;lon=""&amp;$E372&amp;""&amp;type=""&amp;$G372&amp;""&amp;name=""&amp;SUBSTITUTE($A372,""#"&amp;""",""%23""),$H372&amp;""/""&amp;$I372),IF($H372&lt;&gt;"""",IF(REGEXMATCH($H372,""50( ?['fF]([oO]{2})?[tT]?)?( ?[eE][rR]{2}[oO][rR])""),HYPERLINK(""https://www.munzee.com/map/?sandbox=1&amp;lat=""&amp;$D372&amp;""&amp;lon=""&amp;$E372&amp;""&amp;name=""&amp;SUBSTITUTE($A372,""#"",""%23""),""SANDBOX"""&amp;"),HYPERLINK(""https://www.munzee.com/m/""&amp;$H372&amp;""/deploys/0/type/""&amp;IFNA(VLOOKUP($G372,IMPORTRANGE(""https://docs.google.com/spreadsheets/d/1DliIGyDywdzxhd4svtjaewR0p9Y5UBTMNMQ2PcXsqss"",""type data!E2:F""),2,FALSE),$G372)&amp;""/"",$H372)),""""))"),"ivwarrior/3409")</f>
        <v>ivwarrior/3409</v>
      </c>
      <c r="L372" s="19" t="b">
        <v>1</v>
      </c>
      <c r="M372" s="12">
        <f t="shared" si="1"/>
        <v>5</v>
      </c>
      <c r="N372" s="13"/>
      <c r="O372" s="13"/>
      <c r="P372" s="29"/>
    </row>
    <row r="373">
      <c r="A373" s="15" t="s">
        <v>544</v>
      </c>
      <c r="B373" s="16">
        <v>21.0</v>
      </c>
      <c r="C373" s="16">
        <v>2.0</v>
      </c>
      <c r="D373" s="17">
        <v>44.863199976628</v>
      </c>
      <c r="E373" s="17">
        <v>-93.336655940414</v>
      </c>
      <c r="F373" s="16" t="s">
        <v>41</v>
      </c>
      <c r="G373" s="16" t="s">
        <v>17</v>
      </c>
      <c r="H373" s="18" t="s">
        <v>545</v>
      </c>
      <c r="I373" s="19">
        <v>4438.0</v>
      </c>
      <c r="J373" s="20"/>
      <c r="K373" s="11" t="str">
        <f>IFERROR(__xludf.DUMMYFUNCTION("IF(AND(REGEXMATCH($H373,""50( ?['fF]([oO]{2})?[tT]?)?( ?[eE][rR]{2}[oO][rR])"")=FALSE,$H373&lt;&gt;"""",$I373&lt;&gt;""""),HYPERLINK(""https://www.munzee.com/m/""&amp;$H373&amp;""/""&amp;$I373&amp;""/map/?lat=""&amp;$D373&amp;""&amp;lon=""&amp;$E373&amp;""&amp;type=""&amp;$G373&amp;""&amp;name=""&amp;SUBSTITUTE($A373,""#"&amp;""",""%23""),$H373&amp;""/""&amp;$I373),IF($H373&lt;&gt;"""",IF(REGEXMATCH($H373,""50( ?['fF]([oO]{2})?[tT]?)?( ?[eE][rR]{2}[oO][rR])""),HYPERLINK(""https://www.munzee.com/map/?sandbox=1&amp;lat=""&amp;$D373&amp;""&amp;lon=""&amp;$E373&amp;""&amp;name=""&amp;SUBSTITUTE($A373,""#"",""%23""),""SANDBOX"""&amp;"),HYPERLINK(""https://www.munzee.com/m/""&amp;$H373&amp;""/deploys/0/type/""&amp;IFNA(VLOOKUP($G373,IMPORTRANGE(""https://docs.google.com/spreadsheets/d/1DliIGyDywdzxhd4svtjaewR0p9Y5UBTMNMQ2PcXsqss"",""type data!E2:F""),2,FALSE),$G373)&amp;""/"",$H373)),""""))"),"CoalCracker7/4438")</f>
        <v>CoalCracker7/4438</v>
      </c>
      <c r="L373" s="19" t="b">
        <v>1</v>
      </c>
      <c r="M373" s="12">
        <f t="shared" si="1"/>
        <v>1</v>
      </c>
      <c r="N373" s="13"/>
      <c r="O373" s="13"/>
      <c r="P373" s="29"/>
    </row>
    <row r="374">
      <c r="A374" s="15" t="s">
        <v>546</v>
      </c>
      <c r="B374" s="16">
        <v>21.0</v>
      </c>
      <c r="C374" s="16">
        <v>3.0</v>
      </c>
      <c r="D374" s="17">
        <v>44.863199976449</v>
      </c>
      <c r="E374" s="17">
        <v>-93.336453158455</v>
      </c>
      <c r="F374" s="16" t="s">
        <v>41</v>
      </c>
      <c r="G374" s="16" t="s">
        <v>17</v>
      </c>
      <c r="H374" s="18" t="s">
        <v>547</v>
      </c>
      <c r="I374" s="19">
        <v>12.0</v>
      </c>
      <c r="J374" s="28"/>
      <c r="K374" s="11" t="str">
        <f>IFERROR(__xludf.DUMMYFUNCTION("IF(AND(REGEXMATCH($H374,""50( ?['fF]([oO]{2})?[tT]?)?( ?[eE][rR]{2}[oO][rR])"")=FALSE,$H374&lt;&gt;"""",$I374&lt;&gt;""""),HYPERLINK(""https://www.munzee.com/m/""&amp;$H374&amp;""/""&amp;$I374&amp;""/map/?lat=""&amp;$D374&amp;""&amp;lon=""&amp;$E374&amp;""&amp;type=""&amp;$G374&amp;""&amp;name=""&amp;SUBSTITUTE($A374,""#"&amp;""",""%23""),$H374&amp;""/""&amp;$I374),IF($H374&lt;&gt;"""",IF(REGEXMATCH($H374,""50( ?['fF]([oO]{2})?[tT]?)?( ?[eE][rR]{2}[oO][rR])""),HYPERLINK(""https://www.munzee.com/map/?sandbox=1&amp;lat=""&amp;$D374&amp;""&amp;lon=""&amp;$E374&amp;""&amp;name=""&amp;SUBSTITUTE($A374,""#"",""%23""),""SANDBOX"""&amp;"),HYPERLINK(""https://www.munzee.com/m/""&amp;$H374&amp;""/deploys/0/type/""&amp;IFNA(VLOOKUP($G374,IMPORTRANGE(""https://docs.google.com/spreadsheets/d/1DliIGyDywdzxhd4svtjaewR0p9Y5UBTMNMQ2PcXsqss"",""type data!E2:F""),2,FALSE),$G374)&amp;""/"",$H374)),""""))"),"GrimyMitts/12")</f>
        <v>GrimyMitts/12</v>
      </c>
      <c r="L374" s="19" t="b">
        <v>1</v>
      </c>
      <c r="M374" s="12">
        <f t="shared" si="1"/>
        <v>1</v>
      </c>
      <c r="N374" s="13"/>
      <c r="O374" s="13"/>
      <c r="P374" s="29"/>
    </row>
    <row r="375">
      <c r="A375" s="15" t="s">
        <v>548</v>
      </c>
      <c r="B375" s="16">
        <v>21.0</v>
      </c>
      <c r="C375" s="16">
        <v>4.0</v>
      </c>
      <c r="D375" s="17">
        <v>44.863199976269</v>
      </c>
      <c r="E375" s="17">
        <v>-93.336250376496</v>
      </c>
      <c r="F375" s="16" t="s">
        <v>41</v>
      </c>
      <c r="G375" s="16" t="s">
        <v>17</v>
      </c>
      <c r="H375" s="18" t="s">
        <v>486</v>
      </c>
      <c r="I375" s="19">
        <v>2579.0</v>
      </c>
      <c r="J375" s="21"/>
      <c r="K375" s="11" t="str">
        <f>IFERROR(__xludf.DUMMYFUNCTION("IF(AND(REGEXMATCH($H375,""50( ?['fF]([oO]{2})?[tT]?)?( ?[eE][rR]{2}[oO][rR])"")=FALSE,$H375&lt;&gt;"""",$I375&lt;&gt;""""),HYPERLINK(""https://www.munzee.com/m/""&amp;$H375&amp;""/""&amp;$I375&amp;""/map/?lat=""&amp;$D375&amp;""&amp;lon=""&amp;$E375&amp;""&amp;type=""&amp;$G375&amp;""&amp;name=""&amp;SUBSTITUTE($A375,""#"&amp;""",""%23""),$H375&amp;""/""&amp;$I375),IF($H375&lt;&gt;"""",IF(REGEXMATCH($H375,""50( ?['fF]([oO]{2})?[tT]?)?( ?[eE][rR]{2}[oO][rR])""),HYPERLINK(""https://www.munzee.com/map/?sandbox=1&amp;lat=""&amp;$D375&amp;""&amp;lon=""&amp;$E375&amp;""&amp;name=""&amp;SUBSTITUTE($A375,""#"",""%23""),""SANDBOX"""&amp;"),HYPERLINK(""https://www.munzee.com/m/""&amp;$H375&amp;""/deploys/0/type/""&amp;IFNA(VLOOKUP($G375,IMPORTRANGE(""https://docs.google.com/spreadsheets/d/1DliIGyDywdzxhd4svtjaewR0p9Y5UBTMNMQ2PcXsqss"",""type data!E2:F""),2,FALSE),$G375)&amp;""/"",$H375)),""""))"),"MeLa/2579")</f>
        <v>MeLa/2579</v>
      </c>
      <c r="L375" s="19" t="b">
        <v>1</v>
      </c>
      <c r="M375" s="12">
        <f t="shared" si="1"/>
        <v>3</v>
      </c>
      <c r="N375" s="13"/>
      <c r="O375" s="13"/>
      <c r="P375" s="29"/>
    </row>
    <row r="376">
      <c r="A376" s="15" t="s">
        <v>549</v>
      </c>
      <c r="B376" s="16">
        <v>21.0</v>
      </c>
      <c r="C376" s="16">
        <v>5.0</v>
      </c>
      <c r="D376" s="17">
        <v>44.86319997609</v>
      </c>
      <c r="E376" s="17">
        <v>-93.336047594536</v>
      </c>
      <c r="F376" s="16" t="s">
        <v>41</v>
      </c>
      <c r="G376" s="16" t="s">
        <v>17</v>
      </c>
      <c r="H376" s="18" t="s">
        <v>550</v>
      </c>
      <c r="I376" s="19">
        <v>778.0</v>
      </c>
      <c r="J376" s="21"/>
      <c r="K376" s="11" t="str">
        <f>IFERROR(__xludf.DUMMYFUNCTION("IF(AND(REGEXMATCH($H376,""50( ?['fF]([oO]{2})?[tT]?)?( ?[eE][rR]{2}[oO][rR])"")=FALSE,$H376&lt;&gt;"""",$I376&lt;&gt;""""),HYPERLINK(""https://www.munzee.com/m/""&amp;$H376&amp;""/""&amp;$I376&amp;""/map/?lat=""&amp;$D376&amp;""&amp;lon=""&amp;$E376&amp;""&amp;type=""&amp;$G376&amp;""&amp;name=""&amp;SUBSTITUTE($A376,""#"&amp;""",""%23""),$H376&amp;""/""&amp;$I376),IF($H376&lt;&gt;"""",IF(REGEXMATCH($H376,""50( ?['fF]([oO]{2})?[tT]?)?( ?[eE][rR]{2}[oO][rR])""),HYPERLINK(""https://www.munzee.com/map/?sandbox=1&amp;lat=""&amp;$D376&amp;""&amp;lon=""&amp;$E376&amp;""&amp;name=""&amp;SUBSTITUTE($A376,""#"",""%23""),""SANDBOX"""&amp;"),HYPERLINK(""https://www.munzee.com/m/""&amp;$H376&amp;""/deploys/0/type/""&amp;IFNA(VLOOKUP($G376,IMPORTRANGE(""https://docs.google.com/spreadsheets/d/1DliIGyDywdzxhd4svtjaewR0p9Y5UBTMNMQ2PcXsqss"",""type data!E2:F""),2,FALSE),$G376)&amp;""/"",$H376)),""""))"),"volki2000/778")</f>
        <v>volki2000/778</v>
      </c>
      <c r="L376" s="19" t="b">
        <v>1</v>
      </c>
      <c r="M376" s="12">
        <f t="shared" si="1"/>
        <v>1</v>
      </c>
      <c r="N376" s="13"/>
      <c r="O376" s="13"/>
      <c r="P376" s="29"/>
    </row>
    <row r="377">
      <c r="A377" s="15" t="s">
        <v>551</v>
      </c>
      <c r="B377" s="16">
        <v>21.0</v>
      </c>
      <c r="C377" s="16">
        <v>6.0</v>
      </c>
      <c r="D377" s="17">
        <v>44.863199975911</v>
      </c>
      <c r="E377" s="17">
        <v>-93.335844812577</v>
      </c>
      <c r="F377" s="16" t="s">
        <v>510</v>
      </c>
      <c r="G377" s="16" t="s">
        <v>17</v>
      </c>
      <c r="H377" s="18" t="s">
        <v>552</v>
      </c>
      <c r="I377" s="19">
        <v>1017.0</v>
      </c>
      <c r="J377" s="20"/>
      <c r="K377" s="11" t="str">
        <f>IFERROR(__xludf.DUMMYFUNCTION("IF(AND(REGEXMATCH($H377,""50( ?['fF]([oO]{2})?[tT]?)?( ?[eE][rR]{2}[oO][rR])"")=FALSE,$H377&lt;&gt;"""",$I377&lt;&gt;""""),HYPERLINK(""https://www.munzee.com/m/""&amp;$H377&amp;""/""&amp;$I377&amp;""/map/?lat=""&amp;$D377&amp;""&amp;lon=""&amp;$E377&amp;""&amp;type=""&amp;$G377&amp;""&amp;name=""&amp;SUBSTITUTE($A377,""#"&amp;""",""%23""),$H377&amp;""/""&amp;$I377),IF($H377&lt;&gt;"""",IF(REGEXMATCH($H377,""50( ?['fF]([oO]{2})?[tT]?)?( ?[eE][rR]{2}[oO][rR])""),HYPERLINK(""https://www.munzee.com/map/?sandbox=1&amp;lat=""&amp;$D377&amp;""&amp;lon=""&amp;$E377&amp;""&amp;name=""&amp;SUBSTITUTE($A377,""#"",""%23""),""SANDBOX"""&amp;"),HYPERLINK(""https://www.munzee.com/m/""&amp;$H377&amp;""/deploys/0/type/""&amp;IFNA(VLOOKUP($G377,IMPORTRANGE(""https://docs.google.com/spreadsheets/d/1DliIGyDywdzxhd4svtjaewR0p9Y5UBTMNMQ2PcXsqss"",""type data!E2:F""),2,FALSE),$G377)&amp;""/"",$H377)),""""))"),"NoahCache/1017")</f>
        <v>NoahCache/1017</v>
      </c>
      <c r="L377" s="19" t="b">
        <v>1</v>
      </c>
      <c r="M377" s="12">
        <f t="shared" si="1"/>
        <v>1</v>
      </c>
      <c r="N377" s="13"/>
      <c r="O377" s="13"/>
      <c r="P377" s="29"/>
    </row>
    <row r="378">
      <c r="A378" s="15" t="s">
        <v>553</v>
      </c>
      <c r="B378" s="16">
        <v>21.0</v>
      </c>
      <c r="C378" s="16">
        <v>7.0</v>
      </c>
      <c r="D378" s="17">
        <v>44.863199975731</v>
      </c>
      <c r="E378" s="17">
        <v>-93.335642030618</v>
      </c>
      <c r="F378" s="16" t="s">
        <v>510</v>
      </c>
      <c r="G378" s="16" t="s">
        <v>17</v>
      </c>
      <c r="H378" s="18" t="s">
        <v>554</v>
      </c>
      <c r="I378" s="19">
        <v>1607.0</v>
      </c>
      <c r="J378" s="20"/>
      <c r="K378" s="11" t="str">
        <f>IFERROR(__xludf.DUMMYFUNCTION("IF(AND(REGEXMATCH($H378,""50( ?['fF]([oO]{2})?[tT]?)?( ?[eE][rR]{2}[oO][rR])"")=FALSE,$H378&lt;&gt;"""",$I378&lt;&gt;""""),HYPERLINK(""https://www.munzee.com/m/""&amp;$H378&amp;""/""&amp;$I378&amp;""/map/?lat=""&amp;$D378&amp;""&amp;lon=""&amp;$E378&amp;""&amp;type=""&amp;$G378&amp;""&amp;name=""&amp;SUBSTITUTE($A378,""#"&amp;""",""%23""),$H378&amp;""/""&amp;$I378),IF($H378&lt;&gt;"""",IF(REGEXMATCH($H378,""50( ?['fF]([oO]{2})?[tT]?)?( ?[eE][rR]{2}[oO][rR])""),HYPERLINK(""https://www.munzee.com/map/?sandbox=1&amp;lat=""&amp;$D378&amp;""&amp;lon=""&amp;$E378&amp;""&amp;name=""&amp;SUBSTITUTE($A378,""#"",""%23""),""SANDBOX"""&amp;"),HYPERLINK(""https://www.munzee.com/m/""&amp;$H378&amp;""/deploys/0/type/""&amp;IFNA(VLOOKUP($G378,IMPORTRANGE(""https://docs.google.com/spreadsheets/d/1DliIGyDywdzxhd4svtjaewR0p9Y5UBTMNMQ2PcXsqss"",""type data!E2:F""),2,FALSE),$G378)&amp;""/"",$H378)),""""))"),"geckofreund/1607")</f>
        <v>geckofreund/1607</v>
      </c>
      <c r="L378" s="19" t="b">
        <v>1</v>
      </c>
      <c r="M378" s="12">
        <f t="shared" si="1"/>
        <v>1</v>
      </c>
      <c r="N378" s="13"/>
      <c r="O378" s="13"/>
      <c r="P378" s="29"/>
    </row>
    <row r="379">
      <c r="A379" s="15" t="s">
        <v>555</v>
      </c>
      <c r="B379" s="16">
        <v>21.0</v>
      </c>
      <c r="C379" s="16">
        <v>8.0</v>
      </c>
      <c r="D379" s="17">
        <v>44.863199975552</v>
      </c>
      <c r="E379" s="17">
        <v>-93.335439248658</v>
      </c>
      <c r="F379" s="16" t="s">
        <v>41</v>
      </c>
      <c r="G379" s="16" t="s">
        <v>17</v>
      </c>
      <c r="H379" s="18" t="s">
        <v>109</v>
      </c>
      <c r="I379" s="19">
        <v>16276.0</v>
      </c>
      <c r="J379" s="28"/>
      <c r="K379" s="11" t="str">
        <f>IFERROR(__xludf.DUMMYFUNCTION("IF(AND(REGEXMATCH($H379,""50( ?['fF]([oO]{2})?[tT]?)?( ?[eE][rR]{2}[oO][rR])"")=FALSE,$H379&lt;&gt;"""",$I379&lt;&gt;""""),HYPERLINK(""https://www.munzee.com/m/""&amp;$H379&amp;""/""&amp;$I379&amp;""/map/?lat=""&amp;$D379&amp;""&amp;lon=""&amp;$E379&amp;""&amp;type=""&amp;$G379&amp;""&amp;name=""&amp;SUBSTITUTE($A379,""#"&amp;""",""%23""),$H379&amp;""/""&amp;$I379),IF($H379&lt;&gt;"""",IF(REGEXMATCH($H379,""50( ?['fF]([oO]{2})?[tT]?)?( ?[eE][rR]{2}[oO][rR])""),HYPERLINK(""https://www.munzee.com/map/?sandbox=1&amp;lat=""&amp;$D379&amp;""&amp;lon=""&amp;$E379&amp;""&amp;name=""&amp;SUBSTITUTE($A379,""#"",""%23""),""SANDBOX"""&amp;"),HYPERLINK(""https://www.munzee.com/m/""&amp;$H379&amp;""/deploys/0/type/""&amp;IFNA(VLOOKUP($G379,IMPORTRANGE(""https://docs.google.com/spreadsheets/d/1DliIGyDywdzxhd4svtjaewR0p9Y5UBTMNMQ2PcXsqss"",""type data!E2:F""),2,FALSE),$G379)&amp;""/"",$H379)),""""))"),"Whelen/16276")</f>
        <v>Whelen/16276</v>
      </c>
      <c r="L379" s="19" t="b">
        <v>1</v>
      </c>
      <c r="M379" s="12">
        <f t="shared" si="1"/>
        <v>22</v>
      </c>
      <c r="N379" s="13"/>
      <c r="O379" s="13"/>
      <c r="P379" s="29"/>
    </row>
    <row r="380">
      <c r="A380" s="15" t="s">
        <v>556</v>
      </c>
      <c r="B380" s="16">
        <v>21.0</v>
      </c>
      <c r="C380" s="16">
        <v>9.0</v>
      </c>
      <c r="D380" s="17">
        <v>44.863199975372</v>
      </c>
      <c r="E380" s="17">
        <v>-93.335236466699</v>
      </c>
      <c r="F380" s="16" t="s">
        <v>41</v>
      </c>
      <c r="G380" s="16" t="s">
        <v>17</v>
      </c>
      <c r="H380" s="18" t="s">
        <v>95</v>
      </c>
      <c r="I380" s="19">
        <v>1605.0</v>
      </c>
      <c r="J380" s="21"/>
      <c r="K380" s="11" t="str">
        <f>IFERROR(__xludf.DUMMYFUNCTION("IF(AND(REGEXMATCH($H380,""50( ?['fF]([oO]{2})?[tT]?)?( ?[eE][rR]{2}[oO][rR])"")=FALSE,$H380&lt;&gt;"""",$I380&lt;&gt;""""),HYPERLINK(""https://www.munzee.com/m/""&amp;$H380&amp;""/""&amp;$I380&amp;""/map/?lat=""&amp;$D380&amp;""&amp;lon=""&amp;$E380&amp;""&amp;type=""&amp;$G380&amp;""&amp;name=""&amp;SUBSTITUTE($A380,""#"&amp;""",""%23""),$H380&amp;""/""&amp;$I380),IF($H380&lt;&gt;"""",IF(REGEXMATCH($H380,""50( ?['fF]([oO]{2})?[tT]?)?( ?[eE][rR]{2}[oO][rR])""),HYPERLINK(""https://www.munzee.com/map/?sandbox=1&amp;lat=""&amp;$D380&amp;""&amp;lon=""&amp;$E380&amp;""&amp;name=""&amp;SUBSTITUTE($A380,""#"",""%23""),""SANDBOX"""&amp;"),HYPERLINK(""https://www.munzee.com/m/""&amp;$H380&amp;""/deploys/0/type/""&amp;IFNA(VLOOKUP($G380,IMPORTRANGE(""https://docs.google.com/spreadsheets/d/1DliIGyDywdzxhd4svtjaewR0p9Y5UBTMNMQ2PcXsqss"",""type data!E2:F""),2,FALSE),$G380)&amp;""/"",$H380)),""""))"),"munzeepa/1605")</f>
        <v>munzeepa/1605</v>
      </c>
      <c r="L380" s="19" t="b">
        <v>1</v>
      </c>
      <c r="M380" s="12">
        <f t="shared" si="1"/>
        <v>20</v>
      </c>
      <c r="N380" s="13"/>
      <c r="O380" s="13"/>
      <c r="P380" s="29"/>
    </row>
    <row r="381">
      <c r="A381" s="15" t="s">
        <v>557</v>
      </c>
      <c r="B381" s="16">
        <v>21.0</v>
      </c>
      <c r="C381" s="16">
        <v>10.0</v>
      </c>
      <c r="D381" s="17">
        <v>44.863199975193</v>
      </c>
      <c r="E381" s="17">
        <v>-93.33503368474</v>
      </c>
      <c r="F381" s="16" t="s">
        <v>41</v>
      </c>
      <c r="G381" s="16" t="s">
        <v>17</v>
      </c>
      <c r="H381" s="18" t="s">
        <v>99</v>
      </c>
      <c r="I381" s="19">
        <v>1441.0</v>
      </c>
      <c r="J381" s="28"/>
      <c r="K381" s="11" t="str">
        <f>IFERROR(__xludf.DUMMYFUNCTION("IF(AND(REGEXMATCH($H381,""50( ?['fF]([oO]{2})?[tT]?)?( ?[eE][rR]{2}[oO][rR])"")=FALSE,$H381&lt;&gt;"""",$I381&lt;&gt;""""),HYPERLINK(""https://www.munzee.com/m/""&amp;$H381&amp;""/""&amp;$I381&amp;""/map/?lat=""&amp;$D381&amp;""&amp;lon=""&amp;$E381&amp;""&amp;type=""&amp;$G381&amp;""&amp;name=""&amp;SUBSTITUTE($A381,""#"&amp;""",""%23""),$H381&amp;""/""&amp;$I381),IF($H381&lt;&gt;"""",IF(REGEXMATCH($H381,""50( ?['fF]([oO]{2})?[tT]?)?( ?[eE][rR]{2}[oO][rR])""),HYPERLINK(""https://www.munzee.com/map/?sandbox=1&amp;lat=""&amp;$D381&amp;""&amp;lon=""&amp;$E381&amp;""&amp;name=""&amp;SUBSTITUTE($A381,""#"",""%23""),""SANDBOX"""&amp;"),HYPERLINK(""https://www.munzee.com/m/""&amp;$H381&amp;""/deploys/0/type/""&amp;IFNA(VLOOKUP($G381,IMPORTRANGE(""https://docs.google.com/spreadsheets/d/1DliIGyDywdzxhd4svtjaewR0p9Y5UBTMNMQ2PcXsqss"",""type data!E2:F""),2,FALSE),$G381)&amp;""/"",$H381)),""""))"),"jsamundson/1441")</f>
        <v>jsamundson/1441</v>
      </c>
      <c r="L381" s="19" t="b">
        <v>1</v>
      </c>
      <c r="M381" s="12">
        <f t="shared" si="1"/>
        <v>20</v>
      </c>
      <c r="N381" s="13"/>
      <c r="O381" s="13"/>
      <c r="P381" s="29"/>
    </row>
    <row r="382">
      <c r="A382" s="15" t="s">
        <v>558</v>
      </c>
      <c r="B382" s="16">
        <v>21.0</v>
      </c>
      <c r="C382" s="16">
        <v>11.0</v>
      </c>
      <c r="D382" s="17">
        <v>44.863199975013</v>
      </c>
      <c r="E382" s="17">
        <v>-93.33483090278</v>
      </c>
      <c r="F382" s="16" t="s">
        <v>41</v>
      </c>
      <c r="G382" s="16" t="s">
        <v>17</v>
      </c>
      <c r="H382" s="18" t="s">
        <v>109</v>
      </c>
      <c r="I382" s="19">
        <v>16277.0</v>
      </c>
      <c r="J382" s="21"/>
      <c r="K382" s="11" t="str">
        <f>IFERROR(__xludf.DUMMYFUNCTION("IF(AND(REGEXMATCH($H382,""50( ?['fF]([oO]{2})?[tT]?)?( ?[eE][rR]{2}[oO][rR])"")=FALSE,$H382&lt;&gt;"""",$I382&lt;&gt;""""),HYPERLINK(""https://www.munzee.com/m/""&amp;$H382&amp;""/""&amp;$I382&amp;""/map/?lat=""&amp;$D382&amp;""&amp;lon=""&amp;$E382&amp;""&amp;type=""&amp;$G382&amp;""&amp;name=""&amp;SUBSTITUTE($A382,""#"&amp;""",""%23""),$H382&amp;""/""&amp;$I382),IF($H382&lt;&gt;"""",IF(REGEXMATCH($H382,""50( ?['fF]([oO]{2})?[tT]?)?( ?[eE][rR]{2}[oO][rR])""),HYPERLINK(""https://www.munzee.com/map/?sandbox=1&amp;lat=""&amp;$D382&amp;""&amp;lon=""&amp;$E382&amp;""&amp;name=""&amp;SUBSTITUTE($A382,""#"",""%23""),""SANDBOX"""&amp;"),HYPERLINK(""https://www.munzee.com/m/""&amp;$H382&amp;""/deploys/0/type/""&amp;IFNA(VLOOKUP($G382,IMPORTRANGE(""https://docs.google.com/spreadsheets/d/1DliIGyDywdzxhd4svtjaewR0p9Y5UBTMNMQ2PcXsqss"",""type data!E2:F""),2,FALSE),$G382)&amp;""/"",$H382)),""""))"),"Whelen/16277")</f>
        <v>Whelen/16277</v>
      </c>
      <c r="L382" s="19" t="b">
        <v>1</v>
      </c>
      <c r="M382" s="12">
        <f t="shared" si="1"/>
        <v>22</v>
      </c>
      <c r="N382" s="13"/>
      <c r="O382" s="13"/>
      <c r="P382" s="29"/>
    </row>
    <row r="383">
      <c r="A383" s="15" t="s">
        <v>559</v>
      </c>
      <c r="B383" s="16">
        <v>21.0</v>
      </c>
      <c r="C383" s="16">
        <v>12.0</v>
      </c>
      <c r="D383" s="17">
        <v>44.863199974834</v>
      </c>
      <c r="E383" s="17">
        <v>-93.334628120821</v>
      </c>
      <c r="F383" s="16" t="s">
        <v>41</v>
      </c>
      <c r="G383" s="16" t="s">
        <v>17</v>
      </c>
      <c r="H383" s="33" t="s">
        <v>194</v>
      </c>
      <c r="I383" s="19">
        <v>8353.0</v>
      </c>
      <c r="J383" s="20"/>
      <c r="K383" s="11" t="str">
        <f>IFERROR(__xludf.DUMMYFUNCTION("IF(AND(REGEXMATCH($H383,""50( ?['fF]([oO]{2})?[tT]?)?( ?[eE][rR]{2}[oO][rR])"")=FALSE,$H383&lt;&gt;"""",$I383&lt;&gt;""""),HYPERLINK(""https://www.munzee.com/m/""&amp;$H383&amp;""/""&amp;$I383&amp;""/map/?lat=""&amp;$D383&amp;""&amp;lon=""&amp;$E383&amp;""&amp;type=""&amp;$G383&amp;""&amp;name=""&amp;SUBSTITUTE($A383,""#"&amp;""",""%23""),$H383&amp;""/""&amp;$I383),IF($H383&lt;&gt;"""",IF(REGEXMATCH($H383,""50( ?['fF]([oO]{2})?[tT]?)?( ?[eE][rR]{2}[oO][rR])""),HYPERLINK(""https://www.munzee.com/map/?sandbox=1&amp;lat=""&amp;$D383&amp;""&amp;lon=""&amp;$E383&amp;""&amp;name=""&amp;SUBSTITUTE($A383,""#"",""%23""),""SANDBOX"""&amp;"),HYPERLINK(""https://www.munzee.com/m/""&amp;$H383&amp;""/deploys/0/type/""&amp;IFNA(VLOOKUP($G383,IMPORTRANGE(""https://docs.google.com/spreadsheets/d/1DliIGyDywdzxhd4svtjaewR0p9Y5UBTMNMQ2PcXsqss"",""type data!E2:F""),2,FALSE),$G383)&amp;""/"",$H383)),""""))"),"warped6/8353")</f>
        <v>warped6/8353</v>
      </c>
      <c r="L383" s="19" t="b">
        <v>1</v>
      </c>
      <c r="M383" s="12">
        <f t="shared" si="1"/>
        <v>24</v>
      </c>
      <c r="N383" s="13"/>
      <c r="O383" s="13"/>
      <c r="P383" s="29"/>
    </row>
    <row r="384">
      <c r="A384" s="15" t="s">
        <v>560</v>
      </c>
      <c r="B384" s="16">
        <v>21.0</v>
      </c>
      <c r="C384" s="16">
        <v>13.0</v>
      </c>
      <c r="D384" s="17">
        <v>44.863199974655</v>
      </c>
      <c r="E384" s="17">
        <v>-93.334425338862</v>
      </c>
      <c r="F384" s="16" t="s">
        <v>41</v>
      </c>
      <c r="G384" s="16" t="s">
        <v>17</v>
      </c>
      <c r="H384" s="18" t="s">
        <v>190</v>
      </c>
      <c r="I384" s="19">
        <v>3473.0</v>
      </c>
      <c r="J384" s="21"/>
      <c r="K384" s="11" t="str">
        <f>IFERROR(__xludf.DUMMYFUNCTION("IF(AND(REGEXMATCH($H384,""50( ?['fF]([oO]{2})?[tT]?)?( ?[eE][rR]{2}[oO][rR])"")=FALSE,$H384&lt;&gt;"""",$I384&lt;&gt;""""),HYPERLINK(""https://www.munzee.com/m/""&amp;$H384&amp;""/""&amp;$I384&amp;""/map/?lat=""&amp;$D384&amp;""&amp;lon=""&amp;$E384&amp;""&amp;type=""&amp;$G384&amp;""&amp;name=""&amp;SUBSTITUTE($A384,""#"&amp;""",""%23""),$H384&amp;""/""&amp;$I384),IF($H384&lt;&gt;"""",IF(REGEXMATCH($H384,""50( ?['fF]([oO]{2})?[tT]?)?( ?[eE][rR]{2}[oO][rR])""),HYPERLINK(""https://www.munzee.com/map/?sandbox=1&amp;lat=""&amp;$D384&amp;""&amp;lon=""&amp;$E384&amp;""&amp;name=""&amp;SUBSTITUTE($A384,""#"",""%23""),""SANDBOX"""&amp;"),HYPERLINK(""https://www.munzee.com/m/""&amp;$H384&amp;""/deploys/0/type/""&amp;IFNA(VLOOKUP($G384,IMPORTRANGE(""https://docs.google.com/spreadsheets/d/1DliIGyDywdzxhd4svtjaewR0p9Y5UBTMNMQ2PcXsqss"",""type data!E2:F""),2,FALSE),$G384)&amp;""/"",$H384)),""""))"),"stevenkim/3473")</f>
        <v>stevenkim/3473</v>
      </c>
      <c r="L384" s="19" t="b">
        <v>1</v>
      </c>
      <c r="M384" s="12">
        <f t="shared" si="1"/>
        <v>3</v>
      </c>
      <c r="N384" s="13"/>
      <c r="O384" s="13"/>
      <c r="P384" s="29"/>
    </row>
    <row r="385">
      <c r="A385" s="15" t="s">
        <v>561</v>
      </c>
      <c r="B385" s="16">
        <v>21.0</v>
      </c>
      <c r="C385" s="16">
        <v>14.0</v>
      </c>
      <c r="D385" s="17">
        <v>44.863199974475</v>
      </c>
      <c r="E385" s="17">
        <v>-93.334222556902</v>
      </c>
      <c r="F385" s="16" t="s">
        <v>522</v>
      </c>
      <c r="G385" s="16" t="s">
        <v>17</v>
      </c>
      <c r="H385" s="18" t="s">
        <v>109</v>
      </c>
      <c r="I385" s="19">
        <v>16281.0</v>
      </c>
      <c r="J385" s="21"/>
      <c r="K385" s="11" t="str">
        <f>IFERROR(__xludf.DUMMYFUNCTION("IF(AND(REGEXMATCH($H385,""50( ?['fF]([oO]{2})?[tT]?)?( ?[eE][rR]{2}[oO][rR])"")=FALSE,$H385&lt;&gt;"""",$I385&lt;&gt;""""),HYPERLINK(""https://www.munzee.com/m/""&amp;$H385&amp;""/""&amp;$I385&amp;""/map/?lat=""&amp;$D385&amp;""&amp;lon=""&amp;$E385&amp;""&amp;type=""&amp;$G385&amp;""&amp;name=""&amp;SUBSTITUTE($A385,""#"&amp;""",""%23""),$H385&amp;""/""&amp;$I385),IF($H385&lt;&gt;"""",IF(REGEXMATCH($H385,""50( ?['fF]([oO]{2})?[tT]?)?( ?[eE][rR]{2}[oO][rR])""),HYPERLINK(""https://www.munzee.com/map/?sandbox=1&amp;lat=""&amp;$D385&amp;""&amp;lon=""&amp;$E385&amp;""&amp;name=""&amp;SUBSTITUTE($A385,""#"",""%23""),""SANDBOX"""&amp;"),HYPERLINK(""https://www.munzee.com/m/""&amp;$H385&amp;""/deploys/0/type/""&amp;IFNA(VLOOKUP($G385,IMPORTRANGE(""https://docs.google.com/spreadsheets/d/1DliIGyDywdzxhd4svtjaewR0p9Y5UBTMNMQ2PcXsqss"",""type data!E2:F""),2,FALSE),$G385)&amp;""/"",$H385)),""""))"),"Whelen/16281")</f>
        <v>Whelen/16281</v>
      </c>
      <c r="L385" s="19" t="b">
        <v>1</v>
      </c>
      <c r="M385" s="12">
        <f t="shared" si="1"/>
        <v>22</v>
      </c>
      <c r="N385" s="13"/>
      <c r="O385" s="13"/>
      <c r="P385" s="29"/>
    </row>
    <row r="386">
      <c r="A386" s="15" t="s">
        <v>562</v>
      </c>
      <c r="B386" s="16">
        <v>21.0</v>
      </c>
      <c r="C386" s="16">
        <v>15.0</v>
      </c>
      <c r="D386" s="17">
        <v>44.863199974296</v>
      </c>
      <c r="E386" s="17">
        <v>-93.334019774943</v>
      </c>
      <c r="F386" s="16" t="s">
        <v>522</v>
      </c>
      <c r="G386" s="16" t="s">
        <v>410</v>
      </c>
      <c r="H386" s="33" t="s">
        <v>194</v>
      </c>
      <c r="I386" s="19">
        <v>8619.0</v>
      </c>
      <c r="J386" s="20"/>
      <c r="K386" s="11" t="str">
        <f>IFERROR(__xludf.DUMMYFUNCTION("IF(AND(REGEXMATCH($H386,""50( ?['fF]([oO]{2})?[tT]?)?( ?[eE][rR]{2}[oO][rR])"")=FALSE,$H386&lt;&gt;"""",$I386&lt;&gt;""""),HYPERLINK(""https://www.munzee.com/m/""&amp;$H386&amp;""/""&amp;$I386&amp;""/map/?lat=""&amp;$D386&amp;""&amp;lon=""&amp;$E386&amp;""&amp;type=""&amp;$G386&amp;""&amp;name=""&amp;SUBSTITUTE($A386,""#"&amp;""",""%23""),$H386&amp;""/""&amp;$I386),IF($H386&lt;&gt;"""",IF(REGEXMATCH($H386,""50( ?['fF]([oO]{2})?[tT]?)?( ?[eE][rR]{2}[oO][rR])""),HYPERLINK(""https://www.munzee.com/map/?sandbox=1&amp;lat=""&amp;$D386&amp;""&amp;lon=""&amp;$E386&amp;""&amp;name=""&amp;SUBSTITUTE($A386,""#"",""%23""),""SANDBOX"""&amp;"),HYPERLINK(""https://www.munzee.com/m/""&amp;$H386&amp;""/deploys/0/type/""&amp;IFNA(VLOOKUP($G386,IMPORTRANGE(""https://docs.google.com/spreadsheets/d/1DliIGyDywdzxhd4svtjaewR0p9Y5UBTMNMQ2PcXsqss"",""type data!E2:F""),2,FALSE),$G386)&amp;""/"",$H386)),""""))"),"warped6/8619")</f>
        <v>warped6/8619</v>
      </c>
      <c r="L386" s="19" t="b">
        <v>1</v>
      </c>
      <c r="M386" s="12">
        <f t="shared" si="1"/>
        <v>24</v>
      </c>
      <c r="N386" s="13"/>
      <c r="O386" s="13"/>
      <c r="P386" s="29"/>
    </row>
    <row r="387">
      <c r="A387" s="15" t="s">
        <v>563</v>
      </c>
      <c r="B387" s="16">
        <v>21.0</v>
      </c>
      <c r="C387" s="16">
        <v>16.0</v>
      </c>
      <c r="D387" s="17">
        <v>44.863199974116</v>
      </c>
      <c r="E387" s="17">
        <v>-93.333816992984</v>
      </c>
      <c r="F387" s="16" t="s">
        <v>41</v>
      </c>
      <c r="G387" s="16" t="s">
        <v>410</v>
      </c>
      <c r="H387" s="18" t="s">
        <v>162</v>
      </c>
      <c r="I387" s="19">
        <v>2374.0</v>
      </c>
      <c r="J387" s="21"/>
      <c r="K387" s="11" t="str">
        <f>IFERROR(__xludf.DUMMYFUNCTION("IF(AND(REGEXMATCH($H387,""50( ?['fF]([oO]{2})?[tT]?)?( ?[eE][rR]{2}[oO][rR])"")=FALSE,$H387&lt;&gt;"""",$I387&lt;&gt;""""),HYPERLINK(""https://www.munzee.com/m/""&amp;$H387&amp;""/""&amp;$I387&amp;""/map/?lat=""&amp;$D387&amp;""&amp;lon=""&amp;$E387&amp;""&amp;type=""&amp;$G387&amp;""&amp;name=""&amp;SUBSTITUTE($A387,""#"&amp;""",""%23""),$H387&amp;""/""&amp;$I387),IF($H387&lt;&gt;"""",IF(REGEXMATCH($H387,""50( ?['fF]([oO]{2})?[tT]?)?( ?[eE][rR]{2}[oO][rR])""),HYPERLINK(""https://www.munzee.com/map/?sandbox=1&amp;lat=""&amp;$D387&amp;""&amp;lon=""&amp;$E387&amp;""&amp;name=""&amp;SUBSTITUTE($A387,""#"",""%23""),""SANDBOX"""&amp;"),HYPERLINK(""https://www.munzee.com/m/""&amp;$H387&amp;""/deploys/0/type/""&amp;IFNA(VLOOKUP($G387,IMPORTRANGE(""https://docs.google.com/spreadsheets/d/1DliIGyDywdzxhd4svtjaewR0p9Y5UBTMNMQ2PcXsqss"",""type data!E2:F""),2,FALSE),$G387)&amp;""/"",$H387)),""""))"),"CoffeeBender/2374")</f>
        <v>CoffeeBender/2374</v>
      </c>
      <c r="L387" s="19" t="b">
        <v>1</v>
      </c>
      <c r="M387" s="12">
        <f t="shared" si="1"/>
        <v>9</v>
      </c>
      <c r="N387" s="13"/>
      <c r="O387" s="13"/>
      <c r="P387" s="29"/>
    </row>
    <row r="388">
      <c r="A388" s="15" t="s">
        <v>564</v>
      </c>
      <c r="B388" s="16">
        <v>21.0</v>
      </c>
      <c r="C388" s="16">
        <v>17.0</v>
      </c>
      <c r="D388" s="17">
        <v>44.863199973937</v>
      </c>
      <c r="E388" s="17">
        <v>-93.333614211024</v>
      </c>
      <c r="F388" s="16" t="s">
        <v>41</v>
      </c>
      <c r="G388" s="16" t="s">
        <v>410</v>
      </c>
      <c r="H388" s="18" t="s">
        <v>109</v>
      </c>
      <c r="I388" s="19">
        <v>16283.0</v>
      </c>
      <c r="J388" s="21"/>
      <c r="K388" s="11" t="str">
        <f>IFERROR(__xludf.DUMMYFUNCTION("IF(AND(REGEXMATCH($H388,""50( ?['fF]([oO]{2})?[tT]?)?( ?[eE][rR]{2}[oO][rR])"")=FALSE,$H388&lt;&gt;"""",$I388&lt;&gt;""""),HYPERLINK(""https://www.munzee.com/m/""&amp;$H388&amp;""/""&amp;$I388&amp;""/map/?lat=""&amp;$D388&amp;""&amp;lon=""&amp;$E388&amp;""&amp;type=""&amp;$G388&amp;""&amp;name=""&amp;SUBSTITUTE($A388,""#"&amp;""",""%23""),$H388&amp;""/""&amp;$I388),IF($H388&lt;&gt;"""",IF(REGEXMATCH($H388,""50( ?['fF]([oO]{2})?[tT]?)?( ?[eE][rR]{2}[oO][rR])""),HYPERLINK(""https://www.munzee.com/map/?sandbox=1&amp;lat=""&amp;$D388&amp;""&amp;lon=""&amp;$E388&amp;""&amp;name=""&amp;SUBSTITUTE($A388,""#"",""%23""),""SANDBOX"""&amp;"),HYPERLINK(""https://www.munzee.com/m/""&amp;$H388&amp;""/deploys/0/type/""&amp;IFNA(VLOOKUP($G388,IMPORTRANGE(""https://docs.google.com/spreadsheets/d/1DliIGyDywdzxhd4svtjaewR0p9Y5UBTMNMQ2PcXsqss"",""type data!E2:F""),2,FALSE),$G388)&amp;""/"",$H388)),""""))"),"Whelen/16283")</f>
        <v>Whelen/16283</v>
      </c>
      <c r="L388" s="19" t="b">
        <v>1</v>
      </c>
      <c r="M388" s="12">
        <f t="shared" si="1"/>
        <v>22</v>
      </c>
      <c r="N388" s="13"/>
      <c r="O388" s="13"/>
      <c r="P388" s="29"/>
    </row>
    <row r="389">
      <c r="A389" s="15" t="s">
        <v>565</v>
      </c>
      <c r="B389" s="16">
        <v>21.0</v>
      </c>
      <c r="C389" s="16">
        <v>18.0</v>
      </c>
      <c r="D389" s="17">
        <v>44.863199973757</v>
      </c>
      <c r="E389" s="17">
        <v>-93.333411429065</v>
      </c>
      <c r="F389" s="16" t="s">
        <v>41</v>
      </c>
      <c r="G389" s="16" t="s">
        <v>410</v>
      </c>
      <c r="H389" s="33" t="s">
        <v>194</v>
      </c>
      <c r="I389" s="19">
        <v>8358.0</v>
      </c>
      <c r="J389" s="27"/>
      <c r="K389" s="11" t="str">
        <f>IFERROR(__xludf.DUMMYFUNCTION("IF(AND(REGEXMATCH($H389,""50( ?['fF]([oO]{2})?[tT]?)?( ?[eE][rR]{2}[oO][rR])"")=FALSE,$H389&lt;&gt;"""",$I389&lt;&gt;""""),HYPERLINK(""https://www.munzee.com/m/""&amp;$H389&amp;""/""&amp;$I389&amp;""/map/?lat=""&amp;$D389&amp;""&amp;lon=""&amp;$E389&amp;""&amp;type=""&amp;$G389&amp;""&amp;name=""&amp;SUBSTITUTE($A389,""#"&amp;""",""%23""),$H389&amp;""/""&amp;$I389),IF($H389&lt;&gt;"""",IF(REGEXMATCH($H389,""50( ?['fF]([oO]{2})?[tT]?)?( ?[eE][rR]{2}[oO][rR])""),HYPERLINK(""https://www.munzee.com/map/?sandbox=1&amp;lat=""&amp;$D389&amp;""&amp;lon=""&amp;$E389&amp;""&amp;name=""&amp;SUBSTITUTE($A389,""#"",""%23""),""SANDBOX"""&amp;"),HYPERLINK(""https://www.munzee.com/m/""&amp;$H389&amp;""/deploys/0/type/""&amp;IFNA(VLOOKUP($G389,IMPORTRANGE(""https://docs.google.com/spreadsheets/d/1DliIGyDywdzxhd4svtjaewR0p9Y5UBTMNMQ2PcXsqss"",""type data!E2:F""),2,FALSE),$G389)&amp;""/"",$H389)),""""))"),"warped6/8358")</f>
        <v>warped6/8358</v>
      </c>
      <c r="L389" s="19" t="b">
        <v>1</v>
      </c>
      <c r="M389" s="12">
        <f t="shared" si="1"/>
        <v>24</v>
      </c>
      <c r="N389" s="13"/>
      <c r="O389" s="13"/>
      <c r="P389" s="29"/>
    </row>
    <row r="390">
      <c r="A390" s="15" t="s">
        <v>566</v>
      </c>
      <c r="B390" s="16">
        <v>21.0</v>
      </c>
      <c r="C390" s="16">
        <v>19.0</v>
      </c>
      <c r="D390" s="17">
        <v>44.863199973578</v>
      </c>
      <c r="E390" s="17">
        <v>-93.333208647106</v>
      </c>
      <c r="F390" s="16" t="s">
        <v>41</v>
      </c>
      <c r="G390" s="16" t="s">
        <v>410</v>
      </c>
      <c r="H390" s="18" t="s">
        <v>567</v>
      </c>
      <c r="I390" s="19">
        <v>5338.0</v>
      </c>
      <c r="J390" s="20"/>
      <c r="K390" s="11" t="str">
        <f>IFERROR(__xludf.DUMMYFUNCTION("IF(AND(REGEXMATCH($H390,""50( ?['fF]([oO]{2})?[tT]?)?( ?[eE][rR]{2}[oO][rR])"")=FALSE,$H390&lt;&gt;"""",$I390&lt;&gt;""""),HYPERLINK(""https://www.munzee.com/m/""&amp;$H390&amp;""/""&amp;$I390&amp;""/map/?lat=""&amp;$D390&amp;""&amp;lon=""&amp;$E390&amp;""&amp;type=""&amp;$G390&amp;""&amp;name=""&amp;SUBSTITUTE($A390,""#"&amp;""",""%23""),$H390&amp;""/""&amp;$I390),IF($H390&lt;&gt;"""",IF(REGEXMATCH($H390,""50( ?['fF]([oO]{2})?[tT]?)?( ?[eE][rR]{2}[oO][rR])""),HYPERLINK(""https://www.munzee.com/map/?sandbox=1&amp;lat=""&amp;$D390&amp;""&amp;lon=""&amp;$E390&amp;""&amp;name=""&amp;SUBSTITUTE($A390,""#"",""%23""),""SANDBOX"""&amp;"),HYPERLINK(""https://www.munzee.com/m/""&amp;$H390&amp;""/deploys/0/type/""&amp;IFNA(VLOOKUP($G390,IMPORTRANGE(""https://docs.google.com/spreadsheets/d/1DliIGyDywdzxhd4svtjaewR0p9Y5UBTMNMQ2PcXsqss"",""type data!E2:F""),2,FALSE),$G390)&amp;""/"",$H390)),""""))"),"bazfum/5338")</f>
        <v>bazfum/5338</v>
      </c>
      <c r="L390" s="19" t="b">
        <v>1</v>
      </c>
      <c r="M390" s="12">
        <f t="shared" si="1"/>
        <v>2</v>
      </c>
      <c r="N390" s="13"/>
      <c r="O390" s="13"/>
      <c r="P390" s="29"/>
    </row>
    <row r="391">
      <c r="A391" s="15" t="s">
        <v>568</v>
      </c>
      <c r="B391" s="16">
        <v>21.0</v>
      </c>
      <c r="C391" s="16">
        <v>20.0</v>
      </c>
      <c r="D391" s="17">
        <v>44.863199973399</v>
      </c>
      <c r="E391" s="17">
        <v>-93.333005865146</v>
      </c>
      <c r="F391" s="16" t="s">
        <v>41</v>
      </c>
      <c r="G391" s="16" t="s">
        <v>17</v>
      </c>
      <c r="H391" s="18" t="s">
        <v>109</v>
      </c>
      <c r="I391" s="19">
        <v>16351.0</v>
      </c>
      <c r="J391" s="21"/>
      <c r="K391" s="11" t="str">
        <f>IFERROR(__xludf.DUMMYFUNCTION("IF(AND(REGEXMATCH($H391,""50( ?['fF]([oO]{2})?[tT]?)?( ?[eE][rR]{2}[oO][rR])"")=FALSE,$H391&lt;&gt;"""",$I391&lt;&gt;""""),HYPERLINK(""https://www.munzee.com/m/""&amp;$H391&amp;""/""&amp;$I391&amp;""/map/?lat=""&amp;$D391&amp;""&amp;lon=""&amp;$E391&amp;""&amp;type=""&amp;$G391&amp;""&amp;name=""&amp;SUBSTITUTE($A391,""#"&amp;""",""%23""),$H391&amp;""/""&amp;$I391),IF($H391&lt;&gt;"""",IF(REGEXMATCH($H391,""50( ?['fF]([oO]{2})?[tT]?)?( ?[eE][rR]{2}[oO][rR])""),HYPERLINK(""https://www.munzee.com/map/?sandbox=1&amp;lat=""&amp;$D391&amp;""&amp;lon=""&amp;$E391&amp;""&amp;name=""&amp;SUBSTITUTE($A391,""#"",""%23""),""SANDBOX"""&amp;"),HYPERLINK(""https://www.munzee.com/m/""&amp;$H391&amp;""/deploys/0/type/""&amp;IFNA(VLOOKUP($G391,IMPORTRANGE(""https://docs.google.com/spreadsheets/d/1DliIGyDywdzxhd4svtjaewR0p9Y5UBTMNMQ2PcXsqss"",""type data!E2:F""),2,FALSE),$G391)&amp;""/"",$H391)),""""))"),"Whelen/16351")</f>
        <v>Whelen/16351</v>
      </c>
      <c r="L391" s="19" t="b">
        <v>1</v>
      </c>
      <c r="M391" s="12">
        <f t="shared" si="1"/>
        <v>22</v>
      </c>
      <c r="N391" s="13"/>
      <c r="O391" s="13"/>
      <c r="P391" s="29"/>
    </row>
    <row r="392">
      <c r="A392" s="15" t="s">
        <v>569</v>
      </c>
      <c r="B392" s="16">
        <v>21.0</v>
      </c>
      <c r="C392" s="16">
        <v>21.0</v>
      </c>
      <c r="D392" s="17">
        <v>44.863199973219</v>
      </c>
      <c r="E392" s="17">
        <v>-93.332803083187</v>
      </c>
      <c r="F392" s="16" t="s">
        <v>41</v>
      </c>
      <c r="G392" s="16" t="s">
        <v>17</v>
      </c>
      <c r="H392" s="33" t="s">
        <v>194</v>
      </c>
      <c r="I392" s="19">
        <v>8354.0</v>
      </c>
      <c r="J392" s="20"/>
      <c r="K392" s="11" t="str">
        <f>IFERROR(__xludf.DUMMYFUNCTION("IF(AND(REGEXMATCH($H392,""50( ?['fF]([oO]{2})?[tT]?)?( ?[eE][rR]{2}[oO][rR])"")=FALSE,$H392&lt;&gt;"""",$I392&lt;&gt;""""),HYPERLINK(""https://www.munzee.com/m/""&amp;$H392&amp;""/""&amp;$I392&amp;""/map/?lat=""&amp;$D392&amp;""&amp;lon=""&amp;$E392&amp;""&amp;type=""&amp;$G392&amp;""&amp;name=""&amp;SUBSTITUTE($A392,""#"&amp;""",""%23""),$H392&amp;""/""&amp;$I392),IF($H392&lt;&gt;"""",IF(REGEXMATCH($H392,""50( ?['fF]([oO]{2})?[tT]?)?( ?[eE][rR]{2}[oO][rR])""),HYPERLINK(""https://www.munzee.com/map/?sandbox=1&amp;lat=""&amp;$D392&amp;""&amp;lon=""&amp;$E392&amp;""&amp;name=""&amp;SUBSTITUTE($A392,""#"",""%23""),""SANDBOX"""&amp;"),HYPERLINK(""https://www.munzee.com/m/""&amp;$H392&amp;""/deploys/0/type/""&amp;IFNA(VLOOKUP($G392,IMPORTRANGE(""https://docs.google.com/spreadsheets/d/1DliIGyDywdzxhd4svtjaewR0p9Y5UBTMNMQ2PcXsqss"",""type data!E2:F""),2,FALSE),$G392)&amp;""/"",$H392)),""""))"),"warped6/8354")</f>
        <v>warped6/8354</v>
      </c>
      <c r="L392" s="19" t="b">
        <v>1</v>
      </c>
      <c r="M392" s="12">
        <f t="shared" si="1"/>
        <v>24</v>
      </c>
      <c r="N392" s="13"/>
      <c r="O392" s="13"/>
      <c r="P392" s="29"/>
    </row>
    <row r="393">
      <c r="A393" s="15" t="s">
        <v>570</v>
      </c>
      <c r="B393" s="16">
        <v>21.0</v>
      </c>
      <c r="C393" s="16">
        <v>22.0</v>
      </c>
      <c r="D393" s="17">
        <v>44.86319997304</v>
      </c>
      <c r="E393" s="17">
        <v>-93.332600301228</v>
      </c>
      <c r="F393" s="16" t="s">
        <v>510</v>
      </c>
      <c r="G393" s="16" t="s">
        <v>17</v>
      </c>
      <c r="H393" s="18" t="s">
        <v>571</v>
      </c>
      <c r="I393" s="19">
        <v>3609.0</v>
      </c>
      <c r="J393" s="20"/>
      <c r="K393" s="11" t="str">
        <f>IFERROR(__xludf.DUMMYFUNCTION("IF(AND(REGEXMATCH($H393,""50( ?['fF]([oO]{2})?[tT]?)?( ?[eE][rR]{2}[oO][rR])"")=FALSE,$H393&lt;&gt;"""",$I393&lt;&gt;""""),HYPERLINK(""https://www.munzee.com/m/""&amp;$H393&amp;""/""&amp;$I393&amp;""/map/?lat=""&amp;$D393&amp;""&amp;lon=""&amp;$E393&amp;""&amp;type=""&amp;$G393&amp;""&amp;name=""&amp;SUBSTITUTE($A393,""#"&amp;""",""%23""),$H393&amp;""/""&amp;$I393),IF($H393&lt;&gt;"""",IF(REGEXMATCH($H393,""50( ?['fF]([oO]{2})?[tT]?)?( ?[eE][rR]{2}[oO][rR])""),HYPERLINK(""https://www.munzee.com/map/?sandbox=1&amp;lat=""&amp;$D393&amp;""&amp;lon=""&amp;$E393&amp;""&amp;name=""&amp;SUBSTITUTE($A393,""#"",""%23""),""SANDBOX"""&amp;"),HYPERLINK(""https://www.munzee.com/m/""&amp;$H393&amp;""/deploys/0/type/""&amp;IFNA(VLOOKUP($G393,IMPORTRANGE(""https://docs.google.com/spreadsheets/d/1DliIGyDywdzxhd4svtjaewR0p9Y5UBTMNMQ2PcXsqss"",""type data!E2:F""),2,FALSE),$G393)&amp;""/"",$H393)),""""))"),"molesen/3609")</f>
        <v>molesen/3609</v>
      </c>
      <c r="L393" s="19" t="b">
        <v>1</v>
      </c>
      <c r="M393" s="12">
        <f t="shared" si="1"/>
        <v>2</v>
      </c>
      <c r="N393" s="13"/>
      <c r="O393" s="13"/>
      <c r="P393" s="29"/>
    </row>
    <row r="394">
      <c r="A394" s="15" t="s">
        <v>572</v>
      </c>
      <c r="B394" s="16">
        <v>21.0</v>
      </c>
      <c r="C394" s="16">
        <v>23.0</v>
      </c>
      <c r="D394" s="17">
        <v>44.86319997286</v>
      </c>
      <c r="E394" s="17">
        <v>-93.332397519268</v>
      </c>
      <c r="F394" s="16" t="s">
        <v>510</v>
      </c>
      <c r="G394" s="16" t="s">
        <v>17</v>
      </c>
      <c r="H394" s="18" t="s">
        <v>109</v>
      </c>
      <c r="I394" s="19">
        <v>16356.0</v>
      </c>
      <c r="J394" s="21"/>
      <c r="K394" s="11" t="str">
        <f>IFERROR(__xludf.DUMMYFUNCTION("IF(AND(REGEXMATCH($H394,""50( ?['fF]([oO]{2})?[tT]?)?( ?[eE][rR]{2}[oO][rR])"")=FALSE,$H394&lt;&gt;"""",$I394&lt;&gt;""""),HYPERLINK(""https://www.munzee.com/m/""&amp;$H394&amp;""/""&amp;$I394&amp;""/map/?lat=""&amp;$D394&amp;""&amp;lon=""&amp;$E394&amp;""&amp;type=""&amp;$G394&amp;""&amp;name=""&amp;SUBSTITUTE($A394,""#"&amp;""",""%23""),$H394&amp;""/""&amp;$I394),IF($H394&lt;&gt;"""",IF(REGEXMATCH($H394,""50( ?['fF]([oO]{2})?[tT]?)?( ?[eE][rR]{2}[oO][rR])""),HYPERLINK(""https://www.munzee.com/map/?sandbox=1&amp;lat=""&amp;$D394&amp;""&amp;lon=""&amp;$E394&amp;""&amp;name=""&amp;SUBSTITUTE($A394,""#"",""%23""),""SANDBOX"""&amp;"),HYPERLINK(""https://www.munzee.com/m/""&amp;$H394&amp;""/deploys/0/type/""&amp;IFNA(VLOOKUP($G394,IMPORTRANGE(""https://docs.google.com/spreadsheets/d/1DliIGyDywdzxhd4svtjaewR0p9Y5UBTMNMQ2PcXsqss"",""type data!E2:F""),2,FALSE),$G394)&amp;""/"",$H394)),""""))"),"Whelen/16356")</f>
        <v>Whelen/16356</v>
      </c>
      <c r="L394" s="19" t="b">
        <v>1</v>
      </c>
      <c r="M394" s="12">
        <f t="shared" si="1"/>
        <v>22</v>
      </c>
      <c r="N394" s="13"/>
      <c r="O394" s="13"/>
      <c r="P394" s="15"/>
    </row>
    <row r="395">
      <c r="A395" s="15" t="s">
        <v>573</v>
      </c>
      <c r="B395" s="16">
        <v>21.0</v>
      </c>
      <c r="C395" s="16">
        <v>24.0</v>
      </c>
      <c r="D395" s="17">
        <v>44.863199972681</v>
      </c>
      <c r="E395" s="17">
        <v>-93.332194737309</v>
      </c>
      <c r="F395" s="16" t="s">
        <v>41</v>
      </c>
      <c r="G395" s="16" t="s">
        <v>17</v>
      </c>
      <c r="H395" s="18" t="s">
        <v>95</v>
      </c>
      <c r="I395" s="19">
        <v>1608.0</v>
      </c>
      <c r="J395" s="21"/>
      <c r="K395" s="11" t="str">
        <f>IFERROR(__xludf.DUMMYFUNCTION("IF(AND(REGEXMATCH($H395,""50( ?['fF]([oO]{2})?[tT]?)?( ?[eE][rR]{2}[oO][rR])"")=FALSE,$H395&lt;&gt;"""",$I395&lt;&gt;""""),HYPERLINK(""https://www.munzee.com/m/""&amp;$H395&amp;""/""&amp;$I395&amp;""/map/?lat=""&amp;$D395&amp;""&amp;lon=""&amp;$E395&amp;""&amp;type=""&amp;$G395&amp;""&amp;name=""&amp;SUBSTITUTE($A395,""#"&amp;""",""%23""),$H395&amp;""/""&amp;$I395),IF($H395&lt;&gt;"""",IF(REGEXMATCH($H395,""50( ?['fF]([oO]{2})?[tT]?)?( ?[eE][rR]{2}[oO][rR])""),HYPERLINK(""https://www.munzee.com/map/?sandbox=1&amp;lat=""&amp;$D395&amp;""&amp;lon=""&amp;$E395&amp;""&amp;name=""&amp;SUBSTITUTE($A395,""#"",""%23""),""SANDBOX"""&amp;"),HYPERLINK(""https://www.munzee.com/m/""&amp;$H395&amp;""/deploys/0/type/""&amp;IFNA(VLOOKUP($G395,IMPORTRANGE(""https://docs.google.com/spreadsheets/d/1DliIGyDywdzxhd4svtjaewR0p9Y5UBTMNMQ2PcXsqss"",""type data!E2:F""),2,FALSE),$G395)&amp;""/"",$H395)),""""))"),"munzeepa/1608")</f>
        <v>munzeepa/1608</v>
      </c>
      <c r="L395" s="19" t="b">
        <v>1</v>
      </c>
      <c r="M395" s="12">
        <f t="shared" si="1"/>
        <v>20</v>
      </c>
      <c r="N395" s="13"/>
      <c r="O395" s="13"/>
      <c r="P395" s="29"/>
    </row>
    <row r="396">
      <c r="A396" s="15" t="s">
        <v>574</v>
      </c>
      <c r="B396" s="16">
        <v>21.0</v>
      </c>
      <c r="C396" s="16">
        <v>25.0</v>
      </c>
      <c r="D396" s="17">
        <v>44.863199972502</v>
      </c>
      <c r="E396" s="17">
        <v>-93.33199195535</v>
      </c>
      <c r="F396" s="16" t="s">
        <v>41</v>
      </c>
      <c r="G396" s="16" t="s">
        <v>17</v>
      </c>
      <c r="H396" s="18" t="s">
        <v>575</v>
      </c>
      <c r="I396" s="19">
        <v>1056.0</v>
      </c>
      <c r="J396" s="21"/>
      <c r="K396" s="11" t="str">
        <f>IFERROR(__xludf.DUMMYFUNCTION("IF(AND(REGEXMATCH($H396,""50( ?['fF]([oO]{2})?[tT]?)?( ?[eE][rR]{2}[oO][rR])"")=FALSE,$H396&lt;&gt;"""",$I396&lt;&gt;""""),HYPERLINK(""https://www.munzee.com/m/""&amp;$H396&amp;""/""&amp;$I396&amp;""/map/?lat=""&amp;$D396&amp;""&amp;lon=""&amp;$E396&amp;""&amp;type=""&amp;$G396&amp;""&amp;name=""&amp;SUBSTITUTE($A396,""#"&amp;""",""%23""),$H396&amp;""/""&amp;$I396),IF($H396&lt;&gt;"""",IF(REGEXMATCH($H396,""50( ?['fF]([oO]{2})?[tT]?)?( ?[eE][rR]{2}[oO][rR])""),HYPERLINK(""https://www.munzee.com/map/?sandbox=1&amp;lat=""&amp;$D396&amp;""&amp;lon=""&amp;$E396&amp;""&amp;name=""&amp;SUBSTITUTE($A396,""#"",""%23""),""SANDBOX"""&amp;"),HYPERLINK(""https://www.munzee.com/m/""&amp;$H396&amp;""/deploys/0/type/""&amp;IFNA(VLOOKUP($G396,IMPORTRANGE(""https://docs.google.com/spreadsheets/d/1DliIGyDywdzxhd4svtjaewR0p9Y5UBTMNMQ2PcXsqss"",""type data!E2:F""),2,FALSE),$G396)&amp;""/"",$H396)),""""))"),"lazylightning7/1056")</f>
        <v>lazylightning7/1056</v>
      </c>
      <c r="L396" s="19" t="b">
        <v>1</v>
      </c>
      <c r="M396" s="12">
        <f t="shared" si="1"/>
        <v>2</v>
      </c>
      <c r="N396" s="13"/>
      <c r="O396" s="13"/>
      <c r="P396" s="15"/>
    </row>
    <row r="397">
      <c r="A397" s="15" t="s">
        <v>576</v>
      </c>
      <c r="B397" s="16">
        <v>21.0</v>
      </c>
      <c r="C397" s="16">
        <v>26.0</v>
      </c>
      <c r="D397" s="17">
        <v>44.863199972322</v>
      </c>
      <c r="E397" s="17">
        <v>-93.33178917339</v>
      </c>
      <c r="F397" s="16" t="s">
        <v>41</v>
      </c>
      <c r="G397" s="16" t="s">
        <v>410</v>
      </c>
      <c r="H397" s="18" t="s">
        <v>109</v>
      </c>
      <c r="I397" s="19">
        <v>16357.0</v>
      </c>
      <c r="J397" s="21"/>
      <c r="K397" s="11" t="str">
        <f>IFERROR(__xludf.DUMMYFUNCTION("IF(AND(REGEXMATCH($H397,""50( ?['fF]([oO]{2})?[tT]?)?( ?[eE][rR]{2}[oO][rR])"")=FALSE,$H397&lt;&gt;"""",$I397&lt;&gt;""""),HYPERLINK(""https://www.munzee.com/m/""&amp;$H397&amp;""/""&amp;$I397&amp;""/map/?lat=""&amp;$D397&amp;""&amp;lon=""&amp;$E397&amp;""&amp;type=""&amp;$G397&amp;""&amp;name=""&amp;SUBSTITUTE($A397,""#"&amp;""",""%23""),$H397&amp;""/""&amp;$I397),IF($H397&lt;&gt;"""",IF(REGEXMATCH($H397,""50( ?['fF]([oO]{2})?[tT]?)?( ?[eE][rR]{2}[oO][rR])""),HYPERLINK(""https://www.munzee.com/map/?sandbox=1&amp;lat=""&amp;$D397&amp;""&amp;lon=""&amp;$E397&amp;""&amp;name=""&amp;SUBSTITUTE($A397,""#"",""%23""),""SANDBOX"""&amp;"),HYPERLINK(""https://www.munzee.com/m/""&amp;$H397&amp;""/deploys/0/type/""&amp;IFNA(VLOOKUP($G397,IMPORTRANGE(""https://docs.google.com/spreadsheets/d/1DliIGyDywdzxhd4svtjaewR0p9Y5UBTMNMQ2PcXsqss"",""type data!E2:F""),2,FALSE),$G397)&amp;""/"",$H397)),""""))"),"Whelen/16357")</f>
        <v>Whelen/16357</v>
      </c>
      <c r="L397" s="19" t="b">
        <v>1</v>
      </c>
      <c r="M397" s="12">
        <f t="shared" si="1"/>
        <v>22</v>
      </c>
      <c r="N397" s="13"/>
      <c r="O397" s="13"/>
      <c r="P397" s="15"/>
    </row>
    <row r="398">
      <c r="A398" s="15" t="s">
        <v>577</v>
      </c>
      <c r="B398" s="16">
        <v>21.0</v>
      </c>
      <c r="C398" s="16">
        <v>27.0</v>
      </c>
      <c r="D398" s="17">
        <v>44.863199972143</v>
      </c>
      <c r="E398" s="17">
        <v>-93.331586391431</v>
      </c>
      <c r="F398" s="16" t="s">
        <v>41</v>
      </c>
      <c r="G398" s="16" t="s">
        <v>410</v>
      </c>
      <c r="H398" s="33" t="s">
        <v>194</v>
      </c>
      <c r="I398" s="19">
        <v>8350.0</v>
      </c>
      <c r="J398" s="20"/>
      <c r="K398" s="11" t="str">
        <f>IFERROR(__xludf.DUMMYFUNCTION("IF(AND(REGEXMATCH($H398,""50( ?['fF]([oO]{2})?[tT]?)?( ?[eE][rR]{2}[oO][rR])"")=FALSE,$H398&lt;&gt;"""",$I398&lt;&gt;""""),HYPERLINK(""https://www.munzee.com/m/""&amp;$H398&amp;""/""&amp;$I398&amp;""/map/?lat=""&amp;$D398&amp;""&amp;lon=""&amp;$E398&amp;""&amp;type=""&amp;$G398&amp;""&amp;name=""&amp;SUBSTITUTE($A398,""#"&amp;""",""%23""),$H398&amp;""/""&amp;$I398),IF($H398&lt;&gt;"""",IF(REGEXMATCH($H398,""50( ?['fF]([oO]{2})?[tT]?)?( ?[eE][rR]{2}[oO][rR])""),HYPERLINK(""https://www.munzee.com/map/?sandbox=1&amp;lat=""&amp;$D398&amp;""&amp;lon=""&amp;$E398&amp;""&amp;name=""&amp;SUBSTITUTE($A398,""#"",""%23""),""SANDBOX"""&amp;"),HYPERLINK(""https://www.munzee.com/m/""&amp;$H398&amp;""/deploys/0/type/""&amp;IFNA(VLOOKUP($G398,IMPORTRANGE(""https://docs.google.com/spreadsheets/d/1DliIGyDywdzxhd4svtjaewR0p9Y5UBTMNMQ2PcXsqss"",""type data!E2:F""),2,FALSE),$G398)&amp;""/"",$H398)),""""))"),"warped6/8350")</f>
        <v>warped6/8350</v>
      </c>
      <c r="L398" s="19" t="b">
        <v>1</v>
      </c>
      <c r="M398" s="12">
        <f t="shared" si="1"/>
        <v>24</v>
      </c>
      <c r="N398" s="13"/>
      <c r="O398" s="13"/>
      <c r="P398" s="15"/>
    </row>
    <row r="399">
      <c r="A399" s="15" t="s">
        <v>578</v>
      </c>
      <c r="B399" s="16">
        <v>21.0</v>
      </c>
      <c r="C399" s="16">
        <v>28.0</v>
      </c>
      <c r="D399" s="17">
        <v>44.863199971963</v>
      </c>
      <c r="E399" s="17">
        <v>-93.331383609472</v>
      </c>
      <c r="F399" s="16" t="s">
        <v>16</v>
      </c>
      <c r="G399" s="16" t="s">
        <v>410</v>
      </c>
      <c r="H399" s="18" t="s">
        <v>162</v>
      </c>
      <c r="I399" s="19">
        <v>3430.0</v>
      </c>
      <c r="J399" s="27"/>
      <c r="K399" s="11" t="str">
        <f>IFERROR(__xludf.DUMMYFUNCTION("IF(AND(REGEXMATCH($H399,""50( ?['fF]([oO]{2})?[tT]?)?( ?[eE][rR]{2}[oO][rR])"")=FALSE,$H399&lt;&gt;"""",$I399&lt;&gt;""""),HYPERLINK(""https://www.munzee.com/m/""&amp;$H399&amp;""/""&amp;$I399&amp;""/map/?lat=""&amp;$D399&amp;""&amp;lon=""&amp;$E399&amp;""&amp;type=""&amp;$G399&amp;""&amp;name=""&amp;SUBSTITUTE($A399,""#"&amp;""",""%23""),$H399&amp;""/""&amp;$I399),IF($H399&lt;&gt;"""",IF(REGEXMATCH($H399,""50( ?['fF]([oO]{2})?[tT]?)?( ?[eE][rR]{2}[oO][rR])""),HYPERLINK(""https://www.munzee.com/map/?sandbox=1&amp;lat=""&amp;$D399&amp;""&amp;lon=""&amp;$E399&amp;""&amp;name=""&amp;SUBSTITUTE($A399,""#"",""%23""),""SANDBOX"""&amp;"),HYPERLINK(""https://www.munzee.com/m/""&amp;$H399&amp;""/deploys/0/type/""&amp;IFNA(VLOOKUP($G399,IMPORTRANGE(""https://docs.google.com/spreadsheets/d/1DliIGyDywdzxhd4svtjaewR0p9Y5UBTMNMQ2PcXsqss"",""type data!E2:F""),2,FALSE),$G399)&amp;""/"",$H399)),""""))"),"CoffeeBender/3430")</f>
        <v>CoffeeBender/3430</v>
      </c>
      <c r="L399" s="19" t="b">
        <v>1</v>
      </c>
      <c r="M399" s="12">
        <f t="shared" si="1"/>
        <v>9</v>
      </c>
      <c r="N399" s="13"/>
      <c r="O399" s="13"/>
      <c r="P399" s="15"/>
    </row>
    <row r="400">
      <c r="A400" s="15" t="s">
        <v>579</v>
      </c>
      <c r="B400" s="16">
        <v>22.0</v>
      </c>
      <c r="C400" s="16">
        <v>1.0</v>
      </c>
      <c r="D400" s="17">
        <v>44.863056246362</v>
      </c>
      <c r="E400" s="17">
        <v>-93.336858730474</v>
      </c>
      <c r="F400" s="16" t="s">
        <v>16</v>
      </c>
      <c r="G400" s="16" t="s">
        <v>410</v>
      </c>
      <c r="H400" s="18" t="s">
        <v>14</v>
      </c>
      <c r="I400" s="19">
        <v>2108.0</v>
      </c>
      <c r="J400" s="20"/>
      <c r="K400" s="11" t="str">
        <f>IFERROR(__xludf.DUMMYFUNCTION("IF(AND(REGEXMATCH($H400,""50( ?['fF]([oO]{2})?[tT]?)?( ?[eE][rR]{2}[oO][rR])"")=FALSE,$H400&lt;&gt;"""",$I400&lt;&gt;""""),HYPERLINK(""https://www.munzee.com/m/""&amp;$H400&amp;""/""&amp;$I400&amp;""/map/?lat=""&amp;$D400&amp;""&amp;lon=""&amp;$E400&amp;""&amp;type=""&amp;$G400&amp;""&amp;name=""&amp;SUBSTITUTE($A400,""#"&amp;""",""%23""),$H400&amp;""/""&amp;$I400),IF($H400&lt;&gt;"""",IF(REGEXMATCH($H400,""50( ?['fF]([oO]{2})?[tT]?)?( ?[eE][rR]{2}[oO][rR])""),HYPERLINK(""https://www.munzee.com/map/?sandbox=1&amp;lat=""&amp;$D400&amp;""&amp;lon=""&amp;$E400&amp;""&amp;name=""&amp;SUBSTITUTE($A400,""#"",""%23""),""SANDBOX"""&amp;"),HYPERLINK(""https://www.munzee.com/m/""&amp;$H400&amp;""/deploys/0/type/""&amp;IFNA(VLOOKUP($G400,IMPORTRANGE(""https://docs.google.com/spreadsheets/d/1DliIGyDywdzxhd4svtjaewR0p9Y5UBTMNMQ2PcXsqss"",""type data!E2:F""),2,FALSE),$G400)&amp;""/"",$H400)),""""))"),"JABIE28/2108")</f>
        <v>JABIE28/2108</v>
      </c>
      <c r="L400" s="19" t="b">
        <v>1</v>
      </c>
      <c r="M400" s="12">
        <f t="shared" si="1"/>
        <v>85</v>
      </c>
      <c r="N400" s="13"/>
      <c r="O400" s="13"/>
      <c r="P400" s="15"/>
    </row>
    <row r="401">
      <c r="A401" s="15" t="s">
        <v>580</v>
      </c>
      <c r="B401" s="16">
        <v>22.0</v>
      </c>
      <c r="C401" s="16">
        <v>2.0</v>
      </c>
      <c r="D401" s="17">
        <v>44.863056246183</v>
      </c>
      <c r="E401" s="17">
        <v>-93.336655949021</v>
      </c>
      <c r="F401" s="16" t="s">
        <v>41</v>
      </c>
      <c r="G401" s="16" t="s">
        <v>410</v>
      </c>
      <c r="H401" s="18" t="s">
        <v>581</v>
      </c>
      <c r="I401" s="19">
        <v>707.0</v>
      </c>
      <c r="J401" s="20"/>
      <c r="K401" s="11" t="str">
        <f>IFERROR(__xludf.DUMMYFUNCTION("IF(AND(REGEXMATCH($H401,""50( ?['fF]([oO]{2})?[tT]?)?( ?[eE][rR]{2}[oO][rR])"")=FALSE,$H401&lt;&gt;"""",$I401&lt;&gt;""""),HYPERLINK(""https://www.munzee.com/m/""&amp;$H401&amp;""/""&amp;$I401&amp;""/map/?lat=""&amp;$D401&amp;""&amp;lon=""&amp;$E401&amp;""&amp;type=""&amp;$G401&amp;""&amp;name=""&amp;SUBSTITUTE($A401,""#"&amp;""",""%23""),$H401&amp;""/""&amp;$I401),IF($H401&lt;&gt;"""",IF(REGEXMATCH($H401,""50( ?['fF]([oO]{2})?[tT]?)?( ?[eE][rR]{2}[oO][rR])""),HYPERLINK(""https://www.munzee.com/map/?sandbox=1&amp;lat=""&amp;$D401&amp;""&amp;lon=""&amp;$E401&amp;""&amp;name=""&amp;SUBSTITUTE($A401,""#"",""%23""),""SANDBOX"""&amp;"),HYPERLINK(""https://www.munzee.com/m/""&amp;$H401&amp;""/deploys/0/type/""&amp;IFNA(VLOOKUP($G401,IMPORTRANGE(""https://docs.google.com/spreadsheets/d/1DliIGyDywdzxhd4svtjaewR0p9Y5UBTMNMQ2PcXsqss"",""type data!E2:F""),2,FALSE),$G401)&amp;""/"",$H401)),""""))"),"MaryJaneKitty/707")</f>
        <v>MaryJaneKitty/707</v>
      </c>
      <c r="L401" s="19" t="b">
        <v>1</v>
      </c>
      <c r="M401" s="12">
        <f t="shared" si="1"/>
        <v>1</v>
      </c>
      <c r="N401" s="13"/>
      <c r="O401" s="13"/>
      <c r="P401" s="15"/>
    </row>
    <row r="402">
      <c r="A402" s="15" t="s">
        <v>582</v>
      </c>
      <c r="B402" s="16">
        <v>22.0</v>
      </c>
      <c r="C402" s="16">
        <v>3.0</v>
      </c>
      <c r="D402" s="17">
        <v>44.863056246003</v>
      </c>
      <c r="E402" s="17">
        <v>-93.336453167568</v>
      </c>
      <c r="F402" s="16" t="s">
        <v>41</v>
      </c>
      <c r="G402" s="16" t="s">
        <v>17</v>
      </c>
      <c r="H402" s="18" t="s">
        <v>583</v>
      </c>
      <c r="I402" s="19">
        <v>5751.0</v>
      </c>
      <c r="J402" s="20"/>
      <c r="K402" s="11" t="str">
        <f>IFERROR(__xludf.DUMMYFUNCTION("IF(AND(REGEXMATCH($H402,""50( ?['fF]([oO]{2})?[tT]?)?( ?[eE][rR]{2}[oO][rR])"")=FALSE,$H402&lt;&gt;"""",$I402&lt;&gt;""""),HYPERLINK(""https://www.munzee.com/m/""&amp;$H402&amp;""/""&amp;$I402&amp;""/map/?lat=""&amp;$D402&amp;""&amp;lon=""&amp;$E402&amp;""&amp;type=""&amp;$G402&amp;""&amp;name=""&amp;SUBSTITUTE($A402,""#"&amp;""",""%23""),$H402&amp;""/""&amp;$I402),IF($H402&lt;&gt;"""",IF(REGEXMATCH($H402,""50( ?['fF]([oO]{2})?[tT]?)?( ?[eE][rR]{2}[oO][rR])""),HYPERLINK(""https://www.munzee.com/map/?sandbox=1&amp;lat=""&amp;$D402&amp;""&amp;lon=""&amp;$E402&amp;""&amp;name=""&amp;SUBSTITUTE($A402,""#"",""%23""),""SANDBOX"""&amp;"),HYPERLINK(""https://www.munzee.com/m/""&amp;$H402&amp;""/deploys/0/type/""&amp;IFNA(VLOOKUP($G402,IMPORTRANGE(""https://docs.google.com/spreadsheets/d/1DliIGyDywdzxhd4svtjaewR0p9Y5UBTMNMQ2PcXsqss"",""type data!E2:F""),2,FALSE),$G402)&amp;""/"",$H402)),""""))"),"Traycee/5751")</f>
        <v>Traycee/5751</v>
      </c>
      <c r="L402" s="19" t="b">
        <v>1</v>
      </c>
      <c r="M402" s="12">
        <f t="shared" si="1"/>
        <v>5</v>
      </c>
      <c r="N402" s="13"/>
      <c r="O402" s="13"/>
      <c r="P402" s="29"/>
    </row>
    <row r="403">
      <c r="A403" s="15" t="s">
        <v>584</v>
      </c>
      <c r="B403" s="16">
        <v>22.0</v>
      </c>
      <c r="C403" s="16">
        <v>4.0</v>
      </c>
      <c r="D403" s="17">
        <v>44.863056245824</v>
      </c>
      <c r="E403" s="17">
        <v>-93.336250386115</v>
      </c>
      <c r="F403" s="16" t="s">
        <v>41</v>
      </c>
      <c r="G403" s="16" t="s">
        <v>17</v>
      </c>
      <c r="H403" s="18" t="s">
        <v>14</v>
      </c>
      <c r="I403" s="19">
        <v>2104.0</v>
      </c>
      <c r="J403" s="20"/>
      <c r="K403" s="11" t="str">
        <f>IFERROR(__xludf.DUMMYFUNCTION("IF(AND(REGEXMATCH($H403,""50( ?['fF]([oO]{2})?[tT]?)?( ?[eE][rR]{2}[oO][rR])"")=FALSE,$H403&lt;&gt;"""",$I403&lt;&gt;""""),HYPERLINK(""https://www.munzee.com/m/""&amp;$H403&amp;""/""&amp;$I403&amp;""/map/?lat=""&amp;$D403&amp;""&amp;lon=""&amp;$E403&amp;""&amp;type=""&amp;$G403&amp;""&amp;name=""&amp;SUBSTITUTE($A403,""#"&amp;""",""%23""),$H403&amp;""/""&amp;$I403),IF($H403&lt;&gt;"""",IF(REGEXMATCH($H403,""50( ?['fF]([oO]{2})?[tT]?)?( ?[eE][rR]{2}[oO][rR])""),HYPERLINK(""https://www.munzee.com/map/?sandbox=1&amp;lat=""&amp;$D403&amp;""&amp;lon=""&amp;$E403&amp;""&amp;name=""&amp;SUBSTITUTE($A403,""#"",""%23""),""SANDBOX"""&amp;"),HYPERLINK(""https://www.munzee.com/m/""&amp;$H403&amp;""/deploys/0/type/""&amp;IFNA(VLOOKUP($G403,IMPORTRANGE(""https://docs.google.com/spreadsheets/d/1DliIGyDywdzxhd4svtjaewR0p9Y5UBTMNMQ2PcXsqss"",""type data!E2:F""),2,FALSE),$G403)&amp;""/"",$H403)),""""))"),"JABIE28/2104")</f>
        <v>JABIE28/2104</v>
      </c>
      <c r="L403" s="19" t="b">
        <v>1</v>
      </c>
      <c r="M403" s="12">
        <f t="shared" si="1"/>
        <v>85</v>
      </c>
      <c r="N403" s="13"/>
      <c r="O403" s="13"/>
      <c r="P403" s="15"/>
    </row>
    <row r="404">
      <c r="A404" s="15" t="s">
        <v>585</v>
      </c>
      <c r="B404" s="16">
        <v>22.0</v>
      </c>
      <c r="C404" s="16">
        <v>5.0</v>
      </c>
      <c r="D404" s="17">
        <v>44.863056245645</v>
      </c>
      <c r="E404" s="17">
        <v>-93.336047604662</v>
      </c>
      <c r="F404" s="16" t="s">
        <v>41</v>
      </c>
      <c r="G404" s="16" t="s">
        <v>17</v>
      </c>
      <c r="H404" s="18" t="s">
        <v>586</v>
      </c>
      <c r="I404" s="19">
        <v>3736.0</v>
      </c>
      <c r="J404" s="20"/>
      <c r="K404" s="11" t="str">
        <f>IFERROR(__xludf.DUMMYFUNCTION("IF(AND(REGEXMATCH($H404,""50( ?['fF]([oO]{2})?[tT]?)?( ?[eE][rR]{2}[oO][rR])"")=FALSE,$H404&lt;&gt;"""",$I404&lt;&gt;""""),HYPERLINK(""https://www.munzee.com/m/""&amp;$H404&amp;""/""&amp;$I404&amp;""/map/?lat=""&amp;$D404&amp;""&amp;lon=""&amp;$E404&amp;""&amp;type=""&amp;$G404&amp;""&amp;name=""&amp;SUBSTITUTE($A404,""#"&amp;""",""%23""),$H404&amp;""/""&amp;$I404),IF($H404&lt;&gt;"""",IF(REGEXMATCH($H404,""50( ?['fF]([oO]{2})?[tT]?)?( ?[eE][rR]{2}[oO][rR])""),HYPERLINK(""https://www.munzee.com/map/?sandbox=1&amp;lat=""&amp;$D404&amp;""&amp;lon=""&amp;$E404&amp;""&amp;name=""&amp;SUBSTITUTE($A404,""#"",""%23""),""SANDBOX"""&amp;"),HYPERLINK(""https://www.munzee.com/m/""&amp;$H404&amp;""/deploys/0/type/""&amp;IFNA(VLOOKUP($G404,IMPORTRANGE(""https://docs.google.com/spreadsheets/d/1DliIGyDywdzxhd4svtjaewR0p9Y5UBTMNMQ2PcXsqss"",""type data!E2:F""),2,FALSE),$G404)&amp;""/"",$H404)),""""))"),"kiitokurre/3736")</f>
        <v>kiitokurre/3736</v>
      </c>
      <c r="L404" s="19" t="b">
        <v>1</v>
      </c>
      <c r="M404" s="12">
        <f t="shared" si="1"/>
        <v>2</v>
      </c>
      <c r="N404" s="13"/>
      <c r="O404" s="13"/>
      <c r="P404" s="15"/>
    </row>
    <row r="405">
      <c r="A405" s="15" t="s">
        <v>587</v>
      </c>
      <c r="B405" s="16">
        <v>22.0</v>
      </c>
      <c r="C405" s="16">
        <v>6.0</v>
      </c>
      <c r="D405" s="17">
        <v>44.863056245465</v>
      </c>
      <c r="E405" s="17">
        <v>-93.335844823209</v>
      </c>
      <c r="F405" s="16" t="s">
        <v>510</v>
      </c>
      <c r="G405" s="16" t="s">
        <v>17</v>
      </c>
      <c r="H405" s="18" t="s">
        <v>588</v>
      </c>
      <c r="I405" s="19">
        <v>1434.0</v>
      </c>
      <c r="J405" s="20"/>
      <c r="K405" s="11" t="str">
        <f>IFERROR(__xludf.DUMMYFUNCTION("IF(AND(REGEXMATCH($H405,""50( ?['fF]([oO]{2})?[tT]?)?( ?[eE][rR]{2}[oO][rR])"")=FALSE,$H405&lt;&gt;"""",$I405&lt;&gt;""""),HYPERLINK(""https://www.munzee.com/m/""&amp;$H405&amp;""/""&amp;$I405&amp;""/map/?lat=""&amp;$D405&amp;""&amp;lon=""&amp;$E405&amp;""&amp;type=""&amp;$G405&amp;""&amp;name=""&amp;SUBSTITUTE($A405,""#"&amp;""",""%23""),$H405&amp;""/""&amp;$I405),IF($H405&lt;&gt;"""",IF(REGEXMATCH($H405,""50( ?['fF]([oO]{2})?[tT]?)?( ?[eE][rR]{2}[oO][rR])""),HYPERLINK(""https://www.munzee.com/map/?sandbox=1&amp;lat=""&amp;$D405&amp;""&amp;lon=""&amp;$E405&amp;""&amp;name=""&amp;SUBSTITUTE($A405,""#"",""%23""),""SANDBOX"""&amp;"),HYPERLINK(""https://www.munzee.com/m/""&amp;$H405&amp;""/deploys/0/type/""&amp;IFNA(VLOOKUP($G405,IMPORTRANGE(""https://docs.google.com/spreadsheets/d/1DliIGyDywdzxhd4svtjaewR0p9Y5UBTMNMQ2PcXsqss"",""type data!E2:F""),2,FALSE),$G405)&amp;""/"",$H405)),""""))"),"Mamaduck71/1434")</f>
        <v>Mamaduck71/1434</v>
      </c>
      <c r="L405" s="19" t="b">
        <v>1</v>
      </c>
      <c r="M405" s="12">
        <f t="shared" si="1"/>
        <v>1</v>
      </c>
      <c r="N405" s="13"/>
      <c r="O405" s="13"/>
      <c r="P405" s="15"/>
    </row>
    <row r="406">
      <c r="A406" s="15" t="s">
        <v>589</v>
      </c>
      <c r="B406" s="16">
        <v>22.0</v>
      </c>
      <c r="C406" s="16">
        <v>7.0</v>
      </c>
      <c r="D406" s="17">
        <v>44.863056245286</v>
      </c>
      <c r="E406" s="17">
        <v>-93.335642041755</v>
      </c>
      <c r="F406" s="16" t="s">
        <v>510</v>
      </c>
      <c r="G406" s="16" t="s">
        <v>17</v>
      </c>
      <c r="H406" s="18" t="s">
        <v>14</v>
      </c>
      <c r="I406" s="19">
        <v>2100.0</v>
      </c>
      <c r="J406" s="21"/>
      <c r="K406" s="11" t="str">
        <f>IFERROR(__xludf.DUMMYFUNCTION("IF(AND(REGEXMATCH($H406,""50( ?['fF]([oO]{2})?[tT]?)?( ?[eE][rR]{2}[oO][rR])"")=FALSE,$H406&lt;&gt;"""",$I406&lt;&gt;""""),HYPERLINK(""https://www.munzee.com/m/""&amp;$H406&amp;""/""&amp;$I406&amp;""/map/?lat=""&amp;$D406&amp;""&amp;lon=""&amp;$E406&amp;""&amp;type=""&amp;$G406&amp;""&amp;name=""&amp;SUBSTITUTE($A406,""#"&amp;""",""%23""),$H406&amp;""/""&amp;$I406),IF($H406&lt;&gt;"""",IF(REGEXMATCH($H406,""50( ?['fF]([oO]{2})?[tT]?)?( ?[eE][rR]{2}[oO][rR])""),HYPERLINK(""https://www.munzee.com/map/?sandbox=1&amp;lat=""&amp;$D406&amp;""&amp;lon=""&amp;$E406&amp;""&amp;name=""&amp;SUBSTITUTE($A406,""#"",""%23""),""SANDBOX"""&amp;"),HYPERLINK(""https://www.munzee.com/m/""&amp;$H406&amp;""/deploys/0/type/""&amp;IFNA(VLOOKUP($G406,IMPORTRANGE(""https://docs.google.com/spreadsheets/d/1DliIGyDywdzxhd4svtjaewR0p9Y5UBTMNMQ2PcXsqss"",""type data!E2:F""),2,FALSE),$G406)&amp;""/"",$H406)),""""))"),"JABIE28/2100")</f>
        <v>JABIE28/2100</v>
      </c>
      <c r="L406" s="19" t="b">
        <v>1</v>
      </c>
      <c r="M406" s="12">
        <f t="shared" si="1"/>
        <v>85</v>
      </c>
      <c r="N406" s="13"/>
      <c r="O406" s="13"/>
      <c r="P406" s="15"/>
    </row>
    <row r="407">
      <c r="A407" s="15" t="s">
        <v>590</v>
      </c>
      <c r="B407" s="16">
        <v>22.0</v>
      </c>
      <c r="C407" s="16">
        <v>8.0</v>
      </c>
      <c r="D407" s="17">
        <v>44.863056245106</v>
      </c>
      <c r="E407" s="17">
        <v>-93.335439260302</v>
      </c>
      <c r="F407" s="16" t="s">
        <v>41</v>
      </c>
      <c r="G407" s="16" t="s">
        <v>17</v>
      </c>
      <c r="H407" s="18" t="s">
        <v>429</v>
      </c>
      <c r="I407" s="19">
        <v>4659.0</v>
      </c>
      <c r="J407" s="21"/>
      <c r="K407" s="11" t="str">
        <f>IFERROR(__xludf.DUMMYFUNCTION("IF(AND(REGEXMATCH($H407,""50( ?['fF]([oO]{2})?[tT]?)?( ?[eE][rR]{2}[oO][rR])"")=FALSE,$H407&lt;&gt;"""",$I407&lt;&gt;""""),HYPERLINK(""https://www.munzee.com/m/""&amp;$H407&amp;""/""&amp;$I407&amp;""/map/?lat=""&amp;$D407&amp;""&amp;lon=""&amp;$E407&amp;""&amp;type=""&amp;$G407&amp;""&amp;name=""&amp;SUBSTITUTE($A407,""#"&amp;""",""%23""),$H407&amp;""/""&amp;$I407),IF($H407&lt;&gt;"""",IF(REGEXMATCH($H407,""50( ?['fF]([oO]{2})?[tT]?)?( ?[eE][rR]{2}[oO][rR])""),HYPERLINK(""https://www.munzee.com/map/?sandbox=1&amp;lat=""&amp;$D407&amp;""&amp;lon=""&amp;$E407&amp;""&amp;name=""&amp;SUBSTITUTE($A407,""#"",""%23""),""SANDBOX"""&amp;"),HYPERLINK(""https://www.munzee.com/m/""&amp;$H407&amp;""/deploys/0/type/""&amp;IFNA(VLOOKUP($G407,IMPORTRANGE(""https://docs.google.com/spreadsheets/d/1DliIGyDywdzxhd4svtjaewR0p9Y5UBTMNMQ2PcXsqss"",""type data!E2:F""),2,FALSE),$G407)&amp;""/"",$H407)),""""))"),"halemeister/4659")</f>
        <v>halemeister/4659</v>
      </c>
      <c r="L407" s="19" t="b">
        <v>1</v>
      </c>
      <c r="M407" s="12">
        <f t="shared" si="1"/>
        <v>9</v>
      </c>
      <c r="N407" s="13"/>
      <c r="O407" s="13"/>
      <c r="P407" s="15"/>
    </row>
    <row r="408">
      <c r="A408" s="15" t="s">
        <v>591</v>
      </c>
      <c r="B408" s="16">
        <v>22.0</v>
      </c>
      <c r="C408" s="16">
        <v>9.0</v>
      </c>
      <c r="D408" s="17">
        <v>44.863056244927</v>
      </c>
      <c r="E408" s="17">
        <v>-93.335236478849</v>
      </c>
      <c r="F408" s="16" t="s">
        <v>41</v>
      </c>
      <c r="G408" s="16" t="s">
        <v>17</v>
      </c>
      <c r="H408" s="18" t="s">
        <v>592</v>
      </c>
      <c r="I408" s="19">
        <v>315.0</v>
      </c>
      <c r="J408" s="21"/>
      <c r="K408" s="11" t="str">
        <f>IFERROR(__xludf.DUMMYFUNCTION("IF(AND(REGEXMATCH($H408,""50( ?['fF]([oO]{2})?[tT]?)?( ?[eE][rR]{2}[oO][rR])"")=FALSE,$H408&lt;&gt;"""",$I408&lt;&gt;""""),HYPERLINK(""https://www.munzee.com/m/""&amp;$H408&amp;""/""&amp;$I408&amp;""/map/?lat=""&amp;$D408&amp;""&amp;lon=""&amp;$E408&amp;""&amp;type=""&amp;$G408&amp;""&amp;name=""&amp;SUBSTITUTE($A408,""#"&amp;""",""%23""),$H408&amp;""/""&amp;$I408),IF($H408&lt;&gt;"""",IF(REGEXMATCH($H408,""50( ?['fF]([oO]{2})?[tT]?)?( ?[eE][rR]{2}[oO][rR])""),HYPERLINK(""https://www.munzee.com/map/?sandbox=1&amp;lat=""&amp;$D408&amp;""&amp;lon=""&amp;$E408&amp;""&amp;name=""&amp;SUBSTITUTE($A408,""#"",""%23""),""SANDBOX"""&amp;"),HYPERLINK(""https://www.munzee.com/m/""&amp;$H408&amp;""/deploys/0/type/""&amp;IFNA(VLOOKUP($G408,IMPORTRANGE(""https://docs.google.com/spreadsheets/d/1DliIGyDywdzxhd4svtjaewR0p9Y5UBTMNMQ2PcXsqss"",""type data!E2:F""),2,FALSE),$G408)&amp;""/"",$H408)),""""))"),"TheEvilPoles/315")</f>
        <v>TheEvilPoles/315</v>
      </c>
      <c r="L408" s="19" t="b">
        <v>1</v>
      </c>
      <c r="M408" s="12">
        <f t="shared" si="1"/>
        <v>1</v>
      </c>
      <c r="N408" s="13"/>
      <c r="O408" s="13"/>
      <c r="P408" s="15"/>
    </row>
    <row r="409">
      <c r="A409" s="15" t="s">
        <v>593</v>
      </c>
      <c r="B409" s="16">
        <v>22.0</v>
      </c>
      <c r="C409" s="16">
        <v>10.0</v>
      </c>
      <c r="D409" s="17">
        <v>44.863056244747</v>
      </c>
      <c r="E409" s="17">
        <v>-93.335033697396</v>
      </c>
      <c r="F409" s="16" t="s">
        <v>41</v>
      </c>
      <c r="G409" s="16" t="s">
        <v>17</v>
      </c>
      <c r="H409" s="18" t="s">
        <v>14</v>
      </c>
      <c r="I409" s="19">
        <v>2101.0</v>
      </c>
      <c r="J409" s="20"/>
      <c r="K409" s="11" t="str">
        <f>IFERROR(__xludf.DUMMYFUNCTION("IF(AND(REGEXMATCH($H409,""50( ?['fF]([oO]{2})?[tT]?)?( ?[eE][rR]{2}[oO][rR])"")=FALSE,$H409&lt;&gt;"""",$I409&lt;&gt;""""),HYPERLINK(""https://www.munzee.com/m/""&amp;$H409&amp;""/""&amp;$I409&amp;""/map/?lat=""&amp;$D409&amp;""&amp;lon=""&amp;$E409&amp;""&amp;type=""&amp;$G409&amp;""&amp;name=""&amp;SUBSTITUTE($A409,""#"&amp;""",""%23""),$H409&amp;""/""&amp;$I409),IF($H409&lt;&gt;"""",IF(REGEXMATCH($H409,""50( ?['fF]([oO]{2})?[tT]?)?( ?[eE][rR]{2}[oO][rR])""),HYPERLINK(""https://www.munzee.com/map/?sandbox=1&amp;lat=""&amp;$D409&amp;""&amp;lon=""&amp;$E409&amp;""&amp;name=""&amp;SUBSTITUTE($A409,""#"",""%23""),""SANDBOX"""&amp;"),HYPERLINK(""https://www.munzee.com/m/""&amp;$H409&amp;""/deploys/0/type/""&amp;IFNA(VLOOKUP($G409,IMPORTRANGE(""https://docs.google.com/spreadsheets/d/1DliIGyDywdzxhd4svtjaewR0p9Y5UBTMNMQ2PcXsqss"",""type data!E2:F""),2,FALSE),$G409)&amp;""/"",$H409)),""""))"),"JABIE28/2101")</f>
        <v>JABIE28/2101</v>
      </c>
      <c r="L409" s="19" t="b">
        <v>1</v>
      </c>
      <c r="M409" s="12">
        <f t="shared" si="1"/>
        <v>85</v>
      </c>
      <c r="N409" s="13"/>
      <c r="O409" s="13"/>
      <c r="P409" s="15"/>
    </row>
    <row r="410">
      <c r="A410" s="15" t="s">
        <v>594</v>
      </c>
      <c r="B410" s="16">
        <v>22.0</v>
      </c>
      <c r="C410" s="16">
        <v>11.0</v>
      </c>
      <c r="D410" s="17">
        <v>44.863056244568</v>
      </c>
      <c r="E410" s="17">
        <v>-93.334830915943</v>
      </c>
      <c r="F410" s="16" t="s">
        <v>41</v>
      </c>
      <c r="G410" s="16" t="s">
        <v>17</v>
      </c>
      <c r="H410" s="18" t="s">
        <v>486</v>
      </c>
      <c r="I410" s="19">
        <v>2596.0</v>
      </c>
      <c r="J410" s="20"/>
      <c r="K410" s="11" t="str">
        <f>IFERROR(__xludf.DUMMYFUNCTION("IF(AND(REGEXMATCH($H410,""50( ?['fF]([oO]{2})?[tT]?)?( ?[eE][rR]{2}[oO][rR])"")=FALSE,$H410&lt;&gt;"""",$I410&lt;&gt;""""),HYPERLINK(""https://www.munzee.com/m/""&amp;$H410&amp;""/""&amp;$I410&amp;""/map/?lat=""&amp;$D410&amp;""&amp;lon=""&amp;$E410&amp;""&amp;type=""&amp;$G410&amp;""&amp;name=""&amp;SUBSTITUTE($A410,""#"&amp;""",""%23""),$H410&amp;""/""&amp;$I410),IF($H410&lt;&gt;"""",IF(REGEXMATCH($H410,""50( ?['fF]([oO]{2})?[tT]?)?( ?[eE][rR]{2}[oO][rR])""),HYPERLINK(""https://www.munzee.com/map/?sandbox=1&amp;lat=""&amp;$D410&amp;""&amp;lon=""&amp;$E410&amp;""&amp;name=""&amp;SUBSTITUTE($A410,""#"",""%23""),""SANDBOX"""&amp;"),HYPERLINK(""https://www.munzee.com/m/""&amp;$H410&amp;""/deploys/0/type/""&amp;IFNA(VLOOKUP($G410,IMPORTRANGE(""https://docs.google.com/spreadsheets/d/1DliIGyDywdzxhd4svtjaewR0p9Y5UBTMNMQ2PcXsqss"",""type data!E2:F""),2,FALSE),$G410)&amp;""/"",$H410)),""""))"),"MeLa/2596")</f>
        <v>MeLa/2596</v>
      </c>
      <c r="L410" s="19" t="b">
        <v>1</v>
      </c>
      <c r="M410" s="12">
        <f t="shared" si="1"/>
        <v>3</v>
      </c>
      <c r="N410" s="13"/>
      <c r="O410" s="13"/>
      <c r="P410" s="15"/>
    </row>
    <row r="411">
      <c r="A411" s="15" t="s">
        <v>595</v>
      </c>
      <c r="B411" s="16">
        <v>22.0</v>
      </c>
      <c r="C411" s="16">
        <v>12.0</v>
      </c>
      <c r="D411" s="17">
        <v>44.863056244389</v>
      </c>
      <c r="E411" s="17">
        <v>-93.33462813449</v>
      </c>
      <c r="F411" s="16" t="s">
        <v>41</v>
      </c>
      <c r="G411" s="16" t="s">
        <v>17</v>
      </c>
      <c r="H411" s="18" t="s">
        <v>596</v>
      </c>
      <c r="I411" s="19">
        <v>3466.0</v>
      </c>
      <c r="J411" s="20"/>
      <c r="K411" s="11" t="str">
        <f>IFERROR(__xludf.DUMMYFUNCTION("IF(AND(REGEXMATCH($H411,""50( ?['fF]([oO]{2})?[tT]?)?( ?[eE][rR]{2}[oO][rR])"")=FALSE,$H411&lt;&gt;"""",$I411&lt;&gt;""""),HYPERLINK(""https://www.munzee.com/m/""&amp;$H411&amp;""/""&amp;$I411&amp;""/map/?lat=""&amp;$D411&amp;""&amp;lon=""&amp;$E411&amp;""&amp;type=""&amp;$G411&amp;""&amp;name=""&amp;SUBSTITUTE($A411,""#"&amp;""",""%23""),$H411&amp;""/""&amp;$I411),IF($H411&lt;&gt;"""",IF(REGEXMATCH($H411,""50( ?['fF]([oO]{2})?[tT]?)?( ?[eE][rR]{2}[oO][rR])""),HYPERLINK(""https://www.munzee.com/map/?sandbox=1&amp;lat=""&amp;$D411&amp;""&amp;lon=""&amp;$E411&amp;""&amp;name=""&amp;SUBSTITUTE($A411,""#"",""%23""),""SANDBOX"""&amp;"),HYPERLINK(""https://www.munzee.com/m/""&amp;$H411&amp;""/deploys/0/type/""&amp;IFNA(VLOOKUP($G411,IMPORTRANGE(""https://docs.google.com/spreadsheets/d/1DliIGyDywdzxhd4svtjaewR0p9Y5UBTMNMQ2PcXsqss"",""type data!E2:F""),2,FALSE),$G411)&amp;""/"",$H411)),""""))"),"meka/3466")</f>
        <v>meka/3466</v>
      </c>
      <c r="L411" s="19" t="b">
        <v>1</v>
      </c>
      <c r="M411" s="12">
        <f t="shared" si="1"/>
        <v>1</v>
      </c>
      <c r="N411" s="13"/>
      <c r="O411" s="13"/>
      <c r="P411" s="15"/>
    </row>
    <row r="412">
      <c r="A412" s="15" t="s">
        <v>597</v>
      </c>
      <c r="B412" s="16">
        <v>22.0</v>
      </c>
      <c r="C412" s="16">
        <v>13.0</v>
      </c>
      <c r="D412" s="17">
        <v>44.863056244209</v>
      </c>
      <c r="E412" s="17">
        <v>-93.334425353037</v>
      </c>
      <c r="F412" s="16" t="s">
        <v>41</v>
      </c>
      <c r="G412" s="16" t="s">
        <v>17</v>
      </c>
      <c r="H412" s="18" t="s">
        <v>14</v>
      </c>
      <c r="I412" s="19">
        <v>2120.0</v>
      </c>
      <c r="J412" s="20"/>
      <c r="K412" s="11" t="str">
        <f>IFERROR(__xludf.DUMMYFUNCTION("IF(AND(REGEXMATCH($H412,""50( ?['fF]([oO]{2})?[tT]?)?( ?[eE][rR]{2}[oO][rR])"")=FALSE,$H412&lt;&gt;"""",$I412&lt;&gt;""""),HYPERLINK(""https://www.munzee.com/m/""&amp;$H412&amp;""/""&amp;$I412&amp;""/map/?lat=""&amp;$D412&amp;""&amp;lon=""&amp;$E412&amp;""&amp;type=""&amp;$G412&amp;""&amp;name=""&amp;SUBSTITUTE($A412,""#"&amp;""",""%23""),$H412&amp;""/""&amp;$I412),IF($H412&lt;&gt;"""",IF(REGEXMATCH($H412,""50( ?['fF]([oO]{2})?[tT]?)?( ?[eE][rR]{2}[oO][rR])""),HYPERLINK(""https://www.munzee.com/map/?sandbox=1&amp;lat=""&amp;$D412&amp;""&amp;lon=""&amp;$E412&amp;""&amp;name=""&amp;SUBSTITUTE($A412,""#"",""%23""),""SANDBOX"""&amp;"),HYPERLINK(""https://www.munzee.com/m/""&amp;$H412&amp;""/deploys/0/type/""&amp;IFNA(VLOOKUP($G412,IMPORTRANGE(""https://docs.google.com/spreadsheets/d/1DliIGyDywdzxhd4svtjaewR0p9Y5UBTMNMQ2PcXsqss"",""type data!E2:F""),2,FALSE),$G412)&amp;""/"",$H412)),""""))"),"JABIE28/2120")</f>
        <v>JABIE28/2120</v>
      </c>
      <c r="L412" s="19" t="b">
        <v>1</v>
      </c>
      <c r="M412" s="12">
        <f t="shared" si="1"/>
        <v>85</v>
      </c>
      <c r="N412" s="13"/>
      <c r="O412" s="13"/>
      <c r="P412" s="15"/>
    </row>
    <row r="413">
      <c r="A413" s="15" t="s">
        <v>598</v>
      </c>
      <c r="B413" s="16">
        <v>22.0</v>
      </c>
      <c r="C413" s="16">
        <v>14.0</v>
      </c>
      <c r="D413" s="17">
        <v>44.86305624403</v>
      </c>
      <c r="E413" s="17">
        <v>-93.334222571584</v>
      </c>
      <c r="F413" s="16" t="s">
        <v>41</v>
      </c>
      <c r="G413" s="16" t="s">
        <v>17</v>
      </c>
      <c r="H413" s="18" t="s">
        <v>599</v>
      </c>
      <c r="I413" s="19">
        <v>225.0</v>
      </c>
      <c r="J413" s="20"/>
      <c r="K413" s="11" t="str">
        <f>IFERROR(__xludf.DUMMYFUNCTION("IF(AND(REGEXMATCH($H413,""50( ?['fF]([oO]{2})?[tT]?)?( ?[eE][rR]{2}[oO][rR])"")=FALSE,$H413&lt;&gt;"""",$I413&lt;&gt;""""),HYPERLINK(""https://www.munzee.com/m/""&amp;$H413&amp;""/""&amp;$I413&amp;""/map/?lat=""&amp;$D413&amp;""&amp;lon=""&amp;$E413&amp;""&amp;type=""&amp;$G413&amp;""&amp;name=""&amp;SUBSTITUTE($A413,""#"&amp;""",""%23""),$H413&amp;""/""&amp;$I413),IF($H413&lt;&gt;"""",IF(REGEXMATCH($H413,""50( ?['fF]([oO]{2})?[tT]?)?( ?[eE][rR]{2}[oO][rR])""),HYPERLINK(""https://www.munzee.com/map/?sandbox=1&amp;lat=""&amp;$D413&amp;""&amp;lon=""&amp;$E413&amp;""&amp;name=""&amp;SUBSTITUTE($A413,""#"",""%23""),""SANDBOX"""&amp;"),HYPERLINK(""https://www.munzee.com/m/""&amp;$H413&amp;""/deploys/0/type/""&amp;IFNA(VLOOKUP($G413,IMPORTRANGE(""https://docs.google.com/spreadsheets/d/1DliIGyDywdzxhd4svtjaewR0p9Y5UBTMNMQ2PcXsqss"",""type data!E2:F""),2,FALSE),$G413)&amp;""/"",$H413)),""""))"),"Dreamcatchr/225")</f>
        <v>Dreamcatchr/225</v>
      </c>
      <c r="L413" s="19" t="b">
        <v>1</v>
      </c>
      <c r="M413" s="12">
        <f t="shared" si="1"/>
        <v>3</v>
      </c>
      <c r="N413" s="13"/>
      <c r="O413" s="13"/>
      <c r="P413" s="15"/>
    </row>
    <row r="414">
      <c r="A414" s="15" t="s">
        <v>600</v>
      </c>
      <c r="B414" s="16">
        <v>22.0</v>
      </c>
      <c r="C414" s="16">
        <v>15.0</v>
      </c>
      <c r="D414" s="17">
        <v>44.86305624385</v>
      </c>
      <c r="E414" s="17">
        <v>-93.334019790131</v>
      </c>
      <c r="F414" s="16" t="s">
        <v>41</v>
      </c>
      <c r="G414" s="16" t="s">
        <v>17</v>
      </c>
      <c r="H414" s="38" t="s">
        <v>601</v>
      </c>
      <c r="I414" s="19">
        <v>1355.0</v>
      </c>
      <c r="J414" s="21"/>
      <c r="K414" s="11" t="str">
        <f>IFERROR(__xludf.DUMMYFUNCTION("IF(AND(REGEXMATCH($H414,""50( ?['fF]([oO]{2})?[tT]?)?( ?[eE][rR]{2}[oO][rR])"")=FALSE,$H414&lt;&gt;"""",$I414&lt;&gt;""""),HYPERLINK(""https://www.munzee.com/m/""&amp;$H414&amp;""/""&amp;$I414&amp;""/map/?lat=""&amp;$D414&amp;""&amp;lon=""&amp;$E414&amp;""&amp;type=""&amp;$G414&amp;""&amp;name=""&amp;SUBSTITUTE($A414,""#"&amp;""",""%23""),$H414&amp;""/""&amp;$I414),IF($H414&lt;&gt;"""",IF(REGEXMATCH($H414,""50( ?['fF]([oO]{2})?[tT]?)?( ?[eE][rR]{2}[oO][rR])""),HYPERLINK(""https://www.munzee.com/map/?sandbox=1&amp;lat=""&amp;$D414&amp;""&amp;lon=""&amp;$E414&amp;""&amp;name=""&amp;SUBSTITUTE($A414,""#"",""%23""),""SANDBOX"""&amp;"),HYPERLINK(""https://www.munzee.com/m/""&amp;$H414&amp;""/deploys/0/type/""&amp;IFNA(VLOOKUP($G414,IMPORTRANGE(""https://docs.google.com/spreadsheets/d/1DliIGyDywdzxhd4svtjaewR0p9Y5UBTMNMQ2PcXsqss"",""type data!E2:F""),2,FALSE),$G414)&amp;""/"",$H414)),""""))"),"CarlisleCachers/1355")</f>
        <v>CarlisleCachers/1355</v>
      </c>
      <c r="L414" s="19" t="b">
        <v>1</v>
      </c>
      <c r="M414" s="12">
        <f t="shared" si="1"/>
        <v>2</v>
      </c>
      <c r="N414" s="13"/>
      <c r="O414" s="13"/>
      <c r="P414" s="15"/>
    </row>
    <row r="415">
      <c r="A415" s="15" t="s">
        <v>602</v>
      </c>
      <c r="B415" s="16">
        <v>22.0</v>
      </c>
      <c r="C415" s="16">
        <v>16.0</v>
      </c>
      <c r="D415" s="17">
        <v>44.863056243671</v>
      </c>
      <c r="E415" s="17">
        <v>-93.333817008678</v>
      </c>
      <c r="F415" s="16" t="s">
        <v>41</v>
      </c>
      <c r="G415" s="16" t="s">
        <v>17</v>
      </c>
      <c r="H415" s="18" t="s">
        <v>14</v>
      </c>
      <c r="I415" s="19">
        <v>384.0</v>
      </c>
      <c r="J415" s="20"/>
      <c r="K415" s="11" t="str">
        <f>IFERROR(__xludf.DUMMYFUNCTION("IF(AND(REGEXMATCH($H415,""50( ?['fF]([oO]{2})?[tT]?)?( ?[eE][rR]{2}[oO][rR])"")=FALSE,$H415&lt;&gt;"""",$I415&lt;&gt;""""),HYPERLINK(""https://www.munzee.com/m/""&amp;$H415&amp;""/""&amp;$I415&amp;""/map/?lat=""&amp;$D415&amp;""&amp;lon=""&amp;$E415&amp;""&amp;type=""&amp;$G415&amp;""&amp;name=""&amp;SUBSTITUTE($A415,""#"&amp;""",""%23""),$H415&amp;""/""&amp;$I415),IF($H415&lt;&gt;"""",IF(REGEXMATCH($H415,""50( ?['fF]([oO]{2})?[tT]?)?( ?[eE][rR]{2}[oO][rR])""),HYPERLINK(""https://www.munzee.com/map/?sandbox=1&amp;lat=""&amp;$D415&amp;""&amp;lon=""&amp;$E415&amp;""&amp;name=""&amp;SUBSTITUTE($A415,""#"",""%23""),""SANDBOX"""&amp;"),HYPERLINK(""https://www.munzee.com/m/""&amp;$H415&amp;""/deploys/0/type/""&amp;IFNA(VLOOKUP($G415,IMPORTRANGE(""https://docs.google.com/spreadsheets/d/1DliIGyDywdzxhd4svtjaewR0p9Y5UBTMNMQ2PcXsqss"",""type data!E2:F""),2,FALSE),$G415)&amp;""/"",$H415)),""""))"),"JABIE28/384")</f>
        <v>JABIE28/384</v>
      </c>
      <c r="L415" s="19" t="b">
        <v>1</v>
      </c>
      <c r="M415" s="12">
        <f t="shared" si="1"/>
        <v>85</v>
      </c>
      <c r="N415" s="13"/>
      <c r="O415" s="13"/>
      <c r="P415" s="15"/>
    </row>
    <row r="416">
      <c r="A416" s="15" t="s">
        <v>603</v>
      </c>
      <c r="B416" s="16">
        <v>22.0</v>
      </c>
      <c r="C416" s="16">
        <v>17.0</v>
      </c>
      <c r="D416" s="17">
        <v>44.863056243491</v>
      </c>
      <c r="E416" s="17">
        <v>-93.333614227225</v>
      </c>
      <c r="F416" s="16" t="s">
        <v>41</v>
      </c>
      <c r="G416" s="16" t="s">
        <v>17</v>
      </c>
      <c r="H416" s="18" t="s">
        <v>604</v>
      </c>
      <c r="I416" s="19">
        <v>3185.0</v>
      </c>
      <c r="J416" s="21"/>
      <c r="K416" s="11" t="str">
        <f>IFERROR(__xludf.DUMMYFUNCTION("IF(AND(REGEXMATCH($H416,""50( ?['fF]([oO]{2})?[tT]?)?( ?[eE][rR]{2}[oO][rR])"")=FALSE,$H416&lt;&gt;"""",$I416&lt;&gt;""""),HYPERLINK(""https://www.munzee.com/m/""&amp;$H416&amp;""/""&amp;$I416&amp;""/map/?lat=""&amp;$D416&amp;""&amp;lon=""&amp;$E416&amp;""&amp;type=""&amp;$G416&amp;""&amp;name=""&amp;SUBSTITUTE($A416,""#"&amp;""",""%23""),$H416&amp;""/""&amp;$I416),IF($H416&lt;&gt;"""",IF(REGEXMATCH($H416,""50( ?['fF]([oO]{2})?[tT]?)?( ?[eE][rR]{2}[oO][rR])""),HYPERLINK(""https://www.munzee.com/map/?sandbox=1&amp;lat=""&amp;$D416&amp;""&amp;lon=""&amp;$E416&amp;""&amp;name=""&amp;SUBSTITUTE($A416,""#"",""%23""),""SANDBOX"""&amp;"),HYPERLINK(""https://www.munzee.com/m/""&amp;$H416&amp;""/deploys/0/type/""&amp;IFNA(VLOOKUP($G416,IMPORTRANGE(""https://docs.google.com/spreadsheets/d/1DliIGyDywdzxhd4svtjaewR0p9Y5UBTMNMQ2PcXsqss"",""type data!E2:F""),2,FALSE),$G416)&amp;""/"",$H416)),""""))"),"dazzaf/3185")</f>
        <v>dazzaf/3185</v>
      </c>
      <c r="L416" s="19" t="b">
        <v>1</v>
      </c>
      <c r="M416" s="12">
        <f t="shared" si="1"/>
        <v>1</v>
      </c>
      <c r="N416" s="13"/>
      <c r="O416" s="13"/>
      <c r="P416" s="15"/>
    </row>
    <row r="417">
      <c r="A417" s="15" t="s">
        <v>605</v>
      </c>
      <c r="B417" s="16">
        <v>22.0</v>
      </c>
      <c r="C417" s="16">
        <v>18.0</v>
      </c>
      <c r="D417" s="17">
        <v>44.863056243312</v>
      </c>
      <c r="E417" s="17">
        <v>-93.333411445772</v>
      </c>
      <c r="F417" s="16" t="s">
        <v>41</v>
      </c>
      <c r="G417" s="16" t="s">
        <v>17</v>
      </c>
      <c r="H417" s="18" t="s">
        <v>601</v>
      </c>
      <c r="I417" s="19">
        <v>1350.0</v>
      </c>
      <c r="J417" s="21"/>
      <c r="K417" s="11" t="str">
        <f>IFERROR(__xludf.DUMMYFUNCTION("IF(AND(REGEXMATCH($H417,""50( ?['fF]([oO]{2})?[tT]?)?( ?[eE][rR]{2}[oO][rR])"")=FALSE,$H417&lt;&gt;"""",$I417&lt;&gt;""""),HYPERLINK(""https://www.munzee.com/m/""&amp;$H417&amp;""/""&amp;$I417&amp;""/map/?lat=""&amp;$D417&amp;""&amp;lon=""&amp;$E417&amp;""&amp;type=""&amp;$G417&amp;""&amp;name=""&amp;SUBSTITUTE($A417,""#"&amp;""",""%23""),$H417&amp;""/""&amp;$I417),IF($H417&lt;&gt;"""",IF(REGEXMATCH($H417,""50( ?['fF]([oO]{2})?[tT]?)?( ?[eE][rR]{2}[oO][rR])""),HYPERLINK(""https://www.munzee.com/map/?sandbox=1&amp;lat=""&amp;$D417&amp;""&amp;lon=""&amp;$E417&amp;""&amp;name=""&amp;SUBSTITUTE($A417,""#"",""%23""),""SANDBOX"""&amp;"),HYPERLINK(""https://www.munzee.com/m/""&amp;$H417&amp;""/deploys/0/type/""&amp;IFNA(VLOOKUP($G417,IMPORTRANGE(""https://docs.google.com/spreadsheets/d/1DliIGyDywdzxhd4svtjaewR0p9Y5UBTMNMQ2PcXsqss"",""type data!E2:F""),2,FALSE),$G417)&amp;""/"",$H417)),""""))"),"CarlisleCachers/1350")</f>
        <v>CarlisleCachers/1350</v>
      </c>
      <c r="L417" s="19" t="b">
        <v>1</v>
      </c>
      <c r="M417" s="12">
        <f t="shared" si="1"/>
        <v>2</v>
      </c>
      <c r="N417" s="13"/>
      <c r="O417" s="13"/>
      <c r="P417" s="29"/>
    </row>
    <row r="418">
      <c r="A418" s="15" t="s">
        <v>606</v>
      </c>
      <c r="B418" s="16">
        <v>22.0</v>
      </c>
      <c r="C418" s="16">
        <v>19.0</v>
      </c>
      <c r="D418" s="17">
        <v>44.863056243133</v>
      </c>
      <c r="E418" s="17">
        <v>-93.333208664318</v>
      </c>
      <c r="F418" s="16" t="s">
        <v>41</v>
      </c>
      <c r="G418" s="16" t="s">
        <v>17</v>
      </c>
      <c r="H418" s="18" t="s">
        <v>14</v>
      </c>
      <c r="I418" s="19">
        <v>372.0</v>
      </c>
      <c r="J418" s="20"/>
      <c r="K418" s="11" t="str">
        <f>IFERROR(__xludf.DUMMYFUNCTION("IF(AND(REGEXMATCH($H418,""50( ?['fF]([oO]{2})?[tT]?)?( ?[eE][rR]{2}[oO][rR])"")=FALSE,$H418&lt;&gt;"""",$I418&lt;&gt;""""),HYPERLINK(""https://www.munzee.com/m/""&amp;$H418&amp;""/""&amp;$I418&amp;""/map/?lat=""&amp;$D418&amp;""&amp;lon=""&amp;$E418&amp;""&amp;type=""&amp;$G418&amp;""&amp;name=""&amp;SUBSTITUTE($A418,""#"&amp;""",""%23""),$H418&amp;""/""&amp;$I418),IF($H418&lt;&gt;"""",IF(REGEXMATCH($H418,""50( ?['fF]([oO]{2})?[tT]?)?( ?[eE][rR]{2}[oO][rR])""),HYPERLINK(""https://www.munzee.com/map/?sandbox=1&amp;lat=""&amp;$D418&amp;""&amp;lon=""&amp;$E418&amp;""&amp;name=""&amp;SUBSTITUTE($A418,""#"",""%23""),""SANDBOX"""&amp;"),HYPERLINK(""https://www.munzee.com/m/""&amp;$H418&amp;""/deploys/0/type/""&amp;IFNA(VLOOKUP($G418,IMPORTRANGE(""https://docs.google.com/spreadsheets/d/1DliIGyDywdzxhd4svtjaewR0p9Y5UBTMNMQ2PcXsqss"",""type data!E2:F""),2,FALSE),$G418)&amp;""/"",$H418)),""""))"),"JABIE28/372")</f>
        <v>JABIE28/372</v>
      </c>
      <c r="L418" s="19" t="b">
        <v>1</v>
      </c>
      <c r="M418" s="12">
        <f t="shared" si="1"/>
        <v>85</v>
      </c>
      <c r="N418" s="13"/>
      <c r="O418" s="13"/>
      <c r="P418" s="15"/>
    </row>
    <row r="419">
      <c r="A419" s="15" t="s">
        <v>607</v>
      </c>
      <c r="B419" s="16">
        <v>22.0</v>
      </c>
      <c r="C419" s="16">
        <v>20.0</v>
      </c>
      <c r="D419" s="17">
        <v>44.863056242953</v>
      </c>
      <c r="E419" s="17">
        <v>-93.333005882865</v>
      </c>
      <c r="F419" s="16" t="s">
        <v>41</v>
      </c>
      <c r="G419" s="16" t="s">
        <v>17</v>
      </c>
      <c r="H419" s="18" t="s">
        <v>608</v>
      </c>
      <c r="I419" s="19">
        <v>1940.0</v>
      </c>
      <c r="J419" s="20"/>
      <c r="K419" s="11" t="str">
        <f>IFERROR(__xludf.DUMMYFUNCTION("IF(AND(REGEXMATCH($H419,""50( ?['fF]([oO]{2})?[tT]?)?( ?[eE][rR]{2}[oO][rR])"")=FALSE,$H419&lt;&gt;"""",$I419&lt;&gt;""""),HYPERLINK(""https://www.munzee.com/m/""&amp;$H419&amp;""/""&amp;$I419&amp;""/map/?lat=""&amp;$D419&amp;""&amp;lon=""&amp;$E419&amp;""&amp;type=""&amp;$G419&amp;""&amp;name=""&amp;SUBSTITUTE($A419,""#"&amp;""",""%23""),$H419&amp;""/""&amp;$I419),IF($H419&lt;&gt;"""",IF(REGEXMATCH($H419,""50( ?['fF]([oO]{2})?[tT]?)?( ?[eE][rR]{2}[oO][rR])""),HYPERLINK(""https://www.munzee.com/map/?sandbox=1&amp;lat=""&amp;$D419&amp;""&amp;lon=""&amp;$E419&amp;""&amp;name=""&amp;SUBSTITUTE($A419,""#"",""%23""),""SANDBOX"""&amp;"),HYPERLINK(""https://www.munzee.com/m/""&amp;$H419&amp;""/deploys/0/type/""&amp;IFNA(VLOOKUP($G419,IMPORTRANGE(""https://docs.google.com/spreadsheets/d/1DliIGyDywdzxhd4svtjaewR0p9Y5UBTMNMQ2PcXsqss"",""type data!E2:F""),2,FALSE),$G419)&amp;""/"",$H419)),""""))"),"JM/1940")</f>
        <v>JM/1940</v>
      </c>
      <c r="L419" s="19" t="b">
        <v>1</v>
      </c>
      <c r="M419" s="12">
        <f t="shared" si="1"/>
        <v>1</v>
      </c>
      <c r="N419" s="13"/>
      <c r="O419" s="13"/>
      <c r="P419" s="29"/>
    </row>
    <row r="420">
      <c r="A420" s="15" t="s">
        <v>609</v>
      </c>
      <c r="B420" s="16">
        <v>22.0</v>
      </c>
      <c r="C420" s="16">
        <v>21.0</v>
      </c>
      <c r="D420" s="17">
        <v>44.863056242774</v>
      </c>
      <c r="E420" s="17">
        <v>-93.332803101412</v>
      </c>
      <c r="F420" s="16" t="s">
        <v>41</v>
      </c>
      <c r="G420" s="16" t="s">
        <v>17</v>
      </c>
      <c r="H420" s="18" t="s">
        <v>610</v>
      </c>
      <c r="I420" s="19">
        <v>4334.0</v>
      </c>
      <c r="J420" s="20"/>
      <c r="K420" s="11" t="str">
        <f>IFERROR(__xludf.DUMMYFUNCTION("IF(AND(REGEXMATCH($H420,""50( ?['fF]([oO]{2})?[tT]?)?( ?[eE][rR]{2}[oO][rR])"")=FALSE,$H420&lt;&gt;"""",$I420&lt;&gt;""""),HYPERLINK(""https://www.munzee.com/m/""&amp;$H420&amp;""/""&amp;$I420&amp;""/map/?lat=""&amp;$D420&amp;""&amp;lon=""&amp;$E420&amp;""&amp;type=""&amp;$G420&amp;""&amp;name=""&amp;SUBSTITUTE($A420,""#"&amp;""",""%23""),$H420&amp;""/""&amp;$I420),IF($H420&lt;&gt;"""",IF(REGEXMATCH($H420,""50( ?['fF]([oO]{2})?[tT]?)?( ?[eE][rR]{2}[oO][rR])""),HYPERLINK(""https://www.munzee.com/map/?sandbox=1&amp;lat=""&amp;$D420&amp;""&amp;lon=""&amp;$E420&amp;""&amp;name=""&amp;SUBSTITUTE($A420,""#"",""%23""),""SANDBOX"""&amp;"),HYPERLINK(""https://www.munzee.com/m/""&amp;$H420&amp;""/deploys/0/type/""&amp;IFNA(VLOOKUP($G420,IMPORTRANGE(""https://docs.google.com/spreadsheets/d/1DliIGyDywdzxhd4svtjaewR0p9Y5UBTMNMQ2PcXsqss"",""type data!E2:F""),2,FALSE),$G420)&amp;""/"",$H420)),""""))"),"Sikko/4334")</f>
        <v>Sikko/4334</v>
      </c>
      <c r="L420" s="19" t="b">
        <v>1</v>
      </c>
      <c r="M420" s="12">
        <f t="shared" si="1"/>
        <v>1</v>
      </c>
      <c r="N420" s="13"/>
      <c r="O420" s="13"/>
      <c r="P420" s="29"/>
    </row>
    <row r="421">
      <c r="A421" s="15" t="s">
        <v>611</v>
      </c>
      <c r="B421" s="16">
        <v>22.0</v>
      </c>
      <c r="C421" s="16">
        <v>22.0</v>
      </c>
      <c r="D421" s="17">
        <v>44.863056242594</v>
      </c>
      <c r="E421" s="17">
        <v>-93.332600319959</v>
      </c>
      <c r="F421" s="16" t="s">
        <v>510</v>
      </c>
      <c r="G421" s="16" t="s">
        <v>17</v>
      </c>
      <c r="H421" s="18" t="s">
        <v>14</v>
      </c>
      <c r="I421" s="19">
        <v>370.0</v>
      </c>
      <c r="J421" s="20"/>
      <c r="K421" s="11" t="str">
        <f>IFERROR(__xludf.DUMMYFUNCTION("IF(AND(REGEXMATCH($H421,""50( ?['fF]([oO]{2})?[tT]?)?( ?[eE][rR]{2}[oO][rR])"")=FALSE,$H421&lt;&gt;"""",$I421&lt;&gt;""""),HYPERLINK(""https://www.munzee.com/m/""&amp;$H421&amp;""/""&amp;$I421&amp;""/map/?lat=""&amp;$D421&amp;""&amp;lon=""&amp;$E421&amp;""&amp;type=""&amp;$G421&amp;""&amp;name=""&amp;SUBSTITUTE($A421,""#"&amp;""",""%23""),$H421&amp;""/""&amp;$I421),IF($H421&lt;&gt;"""",IF(REGEXMATCH($H421,""50( ?['fF]([oO]{2})?[tT]?)?( ?[eE][rR]{2}[oO][rR])""),HYPERLINK(""https://www.munzee.com/map/?sandbox=1&amp;lat=""&amp;$D421&amp;""&amp;lon=""&amp;$E421&amp;""&amp;name=""&amp;SUBSTITUTE($A421,""#"",""%23""),""SANDBOX"""&amp;"),HYPERLINK(""https://www.munzee.com/m/""&amp;$H421&amp;""/deploys/0/type/""&amp;IFNA(VLOOKUP($G421,IMPORTRANGE(""https://docs.google.com/spreadsheets/d/1DliIGyDywdzxhd4svtjaewR0p9Y5UBTMNMQ2PcXsqss"",""type data!E2:F""),2,FALSE),$G421)&amp;""/"",$H421)),""""))"),"JABIE28/370")</f>
        <v>JABIE28/370</v>
      </c>
      <c r="L421" s="19" t="b">
        <v>1</v>
      </c>
      <c r="M421" s="12">
        <f t="shared" si="1"/>
        <v>85</v>
      </c>
      <c r="N421" s="13"/>
      <c r="O421" s="13"/>
      <c r="P421" s="15"/>
    </row>
    <row r="422">
      <c r="A422" s="15" t="s">
        <v>612</v>
      </c>
      <c r="B422" s="16">
        <v>22.0</v>
      </c>
      <c r="C422" s="16">
        <v>23.0</v>
      </c>
      <c r="D422" s="17">
        <v>44.863056242415</v>
      </c>
      <c r="E422" s="17">
        <v>-93.332397538506</v>
      </c>
      <c r="F422" s="16" t="s">
        <v>510</v>
      </c>
      <c r="G422" s="16" t="s">
        <v>17</v>
      </c>
      <c r="H422" s="18" t="s">
        <v>406</v>
      </c>
      <c r="I422" s="19">
        <v>4794.0</v>
      </c>
      <c r="J422" s="20"/>
      <c r="K422" s="11" t="str">
        <f>IFERROR(__xludf.DUMMYFUNCTION("IF(AND(REGEXMATCH($H422,""50( ?['fF]([oO]{2})?[tT]?)?( ?[eE][rR]{2}[oO][rR])"")=FALSE,$H422&lt;&gt;"""",$I422&lt;&gt;""""),HYPERLINK(""https://www.munzee.com/m/""&amp;$H422&amp;""/""&amp;$I422&amp;""/map/?lat=""&amp;$D422&amp;""&amp;lon=""&amp;$E422&amp;""&amp;type=""&amp;$G422&amp;""&amp;name=""&amp;SUBSTITUTE($A422,""#"&amp;""",""%23""),$H422&amp;""/""&amp;$I422),IF($H422&lt;&gt;"""",IF(REGEXMATCH($H422,""50( ?['fF]([oO]{2})?[tT]?)?( ?[eE][rR]{2}[oO][rR])""),HYPERLINK(""https://www.munzee.com/map/?sandbox=1&amp;lat=""&amp;$D422&amp;""&amp;lon=""&amp;$E422&amp;""&amp;name=""&amp;SUBSTITUTE($A422,""#"",""%23""),""SANDBOX"""&amp;"),HYPERLINK(""https://www.munzee.com/m/""&amp;$H422&amp;""/deploys/0/type/""&amp;IFNA(VLOOKUP($G422,IMPORTRANGE(""https://docs.google.com/spreadsheets/d/1DliIGyDywdzxhd4svtjaewR0p9Y5UBTMNMQ2PcXsqss"",""type data!E2:F""),2,FALSE),$G422)&amp;""/"",$H422)),""""))"),"Cachelady/4794")</f>
        <v>Cachelady/4794</v>
      </c>
      <c r="L422" s="19" t="b">
        <v>1</v>
      </c>
      <c r="M422" s="12">
        <f t="shared" si="1"/>
        <v>2</v>
      </c>
      <c r="N422" s="13"/>
      <c r="O422" s="13"/>
      <c r="P422" s="15"/>
    </row>
    <row r="423">
      <c r="A423" s="15" t="s">
        <v>613</v>
      </c>
      <c r="B423" s="16">
        <v>22.0</v>
      </c>
      <c r="C423" s="16">
        <v>24.0</v>
      </c>
      <c r="D423" s="17">
        <v>44.863056242236</v>
      </c>
      <c r="E423" s="17">
        <v>-93.332194757053</v>
      </c>
      <c r="F423" s="16" t="s">
        <v>41</v>
      </c>
      <c r="G423" s="16" t="s">
        <v>17</v>
      </c>
      <c r="H423" s="18" t="s">
        <v>614</v>
      </c>
      <c r="I423" s="19">
        <v>5335.0</v>
      </c>
      <c r="J423" s="21"/>
      <c r="K423" s="11" t="str">
        <f>IFERROR(__xludf.DUMMYFUNCTION("IF(AND(REGEXMATCH($H423,""50( ?['fF]([oO]{2})?[tT]?)?( ?[eE][rR]{2}[oO][rR])"")=FALSE,$H423&lt;&gt;"""",$I423&lt;&gt;""""),HYPERLINK(""https://www.munzee.com/m/""&amp;$H423&amp;""/""&amp;$I423&amp;""/map/?lat=""&amp;$D423&amp;""&amp;lon=""&amp;$E423&amp;""&amp;type=""&amp;$G423&amp;""&amp;name=""&amp;SUBSTITUTE($A423,""#"&amp;""",""%23""),$H423&amp;""/""&amp;$I423),IF($H423&lt;&gt;"""",IF(REGEXMATCH($H423,""50( ?['fF]([oO]{2})?[tT]?)?( ?[eE][rR]{2}[oO][rR])""),HYPERLINK(""https://www.munzee.com/map/?sandbox=1&amp;lat=""&amp;$D423&amp;""&amp;lon=""&amp;$E423&amp;""&amp;name=""&amp;SUBSTITUTE($A423,""#"",""%23""),""SANDBOX"""&amp;"),HYPERLINK(""https://www.munzee.com/m/""&amp;$H423&amp;""/deploys/0/type/""&amp;IFNA(VLOOKUP($G423,IMPORTRANGE(""https://docs.google.com/spreadsheets/d/1DliIGyDywdzxhd4svtjaewR0p9Y5UBTMNMQ2PcXsqss"",""type data!E2:F""),2,FALSE),$G423)&amp;""/"",$H423)),""""))"),"JRdaBoss/5335")</f>
        <v>JRdaBoss/5335</v>
      </c>
      <c r="L423" s="19" t="b">
        <v>1</v>
      </c>
      <c r="M423" s="12">
        <f t="shared" si="1"/>
        <v>1</v>
      </c>
      <c r="N423" s="13"/>
      <c r="O423" s="13"/>
      <c r="P423" s="15"/>
    </row>
    <row r="424">
      <c r="A424" s="15" t="s">
        <v>615</v>
      </c>
      <c r="B424" s="16">
        <v>22.0</v>
      </c>
      <c r="C424" s="16">
        <v>25.0</v>
      </c>
      <c r="D424" s="17">
        <v>44.863056242056</v>
      </c>
      <c r="E424" s="17">
        <v>-93.3319919756</v>
      </c>
      <c r="F424" s="16" t="s">
        <v>41</v>
      </c>
      <c r="G424" s="16" t="s">
        <v>17</v>
      </c>
      <c r="H424" s="18" t="s">
        <v>14</v>
      </c>
      <c r="I424" s="19">
        <v>368.0</v>
      </c>
      <c r="J424" s="20"/>
      <c r="K424" s="11" t="str">
        <f>IFERROR(__xludf.DUMMYFUNCTION("IF(AND(REGEXMATCH($H424,""50( ?['fF]([oO]{2})?[tT]?)?( ?[eE][rR]{2}[oO][rR])"")=FALSE,$H424&lt;&gt;"""",$I424&lt;&gt;""""),HYPERLINK(""https://www.munzee.com/m/""&amp;$H424&amp;""/""&amp;$I424&amp;""/map/?lat=""&amp;$D424&amp;""&amp;lon=""&amp;$E424&amp;""&amp;type=""&amp;$G424&amp;""&amp;name=""&amp;SUBSTITUTE($A424,""#"&amp;""",""%23""),$H424&amp;""/""&amp;$I424),IF($H424&lt;&gt;"""",IF(REGEXMATCH($H424,""50( ?['fF]([oO]{2})?[tT]?)?( ?[eE][rR]{2}[oO][rR])""),HYPERLINK(""https://www.munzee.com/map/?sandbox=1&amp;lat=""&amp;$D424&amp;""&amp;lon=""&amp;$E424&amp;""&amp;name=""&amp;SUBSTITUTE($A424,""#"",""%23""),""SANDBOX"""&amp;"),HYPERLINK(""https://www.munzee.com/m/""&amp;$H424&amp;""/deploys/0/type/""&amp;IFNA(VLOOKUP($G424,IMPORTRANGE(""https://docs.google.com/spreadsheets/d/1DliIGyDywdzxhd4svtjaewR0p9Y5UBTMNMQ2PcXsqss"",""type data!E2:F""),2,FALSE),$G424)&amp;""/"",$H424)),""""))"),"JABIE28/368")</f>
        <v>JABIE28/368</v>
      </c>
      <c r="L424" s="19" t="b">
        <v>1</v>
      </c>
      <c r="M424" s="12">
        <f t="shared" si="1"/>
        <v>85</v>
      </c>
      <c r="N424" s="13"/>
      <c r="O424" s="13"/>
      <c r="P424" s="15"/>
    </row>
    <row r="425">
      <c r="A425" s="15" t="s">
        <v>616</v>
      </c>
      <c r="B425" s="16">
        <v>22.0</v>
      </c>
      <c r="C425" s="16">
        <v>26.0</v>
      </c>
      <c r="D425" s="17">
        <v>44.863056241877</v>
      </c>
      <c r="E425" s="17">
        <v>-93.331789194147</v>
      </c>
      <c r="F425" s="16" t="s">
        <v>41</v>
      </c>
      <c r="G425" s="16" t="s">
        <v>410</v>
      </c>
      <c r="H425" s="18" t="s">
        <v>617</v>
      </c>
      <c r="I425" s="19">
        <v>1832.0</v>
      </c>
      <c r="J425" s="21"/>
      <c r="K425" s="11" t="str">
        <f>IFERROR(__xludf.DUMMYFUNCTION("IF(AND(REGEXMATCH($H425,""50( ?['fF]([oO]{2})?[tT]?)?( ?[eE][rR]{2}[oO][rR])"")=FALSE,$H425&lt;&gt;"""",$I425&lt;&gt;""""),HYPERLINK(""https://www.munzee.com/m/""&amp;$H425&amp;""/""&amp;$I425&amp;""/map/?lat=""&amp;$D425&amp;""&amp;lon=""&amp;$E425&amp;""&amp;type=""&amp;$G425&amp;""&amp;name=""&amp;SUBSTITUTE($A425,""#"&amp;""",""%23""),$H425&amp;""/""&amp;$I425),IF($H425&lt;&gt;"""",IF(REGEXMATCH($H425,""50( ?['fF]([oO]{2})?[tT]?)?( ?[eE][rR]{2}[oO][rR])""),HYPERLINK(""https://www.munzee.com/map/?sandbox=1&amp;lat=""&amp;$D425&amp;""&amp;lon=""&amp;$E425&amp;""&amp;name=""&amp;SUBSTITUTE($A425,""#"",""%23""),""SANDBOX"""&amp;"),HYPERLINK(""https://www.munzee.com/m/""&amp;$H425&amp;""/deploys/0/type/""&amp;IFNA(VLOOKUP($G425,IMPORTRANGE(""https://docs.google.com/spreadsheets/d/1DliIGyDywdzxhd4svtjaewR0p9Y5UBTMNMQ2PcXsqss"",""type data!E2:F""),2,FALSE),$G425)&amp;""/"",$H425)),""""))"),"BrianMoos/1832")</f>
        <v>BrianMoos/1832</v>
      </c>
      <c r="L425" s="19" t="b">
        <v>1</v>
      </c>
      <c r="M425" s="12">
        <f t="shared" si="1"/>
        <v>1</v>
      </c>
      <c r="N425" s="13"/>
      <c r="O425" s="13"/>
      <c r="P425" s="15"/>
    </row>
    <row r="426">
      <c r="A426" s="15" t="s">
        <v>618</v>
      </c>
      <c r="B426" s="16">
        <v>22.0</v>
      </c>
      <c r="C426" s="16">
        <v>27.0</v>
      </c>
      <c r="D426" s="17">
        <v>44.863056241697</v>
      </c>
      <c r="E426" s="17">
        <v>-93.331586412694</v>
      </c>
      <c r="F426" s="16" t="s">
        <v>41</v>
      </c>
      <c r="G426" s="16" t="s">
        <v>410</v>
      </c>
      <c r="H426" s="38" t="s">
        <v>619</v>
      </c>
      <c r="I426" s="19">
        <v>1680.0</v>
      </c>
      <c r="J426" s="20"/>
      <c r="K426" s="11" t="str">
        <f>IFERROR(__xludf.DUMMYFUNCTION("IF(AND(REGEXMATCH($H426,""50( ?['fF]([oO]{2})?[tT]?)?( ?[eE][rR]{2}[oO][rR])"")=FALSE,$H426&lt;&gt;"""",$I426&lt;&gt;""""),HYPERLINK(""https://www.munzee.com/m/""&amp;$H426&amp;""/""&amp;$I426&amp;""/map/?lat=""&amp;$D426&amp;""&amp;lon=""&amp;$E426&amp;""&amp;type=""&amp;$G426&amp;""&amp;name=""&amp;SUBSTITUTE($A426,""#"&amp;""",""%23""),$H426&amp;""/""&amp;$I426),IF($H426&lt;&gt;"""",IF(REGEXMATCH($H426,""50( ?['fF]([oO]{2})?[tT]?)?( ?[eE][rR]{2}[oO][rR])""),HYPERLINK(""https://www.munzee.com/map/?sandbox=1&amp;lat=""&amp;$D426&amp;""&amp;lon=""&amp;$E426&amp;""&amp;name=""&amp;SUBSTITUTE($A426,""#"",""%23""),""SANDBOX"""&amp;"),HYPERLINK(""https://www.munzee.com/m/""&amp;$H426&amp;""/deploys/0/type/""&amp;IFNA(VLOOKUP($G426,IMPORTRANGE(""https://docs.google.com/spreadsheets/d/1DliIGyDywdzxhd4svtjaewR0p9Y5UBTMNMQ2PcXsqss"",""type data!E2:F""),2,FALSE),$G426)&amp;""/"",$H426)),""""))"),"redshark78/1680")</f>
        <v>redshark78/1680</v>
      </c>
      <c r="L426" s="19" t="b">
        <v>1</v>
      </c>
      <c r="M426" s="12">
        <f t="shared" si="1"/>
        <v>1</v>
      </c>
      <c r="N426" s="13"/>
      <c r="O426" s="13"/>
      <c r="P426" s="15"/>
    </row>
    <row r="427">
      <c r="A427" s="15" t="s">
        <v>620</v>
      </c>
      <c r="B427" s="16">
        <v>22.0</v>
      </c>
      <c r="C427" s="16">
        <v>28.0</v>
      </c>
      <c r="D427" s="17">
        <v>44.863056241518</v>
      </c>
      <c r="E427" s="17">
        <v>-93.331383631241</v>
      </c>
      <c r="F427" s="16" t="s">
        <v>16</v>
      </c>
      <c r="G427" s="16" t="s">
        <v>410</v>
      </c>
      <c r="H427" s="18" t="s">
        <v>14</v>
      </c>
      <c r="I427" s="19">
        <v>2132.0</v>
      </c>
      <c r="J427" s="20"/>
      <c r="K427" s="11" t="str">
        <f>IFERROR(__xludf.DUMMYFUNCTION("IF(AND(REGEXMATCH($H427,""50( ?['fF]([oO]{2})?[tT]?)?( ?[eE][rR]{2}[oO][rR])"")=FALSE,$H427&lt;&gt;"""",$I427&lt;&gt;""""),HYPERLINK(""https://www.munzee.com/m/""&amp;$H427&amp;""/""&amp;$I427&amp;""/map/?lat=""&amp;$D427&amp;""&amp;lon=""&amp;$E427&amp;""&amp;type=""&amp;$G427&amp;""&amp;name=""&amp;SUBSTITUTE($A427,""#"&amp;""",""%23""),$H427&amp;""/""&amp;$I427),IF($H427&lt;&gt;"""",IF(REGEXMATCH($H427,""50( ?['fF]([oO]{2})?[tT]?)?( ?[eE][rR]{2}[oO][rR])""),HYPERLINK(""https://www.munzee.com/map/?sandbox=1&amp;lat=""&amp;$D427&amp;""&amp;lon=""&amp;$E427&amp;""&amp;name=""&amp;SUBSTITUTE($A427,""#"",""%23""),""SANDBOX"""&amp;"),HYPERLINK(""https://www.munzee.com/m/""&amp;$H427&amp;""/deploys/0/type/""&amp;IFNA(VLOOKUP($G427,IMPORTRANGE(""https://docs.google.com/spreadsheets/d/1DliIGyDywdzxhd4svtjaewR0p9Y5UBTMNMQ2PcXsqss"",""type data!E2:F""),2,FALSE),$G427)&amp;""/"",$H427)),""""))"),"JABIE28/2132")</f>
        <v>JABIE28/2132</v>
      </c>
      <c r="L427" s="19" t="b">
        <v>1</v>
      </c>
      <c r="M427" s="12">
        <f t="shared" si="1"/>
        <v>85</v>
      </c>
      <c r="N427" s="13"/>
      <c r="O427" s="13"/>
      <c r="P427" s="29"/>
    </row>
    <row r="428">
      <c r="A428" s="15" t="s">
        <v>621</v>
      </c>
      <c r="B428" s="16">
        <v>23.0</v>
      </c>
      <c r="C428" s="16">
        <v>1.0</v>
      </c>
      <c r="D428" s="17">
        <v>44.862912515917</v>
      </c>
      <c r="E428" s="17">
        <v>-93.336858738574</v>
      </c>
      <c r="F428" s="16" t="s">
        <v>16</v>
      </c>
      <c r="G428" s="16" t="s">
        <v>410</v>
      </c>
      <c r="H428" s="18" t="s">
        <v>400</v>
      </c>
      <c r="I428" s="19">
        <v>3307.0</v>
      </c>
      <c r="J428" s="27"/>
      <c r="K428" s="11" t="str">
        <f>IFERROR(__xludf.DUMMYFUNCTION("IF(AND(REGEXMATCH($H428,""50( ?['fF]([oO]{2})?[tT]?)?( ?[eE][rR]{2}[oO][rR])"")=FALSE,$H428&lt;&gt;"""",$I428&lt;&gt;""""),HYPERLINK(""https://www.munzee.com/m/""&amp;$H428&amp;""/""&amp;$I428&amp;""/map/?lat=""&amp;$D428&amp;""&amp;lon=""&amp;$E428&amp;""&amp;type=""&amp;$G428&amp;""&amp;name=""&amp;SUBSTITUTE($A428,""#"&amp;""",""%23""),$H428&amp;""/""&amp;$I428),IF($H428&lt;&gt;"""",IF(REGEXMATCH($H428,""50( ?['fF]([oO]{2})?[tT]?)?( ?[eE][rR]{2}[oO][rR])""),HYPERLINK(""https://www.munzee.com/map/?sandbox=1&amp;lat=""&amp;$D428&amp;""&amp;lon=""&amp;$E428&amp;""&amp;name=""&amp;SUBSTITUTE($A428,""#"",""%23""),""SANDBOX"""&amp;"),HYPERLINK(""https://www.munzee.com/m/""&amp;$H428&amp;""/deploys/0/type/""&amp;IFNA(VLOOKUP($G428,IMPORTRANGE(""https://docs.google.com/spreadsheets/d/1DliIGyDywdzxhd4svtjaewR0p9Y5UBTMNMQ2PcXsqss"",""type data!E2:F""),2,FALSE),$G428)&amp;""/"",$H428)),""""))"),"floridafinder2/3307")</f>
        <v>floridafinder2/3307</v>
      </c>
      <c r="L428" s="19" t="b">
        <v>1</v>
      </c>
      <c r="M428" s="12">
        <f t="shared" si="1"/>
        <v>2</v>
      </c>
      <c r="N428" s="13"/>
      <c r="O428" s="13"/>
      <c r="P428" s="15"/>
    </row>
    <row r="429">
      <c r="A429" s="15" t="s">
        <v>622</v>
      </c>
      <c r="B429" s="16">
        <v>23.0</v>
      </c>
      <c r="C429" s="16">
        <v>2.0</v>
      </c>
      <c r="D429" s="17">
        <v>44.862912515737</v>
      </c>
      <c r="E429" s="17">
        <v>-93.336655957627</v>
      </c>
      <c r="F429" s="16" t="s">
        <v>41</v>
      </c>
      <c r="G429" s="16" t="s">
        <v>410</v>
      </c>
      <c r="H429" s="18" t="s">
        <v>623</v>
      </c>
      <c r="I429" s="19">
        <v>1431.0</v>
      </c>
      <c r="J429" s="20"/>
      <c r="K429" s="11" t="str">
        <f>IFERROR(__xludf.DUMMYFUNCTION("IF(AND(REGEXMATCH($H429,""50( ?['fF]([oO]{2})?[tT]?)?( ?[eE][rR]{2}[oO][rR])"")=FALSE,$H429&lt;&gt;"""",$I429&lt;&gt;""""),HYPERLINK(""https://www.munzee.com/m/""&amp;$H429&amp;""/""&amp;$I429&amp;""/map/?lat=""&amp;$D429&amp;""&amp;lon=""&amp;$E429&amp;""&amp;type=""&amp;$G429&amp;""&amp;name=""&amp;SUBSTITUTE($A429,""#"&amp;""",""%23""),$H429&amp;""/""&amp;$I429),IF($H429&lt;&gt;"""",IF(REGEXMATCH($H429,""50( ?['fF]([oO]{2})?[tT]?)?( ?[eE][rR]{2}[oO][rR])""),HYPERLINK(""https://www.munzee.com/map/?sandbox=1&amp;lat=""&amp;$D429&amp;""&amp;lon=""&amp;$E429&amp;""&amp;name=""&amp;SUBSTITUTE($A429,""#"",""%23""),""SANDBOX"""&amp;"),HYPERLINK(""https://www.munzee.com/m/""&amp;$H429&amp;""/deploys/0/type/""&amp;IFNA(VLOOKUP($G429,IMPORTRANGE(""https://docs.google.com/spreadsheets/d/1DliIGyDywdzxhd4svtjaewR0p9Y5UBTMNMQ2PcXsqss"",""type data!E2:F""),2,FALSE),$G429)&amp;""/"",$H429)),""""))"),"johnsjen/1431")</f>
        <v>johnsjen/1431</v>
      </c>
      <c r="L429" s="19" t="b">
        <v>1</v>
      </c>
      <c r="M429" s="12">
        <f t="shared" si="1"/>
        <v>1</v>
      </c>
      <c r="N429" s="13"/>
      <c r="O429" s="13"/>
      <c r="P429" s="15"/>
    </row>
    <row r="430">
      <c r="A430" s="15" t="s">
        <v>624</v>
      </c>
      <c r="B430" s="16">
        <v>23.0</v>
      </c>
      <c r="C430" s="16">
        <v>3.0</v>
      </c>
      <c r="D430" s="17">
        <v>44.862912515558</v>
      </c>
      <c r="E430" s="17">
        <v>-93.33645317668</v>
      </c>
      <c r="F430" s="16" t="s">
        <v>41</v>
      </c>
      <c r="G430" s="16" t="s">
        <v>17</v>
      </c>
      <c r="H430" s="18" t="s">
        <v>625</v>
      </c>
      <c r="I430" s="19">
        <v>7313.0</v>
      </c>
      <c r="J430" s="20"/>
      <c r="K430" s="11" t="str">
        <f>IFERROR(__xludf.DUMMYFUNCTION("IF(AND(REGEXMATCH($H430,""50( ?['fF]([oO]{2})?[tT]?)?( ?[eE][rR]{2}[oO][rR])"")=FALSE,$H430&lt;&gt;"""",$I430&lt;&gt;""""),HYPERLINK(""https://www.munzee.com/m/""&amp;$H430&amp;""/""&amp;$I430&amp;""/map/?lat=""&amp;$D430&amp;""&amp;lon=""&amp;$E430&amp;""&amp;type=""&amp;$G430&amp;""&amp;name=""&amp;SUBSTITUTE($A430,""#"&amp;""",""%23""),$H430&amp;""/""&amp;$I430),IF($H430&lt;&gt;"""",IF(REGEXMATCH($H430,""50( ?['fF]([oO]{2})?[tT]?)?( ?[eE][rR]{2}[oO][rR])""),HYPERLINK(""https://www.munzee.com/map/?sandbox=1&amp;lat=""&amp;$D430&amp;""&amp;lon=""&amp;$E430&amp;""&amp;name=""&amp;SUBSTITUTE($A430,""#"",""%23""),""SANDBOX"""&amp;"),HYPERLINK(""https://www.munzee.com/m/""&amp;$H430&amp;""/deploys/0/type/""&amp;IFNA(VLOOKUP($G430,IMPORTRANGE(""https://docs.google.com/spreadsheets/d/1DliIGyDywdzxhd4svtjaewR0p9Y5UBTMNMQ2PcXsqss"",""type data!E2:F""),2,FALSE),$G430)&amp;""/"",$H430)),""""))"),"q22q17/7313")</f>
        <v>q22q17/7313</v>
      </c>
      <c r="L430" s="19" t="b">
        <v>1</v>
      </c>
      <c r="M430" s="12">
        <f t="shared" si="1"/>
        <v>2</v>
      </c>
      <c r="N430" s="13"/>
      <c r="O430" s="13"/>
      <c r="P430" s="29"/>
    </row>
    <row r="431">
      <c r="A431" s="15" t="s">
        <v>626</v>
      </c>
      <c r="B431" s="16">
        <v>23.0</v>
      </c>
      <c r="C431" s="16">
        <v>4.0</v>
      </c>
      <c r="D431" s="17">
        <v>44.862912515378</v>
      </c>
      <c r="E431" s="17">
        <v>-93.336250395733</v>
      </c>
      <c r="F431" s="16" t="s">
        <v>41</v>
      </c>
      <c r="G431" s="16" t="s">
        <v>17</v>
      </c>
      <c r="H431" s="18" t="s">
        <v>627</v>
      </c>
      <c r="I431" s="19">
        <v>1370.0</v>
      </c>
      <c r="J431" s="21"/>
      <c r="K431" s="11" t="str">
        <f>IFERROR(__xludf.DUMMYFUNCTION("IF(AND(REGEXMATCH($H431,""50( ?['fF]([oO]{2})?[tT]?)?( ?[eE][rR]{2}[oO][rR])"")=FALSE,$H431&lt;&gt;"""",$I431&lt;&gt;""""),HYPERLINK(""https://www.munzee.com/m/""&amp;$H431&amp;""/""&amp;$I431&amp;""/map/?lat=""&amp;$D431&amp;""&amp;lon=""&amp;$E431&amp;""&amp;type=""&amp;$G431&amp;""&amp;name=""&amp;SUBSTITUTE($A431,""#"&amp;""",""%23""),$H431&amp;""/""&amp;$I431),IF($H431&lt;&gt;"""",IF(REGEXMATCH($H431,""50( ?['fF]([oO]{2})?[tT]?)?( ?[eE][rR]{2}[oO][rR])""),HYPERLINK(""https://www.munzee.com/map/?sandbox=1&amp;lat=""&amp;$D431&amp;""&amp;lon=""&amp;$E431&amp;""&amp;name=""&amp;SUBSTITUTE($A431,""#"",""%23""),""SANDBOX"""&amp;"),HYPERLINK(""https://www.munzee.com/m/""&amp;$H431&amp;""/deploys/0/type/""&amp;IFNA(VLOOKUP($G431,IMPORTRANGE(""https://docs.google.com/spreadsheets/d/1DliIGyDywdzxhd4svtjaewR0p9Y5UBTMNMQ2PcXsqss"",""type data!E2:F""),2,FALSE),$G431)&amp;""/"",$H431)),""""))"),"mayberryman/1370")</f>
        <v>mayberryman/1370</v>
      </c>
      <c r="L431" s="19" t="b">
        <v>1</v>
      </c>
      <c r="M431" s="12">
        <f t="shared" si="1"/>
        <v>3</v>
      </c>
      <c r="N431" s="13"/>
      <c r="O431" s="13"/>
      <c r="P431" s="29"/>
    </row>
    <row r="432">
      <c r="A432" s="15" t="s">
        <v>628</v>
      </c>
      <c r="B432" s="16">
        <v>23.0</v>
      </c>
      <c r="C432" s="16">
        <v>5.0</v>
      </c>
      <c r="D432" s="17">
        <v>44.862912515199</v>
      </c>
      <c r="E432" s="17">
        <v>-93.336047614787</v>
      </c>
      <c r="F432" s="16" t="s">
        <v>41</v>
      </c>
      <c r="G432" s="16" t="s">
        <v>17</v>
      </c>
      <c r="H432" s="18" t="s">
        <v>629</v>
      </c>
      <c r="I432" s="19">
        <v>2002.0</v>
      </c>
      <c r="J432" s="20"/>
      <c r="K432" s="11" t="str">
        <f>IFERROR(__xludf.DUMMYFUNCTION("IF(AND(REGEXMATCH($H432,""50( ?['fF]([oO]{2})?[tT]?)?( ?[eE][rR]{2}[oO][rR])"")=FALSE,$H432&lt;&gt;"""",$I432&lt;&gt;""""),HYPERLINK(""https://www.munzee.com/m/""&amp;$H432&amp;""/""&amp;$I432&amp;""/map/?lat=""&amp;$D432&amp;""&amp;lon=""&amp;$E432&amp;""&amp;type=""&amp;$G432&amp;""&amp;name=""&amp;SUBSTITUTE($A432,""#"&amp;""",""%23""),$H432&amp;""/""&amp;$I432),IF($H432&lt;&gt;"""",IF(REGEXMATCH($H432,""50( ?['fF]([oO]{2})?[tT]?)?( ?[eE][rR]{2}[oO][rR])""),HYPERLINK(""https://www.munzee.com/map/?sandbox=1&amp;lat=""&amp;$D432&amp;""&amp;lon=""&amp;$E432&amp;""&amp;name=""&amp;SUBSTITUTE($A432,""#"",""%23""),""SANDBOX"""&amp;"),HYPERLINK(""https://www.munzee.com/m/""&amp;$H432&amp;""/deploys/0/type/""&amp;IFNA(VLOOKUP($G432,IMPORTRANGE(""https://docs.google.com/spreadsheets/d/1DliIGyDywdzxhd4svtjaewR0p9Y5UBTMNMQ2PcXsqss"",""type data!E2:F""),2,FALSE),$G432)&amp;""/"",$H432)),""""))"),"par72/2002")</f>
        <v>par72/2002</v>
      </c>
      <c r="L432" s="19" t="b">
        <v>1</v>
      </c>
      <c r="M432" s="12">
        <f t="shared" si="1"/>
        <v>4</v>
      </c>
      <c r="N432" s="13"/>
      <c r="O432" s="13"/>
      <c r="P432" s="29"/>
    </row>
    <row r="433">
      <c r="A433" s="15" t="s">
        <v>630</v>
      </c>
      <c r="B433" s="16">
        <v>23.0</v>
      </c>
      <c r="C433" s="16">
        <v>6.0</v>
      </c>
      <c r="D433" s="17">
        <v>44.86291251502</v>
      </c>
      <c r="E433" s="17">
        <v>-93.33584483384</v>
      </c>
      <c r="F433" s="16" t="s">
        <v>510</v>
      </c>
      <c r="G433" s="16" t="s">
        <v>17</v>
      </c>
      <c r="H433" s="18" t="s">
        <v>631</v>
      </c>
      <c r="I433" s="19">
        <v>15386.0</v>
      </c>
      <c r="J433" s="20"/>
      <c r="K433" s="11" t="str">
        <f>IFERROR(__xludf.DUMMYFUNCTION("IF(AND(REGEXMATCH($H433,""50( ?['fF]([oO]{2})?[tT]?)?( ?[eE][rR]{2}[oO][rR])"")=FALSE,$H433&lt;&gt;"""",$I433&lt;&gt;""""),HYPERLINK(""https://www.munzee.com/m/""&amp;$H433&amp;""/""&amp;$I433&amp;""/map/?lat=""&amp;$D433&amp;""&amp;lon=""&amp;$E433&amp;""&amp;type=""&amp;$G433&amp;""&amp;name=""&amp;SUBSTITUTE($A433,""#"&amp;""",""%23""),$H433&amp;""/""&amp;$I433),IF($H433&lt;&gt;"""",IF(REGEXMATCH($H433,""50( ?['fF]([oO]{2})?[tT]?)?( ?[eE][rR]{2}[oO][rR])""),HYPERLINK(""https://www.munzee.com/map/?sandbox=1&amp;lat=""&amp;$D433&amp;""&amp;lon=""&amp;$E433&amp;""&amp;name=""&amp;SUBSTITUTE($A433,""#"",""%23""),""SANDBOX"""&amp;"),HYPERLINK(""https://www.munzee.com/m/""&amp;$H433&amp;""/deploys/0/type/""&amp;IFNA(VLOOKUP($G433,IMPORTRANGE(""https://docs.google.com/spreadsheets/d/1DliIGyDywdzxhd4svtjaewR0p9Y5UBTMNMQ2PcXsqss"",""type data!E2:F""),2,FALSE),$G433)&amp;""/"",$H433)),""""))"),"C-bn/15386")</f>
        <v>C-bn/15386</v>
      </c>
      <c r="L433" s="19" t="b">
        <v>1</v>
      </c>
      <c r="M433" s="12">
        <f t="shared" si="1"/>
        <v>5</v>
      </c>
      <c r="N433" s="13"/>
      <c r="O433" s="13"/>
      <c r="P433" s="29"/>
    </row>
    <row r="434">
      <c r="A434" s="15" t="s">
        <v>632</v>
      </c>
      <c r="B434" s="16">
        <v>23.0</v>
      </c>
      <c r="C434" s="16">
        <v>7.0</v>
      </c>
      <c r="D434" s="17">
        <v>44.86291251484</v>
      </c>
      <c r="E434" s="17">
        <v>-93.335642052893</v>
      </c>
      <c r="F434" s="16" t="s">
        <v>510</v>
      </c>
      <c r="G434" s="16" t="s">
        <v>17</v>
      </c>
      <c r="H434" s="18" t="s">
        <v>633</v>
      </c>
      <c r="I434" s="19">
        <v>437.0</v>
      </c>
      <c r="J434" s="21"/>
      <c r="K434" s="11" t="str">
        <f>IFERROR(__xludf.DUMMYFUNCTION("IF(AND(REGEXMATCH($H434,""50( ?['fF]([oO]{2})?[tT]?)?( ?[eE][rR]{2}[oO][rR])"")=FALSE,$H434&lt;&gt;"""",$I434&lt;&gt;""""),HYPERLINK(""https://www.munzee.com/m/""&amp;$H434&amp;""/""&amp;$I434&amp;""/map/?lat=""&amp;$D434&amp;""&amp;lon=""&amp;$E434&amp;""&amp;type=""&amp;$G434&amp;""&amp;name=""&amp;SUBSTITUTE($A434,""#"&amp;""",""%23""),$H434&amp;""/""&amp;$I434),IF($H434&lt;&gt;"""",IF(REGEXMATCH($H434,""50( ?['fF]([oO]{2})?[tT]?)?( ?[eE][rR]{2}[oO][rR])""),HYPERLINK(""https://www.munzee.com/map/?sandbox=1&amp;lat=""&amp;$D434&amp;""&amp;lon=""&amp;$E434&amp;""&amp;name=""&amp;SUBSTITUTE($A434,""#"",""%23""),""SANDBOX"""&amp;"),HYPERLINK(""https://www.munzee.com/m/""&amp;$H434&amp;""/deploys/0/type/""&amp;IFNA(VLOOKUP($G434,IMPORTRANGE(""https://docs.google.com/spreadsheets/d/1DliIGyDywdzxhd4svtjaewR0p9Y5UBTMNMQ2PcXsqss"",""type data!E2:F""),2,FALSE),$G434)&amp;""/"",$H434)),""""))"),"Jens985/437")</f>
        <v>Jens985/437</v>
      </c>
      <c r="L434" s="19" t="b">
        <v>1</v>
      </c>
      <c r="M434" s="12">
        <f t="shared" si="1"/>
        <v>5</v>
      </c>
      <c r="N434" s="13"/>
      <c r="O434" s="13"/>
      <c r="P434" s="15"/>
    </row>
    <row r="435">
      <c r="A435" s="15" t="s">
        <v>634</v>
      </c>
      <c r="B435" s="16">
        <v>23.0</v>
      </c>
      <c r="C435" s="16">
        <v>8.0</v>
      </c>
      <c r="D435" s="17">
        <v>44.862912514661</v>
      </c>
      <c r="E435" s="17">
        <v>-93.335439271946</v>
      </c>
      <c r="F435" s="16" t="s">
        <v>41</v>
      </c>
      <c r="G435" s="16" t="s">
        <v>17</v>
      </c>
      <c r="H435" s="18" t="s">
        <v>635</v>
      </c>
      <c r="I435" s="19">
        <v>1058.0</v>
      </c>
      <c r="J435" s="21"/>
      <c r="K435" s="11" t="str">
        <f>IFERROR(__xludf.DUMMYFUNCTION("IF(AND(REGEXMATCH($H435,""50( ?['fF]([oO]{2})?[tT]?)?( ?[eE][rR]{2}[oO][rR])"")=FALSE,$H435&lt;&gt;"""",$I435&lt;&gt;""""),HYPERLINK(""https://www.munzee.com/m/""&amp;$H435&amp;""/""&amp;$I435&amp;""/map/?lat=""&amp;$D435&amp;""&amp;lon=""&amp;$E435&amp;""&amp;type=""&amp;$G435&amp;""&amp;name=""&amp;SUBSTITUTE($A435,""#"&amp;""",""%23""),$H435&amp;""/""&amp;$I435),IF($H435&lt;&gt;"""",IF(REGEXMATCH($H435,""50( ?['fF]([oO]{2})?[tT]?)?( ?[eE][rR]{2}[oO][rR])""),HYPERLINK(""https://www.munzee.com/map/?sandbox=1&amp;lat=""&amp;$D435&amp;""&amp;lon=""&amp;$E435&amp;""&amp;name=""&amp;SUBSTITUTE($A435,""#"",""%23""),""SANDBOX"""&amp;"),HYPERLINK(""https://www.munzee.com/m/""&amp;$H435&amp;""/deploys/0/type/""&amp;IFNA(VLOOKUP($G435,IMPORTRANGE(""https://docs.google.com/spreadsheets/d/1DliIGyDywdzxhd4svtjaewR0p9Y5UBTMNMQ2PcXsqss"",""type data!E2:F""),2,FALSE),$G435)&amp;""/"",$H435)),""""))"),"Lazylightning7/1058")</f>
        <v>Lazylightning7/1058</v>
      </c>
      <c r="L435" s="19" t="b">
        <v>1</v>
      </c>
      <c r="M435" s="12">
        <f t="shared" si="1"/>
        <v>2</v>
      </c>
      <c r="N435" s="13"/>
      <c r="O435" s="13"/>
      <c r="P435" s="15"/>
    </row>
    <row r="436">
      <c r="A436" s="15" t="s">
        <v>636</v>
      </c>
      <c r="B436" s="16">
        <v>23.0</v>
      </c>
      <c r="C436" s="16">
        <v>9.0</v>
      </c>
      <c r="D436" s="17">
        <v>44.862912514481</v>
      </c>
      <c r="E436" s="17">
        <v>-93.335236490999</v>
      </c>
      <c r="F436" s="16" t="s">
        <v>41</v>
      </c>
      <c r="G436" s="16" t="s">
        <v>410</v>
      </c>
      <c r="H436" s="18" t="s">
        <v>637</v>
      </c>
      <c r="I436" s="19">
        <v>673.0</v>
      </c>
      <c r="J436" s="21"/>
      <c r="K436" s="11" t="str">
        <f>IFERROR(__xludf.DUMMYFUNCTION("IF(AND(REGEXMATCH($H436,""50( ?['fF]([oO]{2})?[tT]?)?( ?[eE][rR]{2}[oO][rR])"")=FALSE,$H436&lt;&gt;"""",$I436&lt;&gt;""""),HYPERLINK(""https://www.munzee.com/m/""&amp;$H436&amp;""/""&amp;$I436&amp;""/map/?lat=""&amp;$D436&amp;""&amp;lon=""&amp;$E436&amp;""&amp;type=""&amp;$G436&amp;""&amp;name=""&amp;SUBSTITUTE($A436,""#"&amp;""",""%23""),$H436&amp;""/""&amp;$I436),IF($H436&lt;&gt;"""",IF(REGEXMATCH($H436,""50( ?['fF]([oO]{2})?[tT]?)?( ?[eE][rR]{2}[oO][rR])""),HYPERLINK(""https://www.munzee.com/map/?sandbox=1&amp;lat=""&amp;$D436&amp;""&amp;lon=""&amp;$E436&amp;""&amp;name=""&amp;SUBSTITUTE($A436,""#"",""%23""),""SANDBOX"""&amp;"),HYPERLINK(""https://www.munzee.com/m/""&amp;$H436&amp;""/deploys/0/type/""&amp;IFNA(VLOOKUP($G436,IMPORTRANGE(""https://docs.google.com/spreadsheets/d/1DliIGyDywdzxhd4svtjaewR0p9Y5UBTMNMQ2PcXsqss"",""type data!E2:F""),2,FALSE),$G436)&amp;""/"",$H436)),""""))"),"csnearl/673")</f>
        <v>csnearl/673</v>
      </c>
      <c r="L436" s="19" t="b">
        <v>1</v>
      </c>
      <c r="M436" s="12">
        <f t="shared" si="1"/>
        <v>4</v>
      </c>
      <c r="N436" s="13"/>
      <c r="O436" s="13"/>
      <c r="P436" s="15"/>
    </row>
    <row r="437">
      <c r="A437" s="15" t="s">
        <v>638</v>
      </c>
      <c r="B437" s="16">
        <v>23.0</v>
      </c>
      <c r="C437" s="16">
        <v>10.0</v>
      </c>
      <c r="D437" s="17">
        <v>44.862912514302</v>
      </c>
      <c r="E437" s="17">
        <v>-93.335033710052</v>
      </c>
      <c r="F437" s="16" t="s">
        <v>41</v>
      </c>
      <c r="G437" s="16" t="s">
        <v>410</v>
      </c>
      <c r="H437" s="18" t="s">
        <v>639</v>
      </c>
      <c r="I437" s="19">
        <v>215.0</v>
      </c>
      <c r="J437" s="20"/>
      <c r="K437" s="11" t="str">
        <f>IFERROR(__xludf.DUMMYFUNCTION("IF(AND(REGEXMATCH($H437,""50( ?['fF]([oO]{2})?[tT]?)?( ?[eE][rR]{2}[oO][rR])"")=FALSE,$H437&lt;&gt;"""",$I437&lt;&gt;""""),HYPERLINK(""https://www.munzee.com/m/""&amp;$H437&amp;""/""&amp;$I437&amp;""/map/?lat=""&amp;$D437&amp;""&amp;lon=""&amp;$E437&amp;""&amp;type=""&amp;$G437&amp;""&amp;name=""&amp;SUBSTITUTE($A437,""#"&amp;""",""%23""),$H437&amp;""/""&amp;$I437),IF($H437&lt;&gt;"""",IF(REGEXMATCH($H437,""50( ?['fF]([oO]{2})?[tT]?)?( ?[eE][rR]{2}[oO][rR])""),HYPERLINK(""https://www.munzee.com/map/?sandbox=1&amp;lat=""&amp;$D437&amp;""&amp;lon=""&amp;$E437&amp;""&amp;name=""&amp;SUBSTITUTE($A437,""#"",""%23""),""SANDBOX"""&amp;"),HYPERLINK(""https://www.munzee.com/m/""&amp;$H437&amp;""/deploys/0/type/""&amp;IFNA(VLOOKUP($G437,IMPORTRANGE(""https://docs.google.com/spreadsheets/d/1DliIGyDywdzxhd4svtjaewR0p9Y5UBTMNMQ2PcXsqss"",""type data!E2:F""),2,FALSE),$G437)&amp;""/"",$H437)),""""))"),"Stoopy/215")</f>
        <v>Stoopy/215</v>
      </c>
      <c r="L437" s="19" t="b">
        <v>1</v>
      </c>
      <c r="M437" s="12">
        <f t="shared" si="1"/>
        <v>1</v>
      </c>
      <c r="N437" s="13"/>
      <c r="O437" s="13"/>
      <c r="P437" s="15"/>
    </row>
    <row r="438">
      <c r="A438" s="15" t="s">
        <v>640</v>
      </c>
      <c r="B438" s="16">
        <v>23.0</v>
      </c>
      <c r="C438" s="16">
        <v>11.0</v>
      </c>
      <c r="D438" s="17">
        <v>44.862912514123</v>
      </c>
      <c r="E438" s="17">
        <v>-93.334830929106</v>
      </c>
      <c r="F438" s="16" t="s">
        <v>41</v>
      </c>
      <c r="G438" s="16" t="s">
        <v>410</v>
      </c>
      <c r="H438" s="18" t="s">
        <v>249</v>
      </c>
      <c r="I438" s="19">
        <v>5428.0</v>
      </c>
      <c r="J438" s="20"/>
      <c r="K438" s="11" t="str">
        <f>IFERROR(__xludf.DUMMYFUNCTION("IF(AND(REGEXMATCH($H438,""50( ?['fF]([oO]{2})?[tT]?)?( ?[eE][rR]{2}[oO][rR])"")=FALSE,$H438&lt;&gt;"""",$I438&lt;&gt;""""),HYPERLINK(""https://www.munzee.com/m/""&amp;$H438&amp;""/""&amp;$I438&amp;""/map/?lat=""&amp;$D438&amp;""&amp;lon=""&amp;$E438&amp;""&amp;type=""&amp;$G438&amp;""&amp;name=""&amp;SUBSTITUTE($A438,""#"&amp;""",""%23""),$H438&amp;""/""&amp;$I438),IF($H438&lt;&gt;"""",IF(REGEXMATCH($H438,""50( ?['fF]([oO]{2})?[tT]?)?( ?[eE][rR]{2}[oO][rR])""),HYPERLINK(""https://www.munzee.com/map/?sandbox=1&amp;lat=""&amp;$D438&amp;""&amp;lon=""&amp;$E438&amp;""&amp;name=""&amp;SUBSTITUTE($A438,""#"",""%23""),""SANDBOX"""&amp;"),HYPERLINK(""https://www.munzee.com/m/""&amp;$H438&amp;""/deploys/0/type/""&amp;IFNA(VLOOKUP($G438,IMPORTRANGE(""https://docs.google.com/spreadsheets/d/1DliIGyDywdzxhd4svtjaewR0p9Y5UBTMNMQ2PcXsqss"",""type data!E2:F""),2,FALSE),$G438)&amp;""/"",$H438)),""""))"),"janzattic/5428")</f>
        <v>janzattic/5428</v>
      </c>
      <c r="L438" s="19" t="b">
        <v>1</v>
      </c>
      <c r="M438" s="12">
        <f t="shared" si="1"/>
        <v>2</v>
      </c>
      <c r="N438" s="13"/>
      <c r="O438" s="13"/>
      <c r="P438" s="15"/>
    </row>
    <row r="439">
      <c r="A439" s="15" t="s">
        <v>641</v>
      </c>
      <c r="B439" s="16">
        <v>23.0</v>
      </c>
      <c r="C439" s="16">
        <v>12.0</v>
      </c>
      <c r="D439" s="17">
        <v>44.862912513943</v>
      </c>
      <c r="E439" s="17">
        <v>-93.334628148159</v>
      </c>
      <c r="F439" s="16" t="s">
        <v>41</v>
      </c>
      <c r="G439" s="16" t="s">
        <v>410</v>
      </c>
      <c r="H439" s="18" t="s">
        <v>637</v>
      </c>
      <c r="I439" s="19">
        <v>684.0</v>
      </c>
      <c r="J439" s="21"/>
      <c r="K439" s="11" t="str">
        <f>IFERROR(__xludf.DUMMYFUNCTION("IF(AND(REGEXMATCH($H439,""50( ?['fF]([oO]{2})?[tT]?)?( ?[eE][rR]{2}[oO][rR])"")=FALSE,$H439&lt;&gt;"""",$I439&lt;&gt;""""),HYPERLINK(""https://www.munzee.com/m/""&amp;$H439&amp;""/""&amp;$I439&amp;""/map/?lat=""&amp;$D439&amp;""&amp;lon=""&amp;$E439&amp;""&amp;type=""&amp;$G439&amp;""&amp;name=""&amp;SUBSTITUTE($A439,""#"&amp;""",""%23""),$H439&amp;""/""&amp;$I439),IF($H439&lt;&gt;"""",IF(REGEXMATCH($H439,""50( ?['fF]([oO]{2})?[tT]?)?( ?[eE][rR]{2}[oO][rR])""),HYPERLINK(""https://www.munzee.com/map/?sandbox=1&amp;lat=""&amp;$D439&amp;""&amp;lon=""&amp;$E439&amp;""&amp;name=""&amp;SUBSTITUTE($A439,""#"",""%23""),""SANDBOX"""&amp;"),HYPERLINK(""https://www.munzee.com/m/""&amp;$H439&amp;""/deploys/0/type/""&amp;IFNA(VLOOKUP($G439,IMPORTRANGE(""https://docs.google.com/spreadsheets/d/1DliIGyDywdzxhd4svtjaewR0p9Y5UBTMNMQ2PcXsqss"",""type data!E2:F""),2,FALSE),$G439)&amp;""/"",$H439)),""""))"),"csnearl/684")</f>
        <v>csnearl/684</v>
      </c>
      <c r="L439" s="19" t="b">
        <v>1</v>
      </c>
      <c r="M439" s="12">
        <f t="shared" si="1"/>
        <v>4</v>
      </c>
      <c r="N439" s="13"/>
      <c r="O439" s="13"/>
      <c r="P439" s="15"/>
    </row>
    <row r="440">
      <c r="A440" s="15" t="s">
        <v>642</v>
      </c>
      <c r="B440" s="16">
        <v>23.0</v>
      </c>
      <c r="C440" s="16">
        <v>13.0</v>
      </c>
      <c r="D440" s="17">
        <v>44.862912513764</v>
      </c>
      <c r="E440" s="17">
        <v>-93.334425367212</v>
      </c>
      <c r="F440" s="16" t="s">
        <v>41</v>
      </c>
      <c r="G440" s="16" t="s">
        <v>410</v>
      </c>
      <c r="H440" s="18" t="s">
        <v>643</v>
      </c>
      <c r="I440" s="19">
        <v>542.0</v>
      </c>
      <c r="J440" s="20"/>
      <c r="K440" s="11" t="str">
        <f>IFERROR(__xludf.DUMMYFUNCTION("IF(AND(REGEXMATCH($H440,""50( ?['fF]([oO]{2})?[tT]?)?( ?[eE][rR]{2}[oO][rR])"")=FALSE,$H440&lt;&gt;"""",$I440&lt;&gt;""""),HYPERLINK(""https://www.munzee.com/m/""&amp;$H440&amp;""/""&amp;$I440&amp;""/map/?lat=""&amp;$D440&amp;""&amp;lon=""&amp;$E440&amp;""&amp;type=""&amp;$G440&amp;""&amp;name=""&amp;SUBSTITUTE($A440,""#"&amp;""",""%23""),$H440&amp;""/""&amp;$I440),IF($H440&lt;&gt;"""",IF(REGEXMATCH($H440,""50( ?['fF]([oO]{2})?[tT]?)?( ?[eE][rR]{2}[oO][rR])""),HYPERLINK(""https://www.munzee.com/map/?sandbox=1&amp;lat=""&amp;$D440&amp;""&amp;lon=""&amp;$E440&amp;""&amp;name=""&amp;SUBSTITUTE($A440,""#"",""%23""),""SANDBOX"""&amp;"),HYPERLINK(""https://www.munzee.com/m/""&amp;$H440&amp;""/deploys/0/type/""&amp;IFNA(VLOOKUP($G440,IMPORTRANGE(""https://docs.google.com/spreadsheets/d/1DliIGyDywdzxhd4svtjaewR0p9Y5UBTMNMQ2PcXsqss"",""type data!E2:F""),2,FALSE),$G440)&amp;""/"",$H440)),""""))"),"LordElwood/542")</f>
        <v>LordElwood/542</v>
      </c>
      <c r="L440" s="19" t="b">
        <v>1</v>
      </c>
      <c r="M440" s="12">
        <f t="shared" si="1"/>
        <v>1</v>
      </c>
      <c r="N440" s="13"/>
      <c r="O440" s="13"/>
      <c r="P440" s="15"/>
    </row>
    <row r="441">
      <c r="A441" s="15" t="s">
        <v>644</v>
      </c>
      <c r="B441" s="16">
        <v>23.0</v>
      </c>
      <c r="C441" s="16">
        <v>14.0</v>
      </c>
      <c r="D441" s="17">
        <v>44.862912513584</v>
      </c>
      <c r="E441" s="17">
        <v>-93.334222586265</v>
      </c>
      <c r="F441" s="16" t="s">
        <v>645</v>
      </c>
      <c r="G441" s="16" t="s">
        <v>17</v>
      </c>
      <c r="H441" s="18" t="s">
        <v>219</v>
      </c>
      <c r="I441" s="19">
        <v>896.0</v>
      </c>
      <c r="J441" s="21"/>
      <c r="K441" s="11" t="str">
        <f>IFERROR(__xludf.DUMMYFUNCTION("IF(AND(REGEXMATCH($H441,""50( ?['fF]([oO]{2})?[tT]?)?( ?[eE][rR]{2}[oO][rR])"")=FALSE,$H441&lt;&gt;"""",$I441&lt;&gt;""""),HYPERLINK(""https://www.munzee.com/m/""&amp;$H441&amp;""/""&amp;$I441&amp;""/map/?lat=""&amp;$D441&amp;""&amp;lon=""&amp;$E441&amp;""&amp;type=""&amp;$G441&amp;""&amp;name=""&amp;SUBSTITUTE($A441,""#"&amp;""",""%23""),$H441&amp;""/""&amp;$I441),IF($H441&lt;&gt;"""",IF(REGEXMATCH($H441,""50( ?['fF]([oO]{2})?[tT]?)?( ?[eE][rR]{2}[oO][rR])""),HYPERLINK(""https://www.munzee.com/map/?sandbox=1&amp;lat=""&amp;$D441&amp;""&amp;lon=""&amp;$E441&amp;""&amp;name=""&amp;SUBSTITUTE($A441,""#"",""%23""),""SANDBOX"""&amp;"),HYPERLINK(""https://www.munzee.com/m/""&amp;$H441&amp;""/deploys/0/type/""&amp;IFNA(VLOOKUP($G441,IMPORTRANGE(""https://docs.google.com/spreadsheets/d/1DliIGyDywdzxhd4svtjaewR0p9Y5UBTMNMQ2PcXsqss"",""type data!E2:F""),2,FALSE),$G441)&amp;""/"",$H441)),""""))"),"Quiltingisfuntoo/896")</f>
        <v>Quiltingisfuntoo/896</v>
      </c>
      <c r="L441" s="19" t="b">
        <v>1</v>
      </c>
      <c r="M441" s="12">
        <f t="shared" si="1"/>
        <v>8</v>
      </c>
      <c r="N441" s="13"/>
      <c r="O441" s="13"/>
      <c r="P441" s="29"/>
    </row>
    <row r="442">
      <c r="A442" s="15" t="s">
        <v>646</v>
      </c>
      <c r="B442" s="16">
        <v>23.0</v>
      </c>
      <c r="C442" s="16">
        <v>15.0</v>
      </c>
      <c r="D442" s="17">
        <v>44.862912513405</v>
      </c>
      <c r="E442" s="17">
        <v>-93.334019805318</v>
      </c>
      <c r="F442" s="16" t="s">
        <v>645</v>
      </c>
      <c r="G442" s="16" t="s">
        <v>17</v>
      </c>
      <c r="H442" s="18" t="s">
        <v>328</v>
      </c>
      <c r="I442" s="19">
        <v>746.0</v>
      </c>
      <c r="J442" s="21"/>
      <c r="K442" s="11" t="str">
        <f>IFERROR(__xludf.DUMMYFUNCTION("IF(AND(REGEXMATCH($H442,""50( ?['fF]([oO]{2})?[tT]?)?( ?[eE][rR]{2}[oO][rR])"")=FALSE,$H442&lt;&gt;"""",$I442&lt;&gt;""""),HYPERLINK(""https://www.munzee.com/m/""&amp;$H442&amp;""/""&amp;$I442&amp;""/map/?lat=""&amp;$D442&amp;""&amp;lon=""&amp;$E442&amp;""&amp;type=""&amp;$G442&amp;""&amp;name=""&amp;SUBSTITUTE($A442,""#"&amp;""",""%23""),$H442&amp;""/""&amp;$I442),IF($H442&lt;&gt;"""",IF(REGEXMATCH($H442,""50( ?['fF]([oO]{2})?[tT]?)?( ?[eE][rR]{2}[oO][rR])""),HYPERLINK(""https://www.munzee.com/map/?sandbox=1&amp;lat=""&amp;$D442&amp;""&amp;lon=""&amp;$E442&amp;""&amp;name=""&amp;SUBSTITUTE($A442,""#"",""%23""),""SANDBOX"""&amp;"),HYPERLINK(""https://www.munzee.com/m/""&amp;$H442&amp;""/deploys/0/type/""&amp;IFNA(VLOOKUP($G442,IMPORTRANGE(""https://docs.google.com/spreadsheets/d/1DliIGyDywdzxhd4svtjaewR0p9Y5UBTMNMQ2PcXsqss"",""type data!E2:F""),2,FALSE),$G442)&amp;""/"",$H442)),""""))"),"SKlick/746")</f>
        <v>SKlick/746</v>
      </c>
      <c r="L442" s="19" t="b">
        <v>1</v>
      </c>
      <c r="M442" s="12">
        <f t="shared" si="1"/>
        <v>4</v>
      </c>
      <c r="N442" s="13"/>
      <c r="O442" s="13"/>
      <c r="P442" s="15"/>
    </row>
    <row r="443">
      <c r="A443" s="15" t="s">
        <v>647</v>
      </c>
      <c r="B443" s="16">
        <v>23.0</v>
      </c>
      <c r="C443" s="16">
        <v>16.0</v>
      </c>
      <c r="D443" s="17">
        <v>44.862912513225</v>
      </c>
      <c r="E443" s="17">
        <v>-93.333817024371</v>
      </c>
      <c r="F443" s="16" t="s">
        <v>41</v>
      </c>
      <c r="G443" s="16" t="s">
        <v>17</v>
      </c>
      <c r="H443" s="18" t="s">
        <v>627</v>
      </c>
      <c r="I443" s="19">
        <v>1366.0</v>
      </c>
      <c r="J443" s="21"/>
      <c r="K443" s="11" t="str">
        <f>IFERROR(__xludf.DUMMYFUNCTION("IF(AND(REGEXMATCH($H443,""50( ?['fF]([oO]{2})?[tT]?)?( ?[eE][rR]{2}[oO][rR])"")=FALSE,$H443&lt;&gt;"""",$I443&lt;&gt;""""),HYPERLINK(""https://www.munzee.com/m/""&amp;$H443&amp;""/""&amp;$I443&amp;""/map/?lat=""&amp;$D443&amp;""&amp;lon=""&amp;$E443&amp;""&amp;type=""&amp;$G443&amp;""&amp;name=""&amp;SUBSTITUTE($A443,""#"&amp;""",""%23""),$H443&amp;""/""&amp;$I443),IF($H443&lt;&gt;"""",IF(REGEXMATCH($H443,""50( ?['fF]([oO]{2})?[tT]?)?( ?[eE][rR]{2}[oO][rR])""),HYPERLINK(""https://www.munzee.com/map/?sandbox=1&amp;lat=""&amp;$D443&amp;""&amp;lon=""&amp;$E443&amp;""&amp;name=""&amp;SUBSTITUTE($A443,""#"",""%23""),""SANDBOX"""&amp;"),HYPERLINK(""https://www.munzee.com/m/""&amp;$H443&amp;""/deploys/0/type/""&amp;IFNA(VLOOKUP($G443,IMPORTRANGE(""https://docs.google.com/spreadsheets/d/1DliIGyDywdzxhd4svtjaewR0p9Y5UBTMNMQ2PcXsqss"",""type data!E2:F""),2,FALSE),$G443)&amp;""/"",$H443)),""""))"),"mayberryman/1366")</f>
        <v>mayberryman/1366</v>
      </c>
      <c r="L443" s="19" t="b">
        <v>1</v>
      </c>
      <c r="M443" s="12">
        <f t="shared" si="1"/>
        <v>3</v>
      </c>
      <c r="N443" s="13"/>
      <c r="O443" s="13"/>
      <c r="P443" s="15"/>
    </row>
    <row r="444">
      <c r="A444" s="15" t="s">
        <v>648</v>
      </c>
      <c r="B444" s="16">
        <v>23.0</v>
      </c>
      <c r="C444" s="16">
        <v>17.0</v>
      </c>
      <c r="D444" s="17">
        <v>44.862912513046</v>
      </c>
      <c r="E444" s="17">
        <v>-93.333614243425</v>
      </c>
      <c r="F444" s="16" t="s">
        <v>41</v>
      </c>
      <c r="G444" s="16" t="s">
        <v>17</v>
      </c>
      <c r="H444" s="18" t="s">
        <v>649</v>
      </c>
      <c r="I444" s="19">
        <v>1604.0</v>
      </c>
      <c r="J444" s="20"/>
      <c r="K444" s="11" t="str">
        <f>IFERROR(__xludf.DUMMYFUNCTION("IF(AND(REGEXMATCH($H444,""50( ?['fF]([oO]{2})?[tT]?)?( ?[eE][rR]{2}[oO][rR])"")=FALSE,$H444&lt;&gt;"""",$I444&lt;&gt;""""),HYPERLINK(""https://www.munzee.com/m/""&amp;$H444&amp;""/""&amp;$I444&amp;""/map/?lat=""&amp;$D444&amp;""&amp;lon=""&amp;$E444&amp;""&amp;type=""&amp;$G444&amp;""&amp;name=""&amp;SUBSTITUTE($A444,""#"&amp;""",""%23""),$H444&amp;""/""&amp;$I444),IF($H444&lt;&gt;"""",IF(REGEXMATCH($H444,""50( ?['fF]([oO]{2})?[tT]?)?( ?[eE][rR]{2}[oO][rR])""),HYPERLINK(""https://www.munzee.com/map/?sandbox=1&amp;lat=""&amp;$D444&amp;""&amp;lon=""&amp;$E444&amp;""&amp;name=""&amp;SUBSTITUTE($A444,""#"",""%23""),""SANDBOX"""&amp;"),HYPERLINK(""https://www.munzee.com/m/""&amp;$H444&amp;""/deploys/0/type/""&amp;IFNA(VLOOKUP($G444,IMPORTRANGE(""https://docs.google.com/spreadsheets/d/1DliIGyDywdzxhd4svtjaewR0p9Y5UBTMNMQ2PcXsqss"",""type data!E2:F""),2,FALSE),$G444)&amp;""/"",$H444)),""""))"),"oriole/1604")</f>
        <v>oriole/1604</v>
      </c>
      <c r="L444" s="19" t="b">
        <v>1</v>
      </c>
      <c r="M444" s="12">
        <f t="shared" si="1"/>
        <v>4</v>
      </c>
      <c r="N444" s="13"/>
      <c r="O444" s="13"/>
      <c r="P444" s="29"/>
    </row>
    <row r="445">
      <c r="A445" s="15" t="s">
        <v>650</v>
      </c>
      <c r="B445" s="16">
        <v>23.0</v>
      </c>
      <c r="C445" s="16">
        <v>18.0</v>
      </c>
      <c r="D445" s="17">
        <v>44.862912512867</v>
      </c>
      <c r="E445" s="17">
        <v>-93.333411462478</v>
      </c>
      <c r="F445" s="16" t="s">
        <v>41</v>
      </c>
      <c r="G445" s="16" t="s">
        <v>17</v>
      </c>
      <c r="H445" s="18" t="s">
        <v>651</v>
      </c>
      <c r="I445" s="19">
        <v>15505.0</v>
      </c>
      <c r="J445" s="20"/>
      <c r="K445" s="11" t="str">
        <f>IFERROR(__xludf.DUMMYFUNCTION("IF(AND(REGEXMATCH($H445,""50( ?['fF]([oO]{2})?[tT]?)?( ?[eE][rR]{2}[oO][rR])"")=FALSE,$H445&lt;&gt;"""",$I445&lt;&gt;""""),HYPERLINK(""https://www.munzee.com/m/""&amp;$H445&amp;""/""&amp;$I445&amp;""/map/?lat=""&amp;$D445&amp;""&amp;lon=""&amp;$E445&amp;""&amp;type=""&amp;$G445&amp;""&amp;name=""&amp;SUBSTITUTE($A445,""#"&amp;""",""%23""),$H445&amp;""/""&amp;$I445),IF($H445&lt;&gt;"""",IF(REGEXMATCH($H445,""50( ?['fF]([oO]{2})?[tT]?)?( ?[eE][rR]{2}[oO][rR])""),HYPERLINK(""https://www.munzee.com/map/?sandbox=1&amp;lat=""&amp;$D445&amp;""&amp;lon=""&amp;$E445&amp;""&amp;name=""&amp;SUBSTITUTE($A445,""#"",""%23""),""SANDBOX"""&amp;"),HYPERLINK(""https://www.munzee.com/m/""&amp;$H445&amp;""/deploys/0/type/""&amp;IFNA(VLOOKUP($G445,IMPORTRANGE(""https://docs.google.com/spreadsheets/d/1DliIGyDywdzxhd4svtjaewR0p9Y5UBTMNMQ2PcXsqss"",""type data!E2:F""),2,FALSE),$G445)&amp;""/"",$H445)),""""))"),"jacksparrow/15505")</f>
        <v>jacksparrow/15505</v>
      </c>
      <c r="L445" s="19" t="b">
        <v>1</v>
      </c>
      <c r="M445" s="12">
        <f t="shared" si="1"/>
        <v>2</v>
      </c>
      <c r="N445" s="13"/>
      <c r="O445" s="13"/>
      <c r="P445" s="29"/>
    </row>
    <row r="446">
      <c r="A446" s="15" t="s">
        <v>652</v>
      </c>
      <c r="B446" s="16">
        <v>23.0</v>
      </c>
      <c r="C446" s="16">
        <v>19.0</v>
      </c>
      <c r="D446" s="17">
        <v>44.862912512687</v>
      </c>
      <c r="E446" s="17">
        <v>-93.333208681531</v>
      </c>
      <c r="F446" s="16" t="s">
        <v>41</v>
      </c>
      <c r="G446" s="16" t="s">
        <v>17</v>
      </c>
      <c r="H446" s="18" t="s">
        <v>653</v>
      </c>
      <c r="I446" s="19">
        <v>8574.0</v>
      </c>
      <c r="J446" s="21"/>
      <c r="K446" s="11" t="str">
        <f>IFERROR(__xludf.DUMMYFUNCTION("IF(AND(REGEXMATCH($H446,""50( ?['fF]([oO]{2})?[tT]?)?( ?[eE][rR]{2}[oO][rR])"")=FALSE,$H446&lt;&gt;"""",$I446&lt;&gt;""""),HYPERLINK(""https://www.munzee.com/m/""&amp;$H446&amp;""/""&amp;$I446&amp;""/map/?lat=""&amp;$D446&amp;""&amp;lon=""&amp;$E446&amp;""&amp;type=""&amp;$G446&amp;""&amp;name=""&amp;SUBSTITUTE($A446,""#"&amp;""",""%23""),$H446&amp;""/""&amp;$I446),IF($H446&lt;&gt;"""",IF(REGEXMATCH($H446,""50( ?['fF]([oO]{2})?[tT]?)?( ?[eE][rR]{2}[oO][rR])""),HYPERLINK(""https://www.munzee.com/map/?sandbox=1&amp;lat=""&amp;$D446&amp;""&amp;lon=""&amp;$E446&amp;""&amp;name=""&amp;SUBSTITUTE($A446,""#"",""%23""),""SANDBOX"""&amp;"),HYPERLINK(""https://www.munzee.com/m/""&amp;$H446&amp;""/deploys/0/type/""&amp;IFNA(VLOOKUP($G446,IMPORTRANGE(""https://docs.google.com/spreadsheets/d/1DliIGyDywdzxhd4svtjaewR0p9Y5UBTMNMQ2PcXsqss"",""type data!E2:F""),2,FALSE),$G446)&amp;""/"",$H446)),""""))"),"chickenrun/8574")</f>
        <v>chickenrun/8574</v>
      </c>
      <c r="L446" s="19" t="b">
        <v>1</v>
      </c>
      <c r="M446" s="12">
        <f t="shared" si="1"/>
        <v>5</v>
      </c>
      <c r="N446" s="13"/>
      <c r="O446" s="13"/>
      <c r="P446" s="29"/>
    </row>
    <row r="447">
      <c r="A447" s="15" t="s">
        <v>654</v>
      </c>
      <c r="B447" s="16">
        <v>23.0</v>
      </c>
      <c r="C447" s="16">
        <v>20.0</v>
      </c>
      <c r="D447" s="17">
        <v>44.862912512508</v>
      </c>
      <c r="E447" s="17">
        <v>-93.333005900584</v>
      </c>
      <c r="F447" s="16" t="s">
        <v>41</v>
      </c>
      <c r="G447" s="16" t="s">
        <v>17</v>
      </c>
      <c r="H447" s="18" t="s">
        <v>629</v>
      </c>
      <c r="I447" s="19">
        <v>2003.0</v>
      </c>
      <c r="J447" s="20"/>
      <c r="K447" s="11" t="str">
        <f>IFERROR(__xludf.DUMMYFUNCTION("IF(AND(REGEXMATCH($H447,""50( ?['fF]([oO]{2})?[tT]?)?( ?[eE][rR]{2}[oO][rR])"")=FALSE,$H447&lt;&gt;"""",$I447&lt;&gt;""""),HYPERLINK(""https://www.munzee.com/m/""&amp;$H447&amp;""/""&amp;$I447&amp;""/map/?lat=""&amp;$D447&amp;""&amp;lon=""&amp;$E447&amp;""&amp;type=""&amp;$G447&amp;""&amp;name=""&amp;SUBSTITUTE($A447,""#"&amp;""",""%23""),$H447&amp;""/""&amp;$I447),IF($H447&lt;&gt;"""",IF(REGEXMATCH($H447,""50( ?['fF]([oO]{2})?[tT]?)?( ?[eE][rR]{2}[oO][rR])""),HYPERLINK(""https://www.munzee.com/map/?sandbox=1&amp;lat=""&amp;$D447&amp;""&amp;lon=""&amp;$E447&amp;""&amp;name=""&amp;SUBSTITUTE($A447,""#"",""%23""),""SANDBOX"""&amp;"),HYPERLINK(""https://www.munzee.com/m/""&amp;$H447&amp;""/deploys/0/type/""&amp;IFNA(VLOOKUP($G447,IMPORTRANGE(""https://docs.google.com/spreadsheets/d/1DliIGyDywdzxhd4svtjaewR0p9Y5UBTMNMQ2PcXsqss"",""type data!E2:F""),2,FALSE),$G447)&amp;""/"",$H447)),""""))"),"par72/2003")</f>
        <v>par72/2003</v>
      </c>
      <c r="L447" s="19" t="b">
        <v>1</v>
      </c>
      <c r="M447" s="12">
        <f t="shared" si="1"/>
        <v>4</v>
      </c>
      <c r="N447" s="13"/>
      <c r="O447" s="13"/>
      <c r="P447" s="15"/>
    </row>
    <row r="448">
      <c r="A448" s="15" t="s">
        <v>655</v>
      </c>
      <c r="B448" s="16">
        <v>23.0</v>
      </c>
      <c r="C448" s="16">
        <v>21.0</v>
      </c>
      <c r="D448" s="17">
        <v>44.862912512328</v>
      </c>
      <c r="E448" s="17">
        <v>-93.332803119638</v>
      </c>
      <c r="F448" s="16" t="s">
        <v>41</v>
      </c>
      <c r="G448" s="16" t="s">
        <v>17</v>
      </c>
      <c r="H448" s="18" t="s">
        <v>625</v>
      </c>
      <c r="I448" s="19">
        <v>7544.0</v>
      </c>
      <c r="J448" s="21"/>
      <c r="K448" s="11" t="str">
        <f>IFERROR(__xludf.DUMMYFUNCTION("IF(AND(REGEXMATCH($H448,""50( ?['fF]([oO]{2})?[tT]?)?( ?[eE][rR]{2}[oO][rR])"")=FALSE,$H448&lt;&gt;"""",$I448&lt;&gt;""""),HYPERLINK(""https://www.munzee.com/m/""&amp;$H448&amp;""/""&amp;$I448&amp;""/map/?lat=""&amp;$D448&amp;""&amp;lon=""&amp;$E448&amp;""&amp;type=""&amp;$G448&amp;""&amp;name=""&amp;SUBSTITUTE($A448,""#"&amp;""",""%23""),$H448&amp;""/""&amp;$I448),IF($H448&lt;&gt;"""",IF(REGEXMATCH($H448,""50( ?['fF]([oO]{2})?[tT]?)?( ?[eE][rR]{2}[oO][rR])""),HYPERLINK(""https://www.munzee.com/map/?sandbox=1&amp;lat=""&amp;$D448&amp;""&amp;lon=""&amp;$E448&amp;""&amp;name=""&amp;SUBSTITUTE($A448,""#"",""%23""),""SANDBOX"""&amp;"),HYPERLINK(""https://www.munzee.com/m/""&amp;$H448&amp;""/deploys/0/type/""&amp;IFNA(VLOOKUP($G448,IMPORTRANGE(""https://docs.google.com/spreadsheets/d/1DliIGyDywdzxhd4svtjaewR0p9Y5UBTMNMQ2PcXsqss"",""type data!E2:F""),2,FALSE),$G448)&amp;""/"",$H448)),""""))"),"q22q17/7544")</f>
        <v>q22q17/7544</v>
      </c>
      <c r="L448" s="19" t="b">
        <v>1</v>
      </c>
      <c r="M448" s="12">
        <f t="shared" si="1"/>
        <v>2</v>
      </c>
      <c r="N448" s="13"/>
      <c r="O448" s="13"/>
      <c r="P448" s="29"/>
    </row>
    <row r="449">
      <c r="A449" s="15" t="s">
        <v>656</v>
      </c>
      <c r="B449" s="16">
        <v>23.0</v>
      </c>
      <c r="C449" s="16">
        <v>22.0</v>
      </c>
      <c r="D449" s="17">
        <v>44.862912512149</v>
      </c>
      <c r="E449" s="17">
        <v>-93.332600338691</v>
      </c>
      <c r="F449" s="16" t="s">
        <v>510</v>
      </c>
      <c r="G449" s="16" t="s">
        <v>17</v>
      </c>
      <c r="H449" s="18" t="s">
        <v>511</v>
      </c>
      <c r="I449" s="19">
        <v>15385.0</v>
      </c>
      <c r="J449" s="27"/>
      <c r="K449" s="11" t="str">
        <f>IFERROR(__xludf.DUMMYFUNCTION("IF(AND(REGEXMATCH($H449,""50( ?['fF]([oO]{2})?[tT]?)?( ?[eE][rR]{2}[oO][rR])"")=FALSE,$H449&lt;&gt;"""",$I449&lt;&gt;""""),HYPERLINK(""https://www.munzee.com/m/""&amp;$H449&amp;""/""&amp;$I449&amp;""/map/?lat=""&amp;$D449&amp;""&amp;lon=""&amp;$E449&amp;""&amp;type=""&amp;$G449&amp;""&amp;name=""&amp;SUBSTITUTE($A449,""#"&amp;""",""%23""),$H449&amp;""/""&amp;$I449),IF($H449&lt;&gt;"""",IF(REGEXMATCH($H449,""50( ?['fF]([oO]{2})?[tT]?)?( ?[eE][rR]{2}[oO][rR])""),HYPERLINK(""https://www.munzee.com/map/?sandbox=1&amp;lat=""&amp;$D449&amp;""&amp;lon=""&amp;$E449&amp;""&amp;name=""&amp;SUBSTITUTE($A449,""#"",""%23""),""SANDBOX"""&amp;"),HYPERLINK(""https://www.munzee.com/m/""&amp;$H449&amp;""/deploys/0/type/""&amp;IFNA(VLOOKUP($G449,IMPORTRANGE(""https://docs.google.com/spreadsheets/d/1DliIGyDywdzxhd4svtjaewR0p9Y5UBTMNMQ2PcXsqss"",""type data!E2:F""),2,FALSE),$G449)&amp;""/"",$H449)),""""))"),"c-bn/15385")</f>
        <v>c-bn/15385</v>
      </c>
      <c r="L449" s="19" t="b">
        <v>1</v>
      </c>
      <c r="M449" s="12">
        <f t="shared" si="1"/>
        <v>5</v>
      </c>
      <c r="N449" s="13"/>
      <c r="O449" s="13"/>
      <c r="P449" s="15"/>
    </row>
    <row r="450">
      <c r="A450" s="15" t="s">
        <v>657</v>
      </c>
      <c r="B450" s="16">
        <v>23.0</v>
      </c>
      <c r="C450" s="16">
        <v>23.0</v>
      </c>
      <c r="D450" s="17">
        <v>44.86291251197</v>
      </c>
      <c r="E450" s="17">
        <v>-93.332397557744</v>
      </c>
      <c r="F450" s="16" t="s">
        <v>510</v>
      </c>
      <c r="G450" s="16" t="s">
        <v>17</v>
      </c>
      <c r="H450" s="18" t="s">
        <v>543</v>
      </c>
      <c r="I450" s="19">
        <v>2571.0</v>
      </c>
      <c r="J450" s="21"/>
      <c r="K450" s="11" t="str">
        <f>IFERROR(__xludf.DUMMYFUNCTION("IF(AND(REGEXMATCH($H450,""50( ?['fF]([oO]{2})?[tT]?)?( ?[eE][rR]{2}[oO][rR])"")=FALSE,$H450&lt;&gt;"""",$I450&lt;&gt;""""),HYPERLINK(""https://www.munzee.com/m/""&amp;$H450&amp;""/""&amp;$I450&amp;""/map/?lat=""&amp;$D450&amp;""&amp;lon=""&amp;$E450&amp;""&amp;type=""&amp;$G450&amp;""&amp;name=""&amp;SUBSTITUTE($A450,""#"&amp;""",""%23""),$H450&amp;""/""&amp;$I450),IF($H450&lt;&gt;"""",IF(REGEXMATCH($H450,""50( ?['fF]([oO]{2})?[tT]?)?( ?[eE][rR]{2}[oO][rR])""),HYPERLINK(""https://www.munzee.com/map/?sandbox=1&amp;lat=""&amp;$D450&amp;""&amp;lon=""&amp;$E450&amp;""&amp;name=""&amp;SUBSTITUTE($A450,""#"",""%23""),""SANDBOX"""&amp;"),HYPERLINK(""https://www.munzee.com/m/""&amp;$H450&amp;""/deploys/0/type/""&amp;IFNA(VLOOKUP($G450,IMPORTRANGE(""https://docs.google.com/spreadsheets/d/1DliIGyDywdzxhd4svtjaewR0p9Y5UBTMNMQ2PcXsqss"",""type data!E2:F""),2,FALSE),$G450)&amp;""/"",$H450)),""""))"),"ivwarrior/2571")</f>
        <v>ivwarrior/2571</v>
      </c>
      <c r="L450" s="19" t="b">
        <v>1</v>
      </c>
      <c r="M450" s="12">
        <f t="shared" si="1"/>
        <v>5</v>
      </c>
      <c r="N450" s="13"/>
      <c r="O450" s="13"/>
      <c r="P450" s="29"/>
    </row>
    <row r="451">
      <c r="A451" s="15" t="s">
        <v>658</v>
      </c>
      <c r="B451" s="16">
        <v>23.0</v>
      </c>
      <c r="C451" s="16">
        <v>24.0</v>
      </c>
      <c r="D451" s="17">
        <v>44.86291251179</v>
      </c>
      <c r="E451" s="17">
        <v>-93.332194776797</v>
      </c>
      <c r="F451" s="16" t="s">
        <v>41</v>
      </c>
      <c r="G451" s="16" t="s">
        <v>17</v>
      </c>
      <c r="H451" s="18" t="s">
        <v>659</v>
      </c>
      <c r="I451" s="19">
        <v>477.0</v>
      </c>
      <c r="J451" s="34"/>
      <c r="K451" s="11" t="str">
        <f>IFERROR(__xludf.DUMMYFUNCTION("IF(AND(REGEXMATCH($H451,""50( ?['fF]([oO]{2})?[tT]?)?( ?[eE][rR]{2}[oO][rR])"")=FALSE,$H451&lt;&gt;"""",$I451&lt;&gt;""""),HYPERLINK(""https://www.munzee.com/m/""&amp;$H451&amp;""/""&amp;$I451&amp;""/map/?lat=""&amp;$D451&amp;""&amp;lon=""&amp;$E451&amp;""&amp;type=""&amp;$G451&amp;""&amp;name=""&amp;SUBSTITUTE($A451,""#"&amp;""",""%23""),$H451&amp;""/""&amp;$I451),IF($H451&lt;&gt;"""",IF(REGEXMATCH($H451,""50( ?['fF]([oO]{2})?[tT]?)?( ?[eE][rR]{2}[oO][rR])""),HYPERLINK(""https://www.munzee.com/map/?sandbox=1&amp;lat=""&amp;$D451&amp;""&amp;lon=""&amp;$E451&amp;""&amp;name=""&amp;SUBSTITUTE($A451,""#"",""%23""),""SANDBOX"""&amp;"),HYPERLINK(""https://www.munzee.com/m/""&amp;$H451&amp;""/deploys/0/type/""&amp;IFNA(VLOOKUP($G451,IMPORTRANGE(""https://docs.google.com/spreadsheets/d/1DliIGyDywdzxhd4svtjaewR0p9Y5UBTMNMQ2PcXsqss"",""type data!E2:F""),2,FALSE),$G451)&amp;""/"",$H451)),""""))"),"charlottedavina /477")</f>
        <v>charlottedavina /477</v>
      </c>
      <c r="L451" s="19" t="b">
        <v>1</v>
      </c>
      <c r="M451" s="12">
        <f t="shared" si="1"/>
        <v>1</v>
      </c>
      <c r="N451" s="13"/>
      <c r="O451" s="13"/>
      <c r="P451" s="15"/>
    </row>
    <row r="452">
      <c r="A452" s="15" t="s">
        <v>660</v>
      </c>
      <c r="B452" s="16">
        <v>23.0</v>
      </c>
      <c r="C452" s="16">
        <v>25.0</v>
      </c>
      <c r="D452" s="17">
        <v>44.862912511611</v>
      </c>
      <c r="E452" s="17">
        <v>-93.33199199585</v>
      </c>
      <c r="F452" s="16" t="s">
        <v>41</v>
      </c>
      <c r="G452" s="16" t="s">
        <v>17</v>
      </c>
      <c r="H452" s="18" t="s">
        <v>661</v>
      </c>
      <c r="I452" s="19">
        <v>3292.0</v>
      </c>
      <c r="J452" s="21"/>
      <c r="K452" s="11" t="str">
        <f>IFERROR(__xludf.DUMMYFUNCTION("IF(AND(REGEXMATCH($H452,""50( ?['fF]([oO]{2})?[tT]?)?( ?[eE][rR]{2}[oO][rR])"")=FALSE,$H452&lt;&gt;"""",$I452&lt;&gt;""""),HYPERLINK(""https://www.munzee.com/m/""&amp;$H452&amp;""/""&amp;$I452&amp;""/map/?lat=""&amp;$D452&amp;""&amp;lon=""&amp;$E452&amp;""&amp;type=""&amp;$G452&amp;""&amp;name=""&amp;SUBSTITUTE($A452,""#"&amp;""",""%23""),$H452&amp;""/""&amp;$I452),IF($H452&lt;&gt;"""",IF(REGEXMATCH($H452,""50( ?['fF]([oO]{2})?[tT]?)?( ?[eE][rR]{2}[oO][rR])""),HYPERLINK(""https://www.munzee.com/map/?sandbox=1&amp;lat=""&amp;$D452&amp;""&amp;lon=""&amp;$E452&amp;""&amp;name=""&amp;SUBSTITUTE($A452,""#"",""%23""),""SANDBOX"""&amp;"),HYPERLINK(""https://www.munzee.com/m/""&amp;$H452&amp;""/deploys/0/type/""&amp;IFNA(VLOOKUP($G452,IMPORTRANGE(""https://docs.google.com/spreadsheets/d/1DliIGyDywdzxhd4svtjaewR0p9Y5UBTMNMQ2PcXsqss"",""type data!E2:F""),2,FALSE),$G452)&amp;""/"",$H452)),""""))"),"julissajean/3292")</f>
        <v>julissajean/3292</v>
      </c>
      <c r="L452" s="19" t="b">
        <v>1</v>
      </c>
      <c r="M452" s="12">
        <f t="shared" si="1"/>
        <v>1</v>
      </c>
      <c r="N452" s="13"/>
      <c r="O452" s="13"/>
      <c r="P452" s="15"/>
    </row>
    <row r="453">
      <c r="A453" s="15" t="s">
        <v>662</v>
      </c>
      <c r="B453" s="16">
        <v>23.0</v>
      </c>
      <c r="C453" s="16">
        <v>26.0</v>
      </c>
      <c r="D453" s="17">
        <v>44.862912511431</v>
      </c>
      <c r="E453" s="17">
        <v>-93.331789214904</v>
      </c>
      <c r="F453" s="16" t="s">
        <v>41</v>
      </c>
      <c r="G453" s="16" t="s">
        <v>17</v>
      </c>
      <c r="H453" s="18" t="s">
        <v>663</v>
      </c>
      <c r="I453" s="19">
        <v>1287.0</v>
      </c>
      <c r="J453" s="39"/>
      <c r="K453" s="11" t="str">
        <f>IFERROR(__xludf.DUMMYFUNCTION("IF(AND(REGEXMATCH($H453,""50( ?['fF]([oO]{2})?[tT]?)?( ?[eE][rR]{2}[oO][rR])"")=FALSE,$H453&lt;&gt;"""",$I453&lt;&gt;""""),HYPERLINK(""https://www.munzee.com/m/""&amp;$H453&amp;""/""&amp;$I453&amp;""/map/?lat=""&amp;$D453&amp;""&amp;lon=""&amp;$E453&amp;""&amp;type=""&amp;$G453&amp;""&amp;name=""&amp;SUBSTITUTE($A453,""#"&amp;""",""%23""),$H453&amp;""/""&amp;$I453),IF($H453&lt;&gt;"""",IF(REGEXMATCH($H453,""50( ?['fF]([oO]{2})?[tT]?)?( ?[eE][rR]{2}[oO][rR])""),HYPERLINK(""https://www.munzee.com/map/?sandbox=1&amp;lat=""&amp;$D453&amp;""&amp;lon=""&amp;$E453&amp;""&amp;name=""&amp;SUBSTITUTE($A453,""#"",""%23""),""SANDBOX"""&amp;"),HYPERLINK(""https://www.munzee.com/m/""&amp;$H453&amp;""/deploys/0/type/""&amp;IFNA(VLOOKUP($G453,IMPORTRANGE(""https://docs.google.com/spreadsheets/d/1DliIGyDywdzxhd4svtjaewR0p9Y5UBTMNMQ2PcXsqss"",""type data!E2:F""),2,FALSE),$G453)&amp;""/"",$H453)),""""))"),"Carts70/1287")</f>
        <v>Carts70/1287</v>
      </c>
      <c r="L453" s="19" t="b">
        <v>1</v>
      </c>
      <c r="M453" s="12">
        <f t="shared" si="1"/>
        <v>2</v>
      </c>
      <c r="N453" s="13"/>
      <c r="O453" s="13"/>
      <c r="P453" s="15"/>
    </row>
    <row r="454">
      <c r="A454" s="15" t="s">
        <v>664</v>
      </c>
      <c r="B454" s="16">
        <v>23.0</v>
      </c>
      <c r="C454" s="16">
        <v>27.0</v>
      </c>
      <c r="D454" s="17">
        <v>44.862912511252</v>
      </c>
      <c r="E454" s="17">
        <v>-93.331586433957</v>
      </c>
      <c r="F454" s="16" t="s">
        <v>41</v>
      </c>
      <c r="G454" s="16" t="s">
        <v>17</v>
      </c>
      <c r="H454" s="18" t="s">
        <v>665</v>
      </c>
      <c r="I454" s="19">
        <v>3393.0</v>
      </c>
      <c r="J454" s="28"/>
      <c r="K454" s="11" t="str">
        <f>IFERROR(__xludf.DUMMYFUNCTION("IF(AND(REGEXMATCH($H454,""50( ?['fF]([oO]{2})?[tT]?)?( ?[eE][rR]{2}[oO][rR])"")=FALSE,$H454&lt;&gt;"""",$I454&lt;&gt;""""),HYPERLINK(""https://www.munzee.com/m/""&amp;$H454&amp;""/""&amp;$I454&amp;""/map/?lat=""&amp;$D454&amp;""&amp;lon=""&amp;$E454&amp;""&amp;type=""&amp;$G454&amp;""&amp;name=""&amp;SUBSTITUTE($A454,""#"&amp;""",""%23""),$H454&amp;""/""&amp;$I454),IF($H454&lt;&gt;"""",IF(REGEXMATCH($H454,""50( ?['fF]([oO]{2})?[tT]?)?( ?[eE][rR]{2}[oO][rR])""),HYPERLINK(""https://www.munzee.com/map/?sandbox=1&amp;lat=""&amp;$D454&amp;""&amp;lon=""&amp;$E454&amp;""&amp;name=""&amp;SUBSTITUTE($A454,""#"",""%23""),""SANDBOX"""&amp;"),HYPERLINK(""https://www.munzee.com/m/""&amp;$H454&amp;""/deploys/0/type/""&amp;IFNA(VLOOKUP($G454,IMPORTRANGE(""https://docs.google.com/spreadsheets/d/1DliIGyDywdzxhd4svtjaewR0p9Y5UBTMNMQ2PcXsqss"",""type data!E2:F""),2,FALSE),$G454)&amp;""/"",$H454)),""""))"),"andrewbmbox/3393")</f>
        <v>andrewbmbox/3393</v>
      </c>
      <c r="L454" s="19" t="b">
        <v>1</v>
      </c>
      <c r="M454" s="12">
        <f t="shared" si="1"/>
        <v>1</v>
      </c>
      <c r="N454" s="13"/>
      <c r="O454" s="13"/>
      <c r="P454" s="15"/>
    </row>
    <row r="455">
      <c r="A455" s="15" t="s">
        <v>666</v>
      </c>
      <c r="B455" s="16">
        <v>23.0</v>
      </c>
      <c r="C455" s="16">
        <v>28.0</v>
      </c>
      <c r="D455" s="17">
        <v>44.862912511072</v>
      </c>
      <c r="E455" s="17">
        <v>-93.33138365301</v>
      </c>
      <c r="F455" s="16" t="s">
        <v>16</v>
      </c>
      <c r="G455" s="16" t="s">
        <v>17</v>
      </c>
      <c r="H455" s="18" t="s">
        <v>472</v>
      </c>
      <c r="I455" s="19">
        <v>1232.0</v>
      </c>
      <c r="J455" s="20"/>
      <c r="K455" s="11" t="str">
        <f>IFERROR(__xludf.DUMMYFUNCTION("IF(AND(REGEXMATCH($H455,""50( ?['fF]([oO]{2})?[tT]?)?( ?[eE][rR]{2}[oO][rR])"")=FALSE,$H455&lt;&gt;"""",$I455&lt;&gt;""""),HYPERLINK(""https://www.munzee.com/m/""&amp;$H455&amp;""/""&amp;$I455&amp;""/map/?lat=""&amp;$D455&amp;""&amp;lon=""&amp;$E455&amp;""&amp;type=""&amp;$G455&amp;""&amp;name=""&amp;SUBSTITUTE($A455,""#"&amp;""",""%23""),$H455&amp;""/""&amp;$I455),IF($H455&lt;&gt;"""",IF(REGEXMATCH($H455,""50( ?['fF]([oO]{2})?[tT]?)?( ?[eE][rR]{2}[oO][rR])""),HYPERLINK(""https://www.munzee.com/map/?sandbox=1&amp;lat=""&amp;$D455&amp;""&amp;lon=""&amp;$E455&amp;""&amp;name=""&amp;SUBSTITUTE($A455,""#"",""%23""),""SANDBOX"""&amp;"),HYPERLINK(""https://www.munzee.com/m/""&amp;$H455&amp;""/deploys/0/type/""&amp;IFNA(VLOOKUP($G455,IMPORTRANGE(""https://docs.google.com/spreadsheets/d/1DliIGyDywdzxhd4svtjaewR0p9Y5UBTMNMQ2PcXsqss"",""type data!E2:F""),2,FALSE),$G455)&amp;""/"",$H455)),""""))"),"Fluffystuff74/1232")</f>
        <v>Fluffystuff74/1232</v>
      </c>
      <c r="L455" s="19" t="b">
        <v>1</v>
      </c>
      <c r="M455" s="12">
        <f t="shared" si="1"/>
        <v>5</v>
      </c>
      <c r="N455" s="13"/>
      <c r="O455" s="13"/>
      <c r="P455" s="15"/>
    </row>
    <row r="456">
      <c r="A456" s="15" t="s">
        <v>667</v>
      </c>
      <c r="B456" s="16">
        <v>24.0</v>
      </c>
      <c r="C456" s="16">
        <v>1.0</v>
      </c>
      <c r="D456" s="17">
        <v>44.862768785471</v>
      </c>
      <c r="E456" s="17">
        <v>-93.336858746674</v>
      </c>
      <c r="F456" s="16" t="s">
        <v>16</v>
      </c>
      <c r="G456" s="16" t="s">
        <v>17</v>
      </c>
      <c r="H456" s="33" t="s">
        <v>194</v>
      </c>
      <c r="I456" s="19">
        <v>8349.0</v>
      </c>
      <c r="J456" s="20"/>
      <c r="K456" s="11" t="str">
        <f>IFERROR(__xludf.DUMMYFUNCTION("IF(AND(REGEXMATCH($H456,""50( ?['fF]([oO]{2})?[tT]?)?( ?[eE][rR]{2}[oO][rR])"")=FALSE,$H456&lt;&gt;"""",$I456&lt;&gt;""""),HYPERLINK(""https://www.munzee.com/m/""&amp;$H456&amp;""/""&amp;$I456&amp;""/map/?lat=""&amp;$D456&amp;""&amp;lon=""&amp;$E456&amp;""&amp;type=""&amp;$G456&amp;""&amp;name=""&amp;SUBSTITUTE($A456,""#"&amp;""",""%23""),$H456&amp;""/""&amp;$I456),IF($H456&lt;&gt;"""",IF(REGEXMATCH($H456,""50( ?['fF]([oO]{2})?[tT]?)?( ?[eE][rR]{2}[oO][rR])""),HYPERLINK(""https://www.munzee.com/map/?sandbox=1&amp;lat=""&amp;$D456&amp;""&amp;lon=""&amp;$E456&amp;""&amp;name=""&amp;SUBSTITUTE($A456,""#"",""%23""),""SANDBOX"""&amp;"),HYPERLINK(""https://www.munzee.com/m/""&amp;$H456&amp;""/deploys/0/type/""&amp;IFNA(VLOOKUP($G456,IMPORTRANGE(""https://docs.google.com/spreadsheets/d/1DliIGyDywdzxhd4svtjaewR0p9Y5UBTMNMQ2PcXsqss"",""type data!E2:F""),2,FALSE),$G456)&amp;""/"",$H456)),""""))"),"warped6/8349")</f>
        <v>warped6/8349</v>
      </c>
      <c r="L456" s="19" t="b">
        <v>1</v>
      </c>
      <c r="M456" s="12">
        <f t="shared" si="1"/>
        <v>24</v>
      </c>
      <c r="N456" s="13"/>
      <c r="O456" s="13"/>
      <c r="P456" s="29"/>
    </row>
    <row r="457">
      <c r="A457" s="15" t="s">
        <v>668</v>
      </c>
      <c r="B457" s="16">
        <v>24.0</v>
      </c>
      <c r="C457" s="16">
        <v>2.0</v>
      </c>
      <c r="D457" s="17">
        <v>44.862768785292</v>
      </c>
      <c r="E457" s="17">
        <v>-93.336655966234</v>
      </c>
      <c r="F457" s="16" t="s">
        <v>41</v>
      </c>
      <c r="G457" s="16" t="s">
        <v>17</v>
      </c>
      <c r="H457" s="18" t="s">
        <v>669</v>
      </c>
      <c r="I457" s="19">
        <v>1196.0</v>
      </c>
      <c r="J457" s="21"/>
      <c r="K457" s="11" t="str">
        <f>IFERROR(__xludf.DUMMYFUNCTION("IF(AND(REGEXMATCH($H457,""50( ?['fF]([oO]{2})?[tT]?)?( ?[eE][rR]{2}[oO][rR])"")=FALSE,$H457&lt;&gt;"""",$I457&lt;&gt;""""),HYPERLINK(""https://www.munzee.com/m/""&amp;$H457&amp;""/""&amp;$I457&amp;""/map/?lat=""&amp;$D457&amp;""&amp;lon=""&amp;$E457&amp;""&amp;type=""&amp;$G457&amp;""&amp;name=""&amp;SUBSTITUTE($A457,""#"&amp;""",""%23""),$H457&amp;""/""&amp;$I457),IF($H457&lt;&gt;"""",IF(REGEXMATCH($H457,""50( ?['fF]([oO]{2})?[tT]?)?( ?[eE][rR]{2}[oO][rR])""),HYPERLINK(""https://www.munzee.com/map/?sandbox=1&amp;lat=""&amp;$D457&amp;""&amp;lon=""&amp;$E457&amp;""&amp;name=""&amp;SUBSTITUTE($A457,""#"",""%23""),""SANDBOX"""&amp;"),HYPERLINK(""https://www.munzee.com/m/""&amp;$H457&amp;""/deploys/0/type/""&amp;IFNA(VLOOKUP($G457,IMPORTRANGE(""https://docs.google.com/spreadsheets/d/1DliIGyDywdzxhd4svtjaewR0p9Y5UBTMNMQ2PcXsqss"",""type data!E2:F""),2,FALSE),$G457)&amp;""/"",$H457)),""""))"),"Bewrightback/1196")</f>
        <v>Bewrightback/1196</v>
      </c>
      <c r="L457" s="19" t="b">
        <v>1</v>
      </c>
      <c r="M457" s="12">
        <f t="shared" si="1"/>
        <v>1</v>
      </c>
      <c r="N457" s="13"/>
      <c r="O457" s="13"/>
      <c r="P457" s="15"/>
    </row>
    <row r="458">
      <c r="A458" s="15" t="s">
        <v>670</v>
      </c>
      <c r="B458" s="16">
        <v>24.0</v>
      </c>
      <c r="C458" s="16">
        <v>3.0</v>
      </c>
      <c r="D458" s="17">
        <v>44.862768785112</v>
      </c>
      <c r="E458" s="17">
        <v>-93.336453185793</v>
      </c>
      <c r="F458" s="16" t="s">
        <v>41</v>
      </c>
      <c r="G458" s="16" t="s">
        <v>671</v>
      </c>
      <c r="H458" s="18" t="s">
        <v>672</v>
      </c>
      <c r="I458" s="19">
        <v>2148.0</v>
      </c>
      <c r="J458" s="20"/>
      <c r="K458" s="11" t="str">
        <f>IFERROR(__xludf.DUMMYFUNCTION("IF(AND(REGEXMATCH($H458,""50( ?['fF]([oO]{2})?[tT]?)?( ?[eE][rR]{2}[oO][rR])"")=FALSE,$H458&lt;&gt;"""",$I458&lt;&gt;""""),HYPERLINK(""https://www.munzee.com/m/""&amp;$H458&amp;""/""&amp;$I458&amp;""/map/?lat=""&amp;$D458&amp;""&amp;lon=""&amp;$E458&amp;""&amp;type=""&amp;$G458&amp;""&amp;name=""&amp;SUBSTITUTE($A458,""#"&amp;""",""%23""),$H458&amp;""/""&amp;$I458),IF($H458&lt;&gt;"""",IF(REGEXMATCH($H458,""50( ?['fF]([oO]{2})?[tT]?)?( ?[eE][rR]{2}[oO][rR])""),HYPERLINK(""https://www.munzee.com/map/?sandbox=1&amp;lat=""&amp;$D458&amp;""&amp;lon=""&amp;$E458&amp;""&amp;name=""&amp;SUBSTITUTE($A458,""#"",""%23""),""SANDBOX"""&amp;"),HYPERLINK(""https://www.munzee.com/m/""&amp;$H458&amp;""/deploys/0/type/""&amp;IFNA(VLOOKUP($G458,IMPORTRANGE(""https://docs.google.com/spreadsheets/d/1DliIGyDywdzxhd4svtjaewR0p9Y5UBTMNMQ2PcXsqss"",""type data!E2:F""),2,FALSE),$G458)&amp;""/"",$H458)),""""))"),"technical13/2148")</f>
        <v>technical13/2148</v>
      </c>
      <c r="L458" s="19" t="b">
        <v>1</v>
      </c>
      <c r="M458" s="12">
        <f t="shared" si="1"/>
        <v>1</v>
      </c>
      <c r="N458" s="13"/>
      <c r="O458" s="13"/>
      <c r="P458" s="29"/>
    </row>
    <row r="459">
      <c r="A459" s="15" t="s">
        <v>673</v>
      </c>
      <c r="B459" s="16">
        <v>24.0</v>
      </c>
      <c r="C459" s="16">
        <v>4.0</v>
      </c>
      <c r="D459" s="17">
        <v>44.862768784933</v>
      </c>
      <c r="E459" s="17">
        <v>-93.336250405353</v>
      </c>
      <c r="F459" s="16" t="s">
        <v>41</v>
      </c>
      <c r="G459" s="16" t="s">
        <v>17</v>
      </c>
      <c r="H459" s="33" t="s">
        <v>194</v>
      </c>
      <c r="I459" s="19">
        <v>8346.0</v>
      </c>
      <c r="J459" s="20"/>
      <c r="K459" s="11" t="str">
        <f>IFERROR(__xludf.DUMMYFUNCTION("IF(AND(REGEXMATCH($H459,""50( ?['fF]([oO]{2})?[tT]?)?( ?[eE][rR]{2}[oO][rR])"")=FALSE,$H459&lt;&gt;"""",$I459&lt;&gt;""""),HYPERLINK(""https://www.munzee.com/m/""&amp;$H459&amp;""/""&amp;$I459&amp;""/map/?lat=""&amp;$D459&amp;""&amp;lon=""&amp;$E459&amp;""&amp;type=""&amp;$G459&amp;""&amp;name=""&amp;SUBSTITUTE($A459,""#"&amp;""",""%23""),$H459&amp;""/""&amp;$I459),IF($H459&lt;&gt;"""",IF(REGEXMATCH($H459,""50( ?['fF]([oO]{2})?[tT]?)?( ?[eE][rR]{2}[oO][rR])""),HYPERLINK(""https://www.munzee.com/map/?sandbox=1&amp;lat=""&amp;$D459&amp;""&amp;lon=""&amp;$E459&amp;""&amp;name=""&amp;SUBSTITUTE($A459,""#"",""%23""),""SANDBOX"""&amp;"),HYPERLINK(""https://www.munzee.com/m/""&amp;$H459&amp;""/deploys/0/type/""&amp;IFNA(VLOOKUP($G459,IMPORTRANGE(""https://docs.google.com/spreadsheets/d/1DliIGyDywdzxhd4svtjaewR0p9Y5UBTMNMQ2PcXsqss"",""type data!E2:F""),2,FALSE),$G459)&amp;""/"",$H459)),""""))"),"warped6/8346")</f>
        <v>warped6/8346</v>
      </c>
      <c r="L459" s="19" t="b">
        <v>1</v>
      </c>
      <c r="M459" s="12">
        <f t="shared" si="1"/>
        <v>24</v>
      </c>
      <c r="N459" s="13"/>
      <c r="O459" s="13"/>
      <c r="P459" s="15"/>
    </row>
    <row r="460">
      <c r="A460" s="15" t="s">
        <v>674</v>
      </c>
      <c r="B460" s="16">
        <v>24.0</v>
      </c>
      <c r="C460" s="16">
        <v>5.0</v>
      </c>
      <c r="D460" s="17">
        <v>44.862768784754</v>
      </c>
      <c r="E460" s="17">
        <v>-93.336047624912</v>
      </c>
      <c r="F460" s="16" t="s">
        <v>41</v>
      </c>
      <c r="G460" s="16" t="s">
        <v>17</v>
      </c>
      <c r="H460" s="18" t="s">
        <v>637</v>
      </c>
      <c r="I460" s="19">
        <v>667.0</v>
      </c>
      <c r="J460" s="21"/>
      <c r="K460" s="11" t="str">
        <f>IFERROR(__xludf.DUMMYFUNCTION("IF(AND(REGEXMATCH($H460,""50( ?['fF]([oO]{2})?[tT]?)?( ?[eE][rR]{2}[oO][rR])"")=FALSE,$H460&lt;&gt;"""",$I460&lt;&gt;""""),HYPERLINK(""https://www.munzee.com/m/""&amp;$H460&amp;""/""&amp;$I460&amp;""/map/?lat=""&amp;$D460&amp;""&amp;lon=""&amp;$E460&amp;""&amp;type=""&amp;$G460&amp;""&amp;name=""&amp;SUBSTITUTE($A460,""#"&amp;""",""%23""),$H460&amp;""/""&amp;$I460),IF($H460&lt;&gt;"""",IF(REGEXMATCH($H460,""50( ?['fF]([oO]{2})?[tT]?)?( ?[eE][rR]{2}[oO][rR])""),HYPERLINK(""https://www.munzee.com/map/?sandbox=1&amp;lat=""&amp;$D460&amp;""&amp;lon=""&amp;$E460&amp;""&amp;name=""&amp;SUBSTITUTE($A460,""#"",""%23""),""SANDBOX"""&amp;"),HYPERLINK(""https://www.munzee.com/m/""&amp;$H460&amp;""/deploys/0/type/""&amp;IFNA(VLOOKUP($G460,IMPORTRANGE(""https://docs.google.com/spreadsheets/d/1DliIGyDywdzxhd4svtjaewR0p9Y5UBTMNMQ2PcXsqss"",""type data!E2:F""),2,FALSE),$G460)&amp;""/"",$H460)),""""))"),"csnearl/667")</f>
        <v>csnearl/667</v>
      </c>
      <c r="L460" s="19" t="b">
        <v>1</v>
      </c>
      <c r="M460" s="12">
        <f t="shared" si="1"/>
        <v>4</v>
      </c>
      <c r="N460" s="13"/>
      <c r="O460" s="13"/>
      <c r="P460" s="15"/>
    </row>
    <row r="461">
      <c r="A461" s="15" t="s">
        <v>675</v>
      </c>
      <c r="B461" s="16">
        <v>24.0</v>
      </c>
      <c r="C461" s="16">
        <v>6.0</v>
      </c>
      <c r="D461" s="17">
        <v>44.862768784574</v>
      </c>
      <c r="E461" s="17">
        <v>-93.335844844471</v>
      </c>
      <c r="F461" s="16" t="s">
        <v>510</v>
      </c>
      <c r="G461" s="16" t="s">
        <v>17</v>
      </c>
      <c r="H461" s="18" t="s">
        <v>154</v>
      </c>
      <c r="I461" s="19">
        <v>6742.0</v>
      </c>
      <c r="J461" s="20"/>
      <c r="K461" s="11" t="str">
        <f>IFERROR(__xludf.DUMMYFUNCTION("IF(AND(REGEXMATCH($H461,""50( ?['fF]([oO]{2})?[tT]?)?( ?[eE][rR]{2}[oO][rR])"")=FALSE,$H461&lt;&gt;"""",$I461&lt;&gt;""""),HYPERLINK(""https://www.munzee.com/m/""&amp;$H461&amp;""/""&amp;$I461&amp;""/map/?lat=""&amp;$D461&amp;""&amp;lon=""&amp;$E461&amp;""&amp;type=""&amp;$G461&amp;""&amp;name=""&amp;SUBSTITUTE($A461,""#"&amp;""",""%23""),$H461&amp;""/""&amp;$I461),IF($H461&lt;&gt;"""",IF(REGEXMATCH($H461,""50( ?['fF]([oO]{2})?[tT]?)?( ?[eE][rR]{2}[oO][rR])""),HYPERLINK(""https://www.munzee.com/map/?sandbox=1&amp;lat=""&amp;$D461&amp;""&amp;lon=""&amp;$E461&amp;""&amp;name=""&amp;SUBSTITUTE($A461,""#"",""%23""),""SANDBOX"""&amp;"),HYPERLINK(""https://www.munzee.com/m/""&amp;$H461&amp;""/deploys/0/type/""&amp;IFNA(VLOOKUP($G461,IMPORTRANGE(""https://docs.google.com/spreadsheets/d/1DliIGyDywdzxhd4svtjaewR0p9Y5UBTMNMQ2PcXsqss"",""type data!E2:F""),2,FALSE),$G461)&amp;""/"",$H461)),""""))"),"geomatrix /6742")</f>
        <v>geomatrix /6742</v>
      </c>
      <c r="L461" s="19" t="b">
        <v>1</v>
      </c>
      <c r="M461" s="12">
        <f t="shared" si="1"/>
        <v>5</v>
      </c>
      <c r="N461" s="13"/>
      <c r="O461" s="13"/>
      <c r="P461" s="29"/>
    </row>
    <row r="462">
      <c r="A462" s="15" t="s">
        <v>676</v>
      </c>
      <c r="B462" s="16">
        <v>24.0</v>
      </c>
      <c r="C462" s="16">
        <v>7.0</v>
      </c>
      <c r="D462" s="17">
        <v>44.862768784395</v>
      </c>
      <c r="E462" s="17">
        <v>-93.335642064031</v>
      </c>
      <c r="F462" s="16" t="s">
        <v>510</v>
      </c>
      <c r="G462" s="16" t="s">
        <v>17</v>
      </c>
      <c r="H462" s="33" t="s">
        <v>194</v>
      </c>
      <c r="I462" s="19">
        <v>8311.0</v>
      </c>
      <c r="J462" s="20"/>
      <c r="K462" s="11" t="str">
        <f>IFERROR(__xludf.DUMMYFUNCTION("IF(AND(REGEXMATCH($H462,""50( ?['fF]([oO]{2})?[tT]?)?( ?[eE][rR]{2}[oO][rR])"")=FALSE,$H462&lt;&gt;"""",$I462&lt;&gt;""""),HYPERLINK(""https://www.munzee.com/m/""&amp;$H462&amp;""/""&amp;$I462&amp;""/map/?lat=""&amp;$D462&amp;""&amp;lon=""&amp;$E462&amp;""&amp;type=""&amp;$G462&amp;""&amp;name=""&amp;SUBSTITUTE($A462,""#"&amp;""",""%23""),$H462&amp;""/""&amp;$I462),IF($H462&lt;&gt;"""",IF(REGEXMATCH($H462,""50( ?['fF]([oO]{2})?[tT]?)?( ?[eE][rR]{2}[oO][rR])""),HYPERLINK(""https://www.munzee.com/map/?sandbox=1&amp;lat=""&amp;$D462&amp;""&amp;lon=""&amp;$E462&amp;""&amp;name=""&amp;SUBSTITUTE($A462,""#"",""%23""),""SANDBOX"""&amp;"),HYPERLINK(""https://www.munzee.com/m/""&amp;$H462&amp;""/deploys/0/type/""&amp;IFNA(VLOOKUP($G462,IMPORTRANGE(""https://docs.google.com/spreadsheets/d/1DliIGyDywdzxhd4svtjaewR0p9Y5UBTMNMQ2PcXsqss"",""type data!E2:F""),2,FALSE),$G462)&amp;""/"",$H462)),""""))"),"warped6/8311")</f>
        <v>warped6/8311</v>
      </c>
      <c r="L462" s="19" t="b">
        <v>1</v>
      </c>
      <c r="M462" s="12">
        <f t="shared" si="1"/>
        <v>24</v>
      </c>
      <c r="N462" s="13"/>
      <c r="O462" s="13"/>
      <c r="P462" s="29"/>
    </row>
    <row r="463">
      <c r="A463" s="15" t="s">
        <v>677</v>
      </c>
      <c r="B463" s="16">
        <v>24.0</v>
      </c>
      <c r="C463" s="16">
        <v>8.0</v>
      </c>
      <c r="D463" s="17">
        <v>44.862768784215</v>
      </c>
      <c r="E463" s="17">
        <v>-93.33543928359</v>
      </c>
      <c r="F463" s="16" t="s">
        <v>41</v>
      </c>
      <c r="G463" s="16" t="s">
        <v>17</v>
      </c>
      <c r="H463" s="18" t="s">
        <v>629</v>
      </c>
      <c r="I463" s="19">
        <v>2101.0</v>
      </c>
      <c r="J463" s="20"/>
      <c r="K463" s="11" t="str">
        <f>IFERROR(__xludf.DUMMYFUNCTION("IF(AND(REGEXMATCH($H463,""50( ?['fF]([oO]{2})?[tT]?)?( ?[eE][rR]{2}[oO][rR])"")=FALSE,$H463&lt;&gt;"""",$I463&lt;&gt;""""),HYPERLINK(""https://www.munzee.com/m/""&amp;$H463&amp;""/""&amp;$I463&amp;""/map/?lat=""&amp;$D463&amp;""&amp;lon=""&amp;$E463&amp;""&amp;type=""&amp;$G463&amp;""&amp;name=""&amp;SUBSTITUTE($A463,""#"&amp;""",""%23""),$H463&amp;""/""&amp;$I463),IF($H463&lt;&gt;"""",IF(REGEXMATCH($H463,""50( ?['fF]([oO]{2})?[tT]?)?( ?[eE][rR]{2}[oO][rR])""),HYPERLINK(""https://www.munzee.com/map/?sandbox=1&amp;lat=""&amp;$D463&amp;""&amp;lon=""&amp;$E463&amp;""&amp;name=""&amp;SUBSTITUTE($A463,""#"",""%23""),""SANDBOX"""&amp;"),HYPERLINK(""https://www.munzee.com/m/""&amp;$H463&amp;""/deploys/0/type/""&amp;IFNA(VLOOKUP($G463,IMPORTRANGE(""https://docs.google.com/spreadsheets/d/1DliIGyDywdzxhd4svtjaewR0p9Y5UBTMNMQ2PcXsqss"",""type data!E2:F""),2,FALSE),$G463)&amp;""/"",$H463)),""""))"),"par72/2101")</f>
        <v>par72/2101</v>
      </c>
      <c r="L463" s="19" t="b">
        <v>1</v>
      </c>
      <c r="M463" s="12">
        <f t="shared" si="1"/>
        <v>4</v>
      </c>
      <c r="N463" s="13"/>
      <c r="O463" s="13"/>
      <c r="P463" s="29"/>
    </row>
    <row r="464">
      <c r="A464" s="15" t="s">
        <v>678</v>
      </c>
      <c r="B464" s="16">
        <v>24.0</v>
      </c>
      <c r="C464" s="16">
        <v>9.0</v>
      </c>
      <c r="D464" s="17">
        <v>44.862768784036</v>
      </c>
      <c r="E464" s="17">
        <v>-93.33523650315</v>
      </c>
      <c r="F464" s="16" t="s">
        <v>41</v>
      </c>
      <c r="G464" s="16" t="s">
        <v>17</v>
      </c>
      <c r="H464" s="18" t="s">
        <v>583</v>
      </c>
      <c r="I464" s="19">
        <v>6444.0</v>
      </c>
      <c r="J464" s="21"/>
      <c r="K464" s="11" t="str">
        <f>IFERROR(__xludf.DUMMYFUNCTION("IF(AND(REGEXMATCH($H464,""50( ?['fF]([oO]{2})?[tT]?)?( ?[eE][rR]{2}[oO][rR])"")=FALSE,$H464&lt;&gt;"""",$I464&lt;&gt;""""),HYPERLINK(""https://www.munzee.com/m/""&amp;$H464&amp;""/""&amp;$I464&amp;""/map/?lat=""&amp;$D464&amp;""&amp;lon=""&amp;$E464&amp;""&amp;type=""&amp;$G464&amp;""&amp;name=""&amp;SUBSTITUTE($A464,""#"&amp;""",""%23""),$H464&amp;""/""&amp;$I464),IF($H464&lt;&gt;"""",IF(REGEXMATCH($H464,""50( ?['fF]([oO]{2})?[tT]?)?( ?[eE][rR]{2}[oO][rR])""),HYPERLINK(""https://www.munzee.com/map/?sandbox=1&amp;lat=""&amp;$D464&amp;""&amp;lon=""&amp;$E464&amp;""&amp;name=""&amp;SUBSTITUTE($A464,""#"",""%23""),""SANDBOX"""&amp;"),HYPERLINK(""https://www.munzee.com/m/""&amp;$H464&amp;""/deploys/0/type/""&amp;IFNA(VLOOKUP($G464,IMPORTRANGE(""https://docs.google.com/spreadsheets/d/1DliIGyDywdzxhd4svtjaewR0p9Y5UBTMNMQ2PcXsqss"",""type data!E2:F""),2,FALSE),$G464)&amp;""/"",$H464)),""""))"),"Traycee/6444")</f>
        <v>Traycee/6444</v>
      </c>
      <c r="L464" s="19" t="b">
        <v>1</v>
      </c>
      <c r="M464" s="12">
        <f t="shared" si="1"/>
        <v>5</v>
      </c>
      <c r="N464" s="13"/>
      <c r="O464" s="13"/>
      <c r="P464" s="15"/>
    </row>
    <row r="465">
      <c r="A465" s="15" t="s">
        <v>679</v>
      </c>
      <c r="B465" s="16">
        <v>24.0</v>
      </c>
      <c r="C465" s="16">
        <v>10.0</v>
      </c>
      <c r="D465" s="17">
        <v>44.862768783856</v>
      </c>
      <c r="E465" s="17">
        <v>-93.335033722709</v>
      </c>
      <c r="F465" s="16" t="s">
        <v>41</v>
      </c>
      <c r="G465" s="16" t="s">
        <v>410</v>
      </c>
      <c r="H465" s="33" t="s">
        <v>194</v>
      </c>
      <c r="I465" s="19">
        <v>8307.0</v>
      </c>
      <c r="J465" s="20"/>
      <c r="K465" s="11" t="str">
        <f>IFERROR(__xludf.DUMMYFUNCTION("IF(AND(REGEXMATCH($H465,""50( ?['fF]([oO]{2})?[tT]?)?( ?[eE][rR]{2}[oO][rR])"")=FALSE,$H465&lt;&gt;"""",$I465&lt;&gt;""""),HYPERLINK(""https://www.munzee.com/m/""&amp;$H465&amp;""/""&amp;$I465&amp;""/map/?lat=""&amp;$D465&amp;""&amp;lon=""&amp;$E465&amp;""&amp;type=""&amp;$G465&amp;""&amp;name=""&amp;SUBSTITUTE($A465,""#"&amp;""",""%23""),$H465&amp;""/""&amp;$I465),IF($H465&lt;&gt;"""",IF(REGEXMATCH($H465,""50( ?['fF]([oO]{2})?[tT]?)?( ?[eE][rR]{2}[oO][rR])""),HYPERLINK(""https://www.munzee.com/map/?sandbox=1&amp;lat=""&amp;$D465&amp;""&amp;lon=""&amp;$E465&amp;""&amp;name=""&amp;SUBSTITUTE($A465,""#"",""%23""),""SANDBOX"""&amp;"),HYPERLINK(""https://www.munzee.com/m/""&amp;$H465&amp;""/deploys/0/type/""&amp;IFNA(VLOOKUP($G465,IMPORTRANGE(""https://docs.google.com/spreadsheets/d/1DliIGyDywdzxhd4svtjaewR0p9Y5UBTMNMQ2PcXsqss"",""type data!E2:F""),2,FALSE),$G465)&amp;""/"",$H465)),""""))"),"warped6/8307")</f>
        <v>warped6/8307</v>
      </c>
      <c r="L465" s="19" t="b">
        <v>1</v>
      </c>
      <c r="M465" s="12">
        <f t="shared" si="1"/>
        <v>24</v>
      </c>
      <c r="N465" s="13"/>
      <c r="O465" s="13"/>
      <c r="P465" s="29"/>
    </row>
    <row r="466">
      <c r="A466" s="15" t="s">
        <v>680</v>
      </c>
      <c r="B466" s="16">
        <v>24.0</v>
      </c>
      <c r="C466" s="16">
        <v>11.0</v>
      </c>
      <c r="D466" s="17">
        <v>44.862768783677</v>
      </c>
      <c r="E466" s="17">
        <v>-93.334830942269</v>
      </c>
      <c r="F466" s="16" t="s">
        <v>41</v>
      </c>
      <c r="G466" s="16" t="s">
        <v>410</v>
      </c>
      <c r="H466" s="18" t="s">
        <v>681</v>
      </c>
      <c r="I466" s="19">
        <v>3864.0</v>
      </c>
      <c r="J466" s="21"/>
      <c r="K466" s="11" t="str">
        <f>IFERROR(__xludf.DUMMYFUNCTION("IF(AND(REGEXMATCH($H466,""50( ?['fF]([oO]{2})?[tT]?)?( ?[eE][rR]{2}[oO][rR])"")=FALSE,$H466&lt;&gt;"""",$I466&lt;&gt;""""),HYPERLINK(""https://www.munzee.com/m/""&amp;$H466&amp;""/""&amp;$I466&amp;""/map/?lat=""&amp;$D466&amp;""&amp;lon=""&amp;$E466&amp;""&amp;type=""&amp;$G466&amp;""&amp;name=""&amp;SUBSTITUTE($A466,""#"&amp;""",""%23""),$H466&amp;""/""&amp;$I466),IF($H466&lt;&gt;"""",IF(REGEXMATCH($H466,""50( ?['fF]([oO]{2})?[tT]?)?( ?[eE][rR]{2}[oO][rR])""),HYPERLINK(""https://www.munzee.com/map/?sandbox=1&amp;lat=""&amp;$D466&amp;""&amp;lon=""&amp;$E466&amp;""&amp;name=""&amp;SUBSTITUTE($A466,""#"",""%23""),""SANDBOX"""&amp;"),HYPERLINK(""https://www.munzee.com/m/""&amp;$H466&amp;""/deploys/0/type/""&amp;IFNA(VLOOKUP($G466,IMPORTRANGE(""https://docs.google.com/spreadsheets/d/1DliIGyDywdzxhd4svtjaewR0p9Y5UBTMNMQ2PcXsqss"",""type data!E2:F""),2,FALSE),$G466)&amp;""/"",$H466)),""""))"),"lison55/3864")</f>
        <v>lison55/3864</v>
      </c>
      <c r="L466" s="19" t="b">
        <v>1</v>
      </c>
      <c r="M466" s="12">
        <f t="shared" si="1"/>
        <v>1</v>
      </c>
      <c r="N466" s="13"/>
      <c r="O466" s="13"/>
      <c r="P466" s="29"/>
    </row>
    <row r="467">
      <c r="A467" s="15" t="s">
        <v>682</v>
      </c>
      <c r="B467" s="16">
        <v>24.0</v>
      </c>
      <c r="C467" s="16">
        <v>12.0</v>
      </c>
      <c r="D467" s="17">
        <v>44.862768783498</v>
      </c>
      <c r="E467" s="17">
        <v>-93.334628161828</v>
      </c>
      <c r="F467" s="16" t="s">
        <v>41</v>
      </c>
      <c r="G467" s="16" t="s">
        <v>410</v>
      </c>
      <c r="H467" s="18" t="s">
        <v>683</v>
      </c>
      <c r="I467" s="19">
        <v>2948.0</v>
      </c>
      <c r="J467" s="39"/>
      <c r="K467" s="11" t="str">
        <f>IFERROR(__xludf.DUMMYFUNCTION("IF(AND(REGEXMATCH($H467,""50( ?['fF]([oO]{2})?[tT]?)?( ?[eE][rR]{2}[oO][rR])"")=FALSE,$H467&lt;&gt;"""",$I467&lt;&gt;""""),HYPERLINK(""https://www.munzee.com/m/""&amp;$H467&amp;""/""&amp;$I467&amp;""/map/?lat=""&amp;$D467&amp;""&amp;lon=""&amp;$E467&amp;""&amp;type=""&amp;$G467&amp;""&amp;name=""&amp;SUBSTITUTE($A467,""#"&amp;""",""%23""),$H467&amp;""/""&amp;$I467),IF($H467&lt;&gt;"""",IF(REGEXMATCH($H467,""50( ?['fF]([oO]{2})?[tT]?)?( ?[eE][rR]{2}[oO][rR])""),HYPERLINK(""https://www.munzee.com/map/?sandbox=1&amp;lat=""&amp;$D467&amp;""&amp;lon=""&amp;$E467&amp;""&amp;name=""&amp;SUBSTITUTE($A467,""#"",""%23""),""SANDBOX"""&amp;"),HYPERLINK(""https://www.munzee.com/m/""&amp;$H467&amp;""/deploys/0/type/""&amp;IFNA(VLOOKUP($G467,IMPORTRANGE(""https://docs.google.com/spreadsheets/d/1DliIGyDywdzxhd4svtjaewR0p9Y5UBTMNMQ2PcXsqss"",""type data!E2:F""),2,FALSE),$G467)&amp;""/"",$H467)),""""))"),"GrizzSteve/2948")</f>
        <v>GrizzSteve/2948</v>
      </c>
      <c r="L467" s="19" t="b">
        <v>1</v>
      </c>
      <c r="M467" s="12">
        <f t="shared" si="1"/>
        <v>5</v>
      </c>
      <c r="N467" s="13"/>
      <c r="O467" s="13"/>
      <c r="P467" s="15"/>
    </row>
    <row r="468">
      <c r="A468" s="15" t="s">
        <v>684</v>
      </c>
      <c r="B468" s="16">
        <v>24.0</v>
      </c>
      <c r="C468" s="16">
        <v>13.0</v>
      </c>
      <c r="D468" s="17">
        <v>44.862768783318</v>
      </c>
      <c r="E468" s="17">
        <v>-93.334425381388</v>
      </c>
      <c r="F468" s="16" t="s">
        <v>41</v>
      </c>
      <c r="G468" s="16" t="s">
        <v>410</v>
      </c>
      <c r="H468" s="18" t="s">
        <v>109</v>
      </c>
      <c r="I468" s="19">
        <v>16231.0</v>
      </c>
      <c r="J468" s="21"/>
      <c r="K468" s="11" t="str">
        <f>IFERROR(__xludf.DUMMYFUNCTION("IF(AND(REGEXMATCH($H468,""50( ?['fF]([oO]{2})?[tT]?)?( ?[eE][rR]{2}[oO][rR])"")=FALSE,$H468&lt;&gt;"""",$I468&lt;&gt;""""),HYPERLINK(""https://www.munzee.com/m/""&amp;$H468&amp;""/""&amp;$I468&amp;""/map/?lat=""&amp;$D468&amp;""&amp;lon=""&amp;$E468&amp;""&amp;type=""&amp;$G468&amp;""&amp;name=""&amp;SUBSTITUTE($A468,""#"&amp;""",""%23""),$H468&amp;""/""&amp;$I468),IF($H468&lt;&gt;"""",IF(REGEXMATCH($H468,""50( ?['fF]([oO]{2})?[tT]?)?( ?[eE][rR]{2}[oO][rR])""),HYPERLINK(""https://www.munzee.com/map/?sandbox=1&amp;lat=""&amp;$D468&amp;""&amp;lon=""&amp;$E468&amp;""&amp;name=""&amp;SUBSTITUTE($A468,""#"",""%23""),""SANDBOX"""&amp;"),HYPERLINK(""https://www.munzee.com/m/""&amp;$H468&amp;""/deploys/0/type/""&amp;IFNA(VLOOKUP($G468,IMPORTRANGE(""https://docs.google.com/spreadsheets/d/1DliIGyDywdzxhd4svtjaewR0p9Y5UBTMNMQ2PcXsqss"",""type data!E2:F""),2,FALSE),$G468)&amp;""/"",$H468)),""""))"),"Whelen/16231")</f>
        <v>Whelen/16231</v>
      </c>
      <c r="L468" s="19" t="b">
        <v>1</v>
      </c>
      <c r="M468" s="12">
        <f t="shared" si="1"/>
        <v>22</v>
      </c>
      <c r="N468" s="13"/>
      <c r="O468" s="13"/>
      <c r="P468" s="29"/>
    </row>
    <row r="469">
      <c r="A469" s="15" t="s">
        <v>685</v>
      </c>
      <c r="B469" s="16">
        <v>24.0</v>
      </c>
      <c r="C469" s="16">
        <v>14.0</v>
      </c>
      <c r="D469" s="17">
        <v>44.862768783139</v>
      </c>
      <c r="E469" s="17">
        <v>-93.334222600947</v>
      </c>
      <c r="F469" s="16" t="s">
        <v>645</v>
      </c>
      <c r="G469" s="16" t="s">
        <v>410</v>
      </c>
      <c r="H469" s="18" t="s">
        <v>42</v>
      </c>
      <c r="I469" s="19">
        <v>2450.0</v>
      </c>
      <c r="J469" s="20"/>
      <c r="K469" s="11" t="str">
        <f>IFERROR(__xludf.DUMMYFUNCTION("IF(AND(REGEXMATCH($H469,""50( ?['fF]([oO]{2})?[tT]?)?( ?[eE][rR]{2}[oO][rR])"")=FALSE,$H469&lt;&gt;"""",$I469&lt;&gt;""""),HYPERLINK(""https://www.munzee.com/m/""&amp;$H469&amp;""/""&amp;$I469&amp;""/map/?lat=""&amp;$D469&amp;""&amp;lon=""&amp;$E469&amp;""&amp;type=""&amp;$G469&amp;""&amp;name=""&amp;SUBSTITUTE($A469,""#"&amp;""",""%23""),$H469&amp;""/""&amp;$I469),IF($H469&lt;&gt;"""",IF(REGEXMATCH($H469,""50( ?['fF]([oO]{2})?[tT]?)?( ?[eE][rR]{2}[oO][rR])""),HYPERLINK(""https://www.munzee.com/map/?sandbox=1&amp;lat=""&amp;$D469&amp;""&amp;lon=""&amp;$E469&amp;""&amp;name=""&amp;SUBSTITUTE($A469,""#"",""%23""),""SANDBOX"""&amp;"),HYPERLINK(""https://www.munzee.com/m/""&amp;$H469&amp;""/deploys/0/type/""&amp;IFNA(VLOOKUP($G469,IMPORTRANGE(""https://docs.google.com/spreadsheets/d/1DliIGyDywdzxhd4svtjaewR0p9Y5UBTMNMQ2PcXsqss"",""type data!E2:F""),2,FALSE),$G469)&amp;""/"",$H469)),""""))"),"snakelips/2450")</f>
        <v>snakelips/2450</v>
      </c>
      <c r="L469" s="19" t="b">
        <v>1</v>
      </c>
      <c r="M469" s="12">
        <f t="shared" si="1"/>
        <v>7</v>
      </c>
      <c r="N469" s="13"/>
      <c r="O469" s="13"/>
      <c r="P469" s="15"/>
    </row>
    <row r="470">
      <c r="A470" s="15" t="s">
        <v>686</v>
      </c>
      <c r="B470" s="16">
        <v>24.0</v>
      </c>
      <c r="C470" s="16">
        <v>15.0</v>
      </c>
      <c r="D470" s="17">
        <v>44.862768782959</v>
      </c>
      <c r="E470" s="17">
        <v>-93.334019820507</v>
      </c>
      <c r="F470" s="16" t="s">
        <v>645</v>
      </c>
      <c r="G470" s="16" t="s">
        <v>17</v>
      </c>
      <c r="H470" s="33" t="s">
        <v>194</v>
      </c>
      <c r="I470" s="19">
        <v>8617.0</v>
      </c>
      <c r="J470" s="20"/>
      <c r="K470" s="11" t="str">
        <f>IFERROR(__xludf.DUMMYFUNCTION("IF(AND(REGEXMATCH($H470,""50( ?['fF]([oO]{2})?[tT]?)?( ?[eE][rR]{2}[oO][rR])"")=FALSE,$H470&lt;&gt;"""",$I470&lt;&gt;""""),HYPERLINK(""https://www.munzee.com/m/""&amp;$H470&amp;""/""&amp;$I470&amp;""/map/?lat=""&amp;$D470&amp;""&amp;lon=""&amp;$E470&amp;""&amp;type=""&amp;$G470&amp;""&amp;name=""&amp;SUBSTITUTE($A470,""#"&amp;""",""%23""),$H470&amp;""/""&amp;$I470),IF($H470&lt;&gt;"""",IF(REGEXMATCH($H470,""50( ?['fF]([oO]{2})?[tT]?)?( ?[eE][rR]{2}[oO][rR])""),HYPERLINK(""https://www.munzee.com/map/?sandbox=1&amp;lat=""&amp;$D470&amp;""&amp;lon=""&amp;$E470&amp;""&amp;name=""&amp;SUBSTITUTE($A470,""#"",""%23""),""SANDBOX"""&amp;"),HYPERLINK(""https://www.munzee.com/m/""&amp;$H470&amp;""/deploys/0/type/""&amp;IFNA(VLOOKUP($G470,IMPORTRANGE(""https://docs.google.com/spreadsheets/d/1DliIGyDywdzxhd4svtjaewR0p9Y5UBTMNMQ2PcXsqss"",""type data!E2:F""),2,FALSE),$G470)&amp;""/"",$H470)),""""))"),"warped6/8617")</f>
        <v>warped6/8617</v>
      </c>
      <c r="L470" s="19" t="b">
        <v>1</v>
      </c>
      <c r="M470" s="12">
        <f t="shared" si="1"/>
        <v>24</v>
      </c>
      <c r="N470" s="13"/>
      <c r="O470" s="13"/>
      <c r="P470" s="29"/>
    </row>
    <row r="471">
      <c r="A471" s="15" t="s">
        <v>687</v>
      </c>
      <c r="B471" s="16">
        <v>24.0</v>
      </c>
      <c r="C471" s="16">
        <v>16.0</v>
      </c>
      <c r="D471" s="17">
        <v>44.86276878278</v>
      </c>
      <c r="E471" s="17">
        <v>-93.333817040066</v>
      </c>
      <c r="F471" s="16" t="s">
        <v>41</v>
      </c>
      <c r="G471" s="16" t="s">
        <v>17</v>
      </c>
      <c r="H471" s="18" t="s">
        <v>109</v>
      </c>
      <c r="I471" s="19">
        <v>16358.0</v>
      </c>
      <c r="J471" s="21"/>
      <c r="K471" s="11" t="str">
        <f>IFERROR(__xludf.DUMMYFUNCTION("IF(AND(REGEXMATCH($H471,""50( ?['fF]([oO]{2})?[tT]?)?( ?[eE][rR]{2}[oO][rR])"")=FALSE,$H471&lt;&gt;"""",$I471&lt;&gt;""""),HYPERLINK(""https://www.munzee.com/m/""&amp;$H471&amp;""/""&amp;$I471&amp;""/map/?lat=""&amp;$D471&amp;""&amp;lon=""&amp;$E471&amp;""&amp;type=""&amp;$G471&amp;""&amp;name=""&amp;SUBSTITUTE($A471,""#"&amp;""",""%23""),$H471&amp;""/""&amp;$I471),IF($H471&lt;&gt;"""",IF(REGEXMATCH($H471,""50( ?['fF]([oO]{2})?[tT]?)?( ?[eE][rR]{2}[oO][rR])""),HYPERLINK(""https://www.munzee.com/map/?sandbox=1&amp;lat=""&amp;$D471&amp;""&amp;lon=""&amp;$E471&amp;""&amp;name=""&amp;SUBSTITUTE($A471,""#"",""%23""),""SANDBOX"""&amp;"),HYPERLINK(""https://www.munzee.com/m/""&amp;$H471&amp;""/deploys/0/type/""&amp;IFNA(VLOOKUP($G471,IMPORTRANGE(""https://docs.google.com/spreadsheets/d/1DliIGyDywdzxhd4svtjaewR0p9Y5UBTMNMQ2PcXsqss"",""type data!E2:F""),2,FALSE),$G471)&amp;""/"",$H471)),""""))"),"Whelen/16358")</f>
        <v>Whelen/16358</v>
      </c>
      <c r="L471" s="19" t="b">
        <v>1</v>
      </c>
      <c r="M471" s="12">
        <f t="shared" si="1"/>
        <v>22</v>
      </c>
      <c r="N471" s="13"/>
      <c r="O471" s="13"/>
      <c r="P471" s="15"/>
    </row>
    <row r="472">
      <c r="A472" s="15" t="s">
        <v>688</v>
      </c>
      <c r="B472" s="16">
        <v>24.0</v>
      </c>
      <c r="C472" s="16">
        <v>17.0</v>
      </c>
      <c r="D472" s="17">
        <v>44.862768782601</v>
      </c>
      <c r="E472" s="17">
        <v>-93.333614259626</v>
      </c>
      <c r="F472" s="16" t="s">
        <v>41</v>
      </c>
      <c r="G472" s="16" t="s">
        <v>17</v>
      </c>
      <c r="H472" s="18" t="s">
        <v>162</v>
      </c>
      <c r="I472" s="19">
        <v>2389.0</v>
      </c>
      <c r="J472" s="21"/>
      <c r="K472" s="11" t="str">
        <f>IFERROR(__xludf.DUMMYFUNCTION("IF(AND(REGEXMATCH($H472,""50( ?['fF]([oO]{2})?[tT]?)?( ?[eE][rR]{2}[oO][rR])"")=FALSE,$H472&lt;&gt;"""",$I472&lt;&gt;""""),HYPERLINK(""https://www.munzee.com/m/""&amp;$H472&amp;""/""&amp;$I472&amp;""/map/?lat=""&amp;$D472&amp;""&amp;lon=""&amp;$E472&amp;""&amp;type=""&amp;$G472&amp;""&amp;name=""&amp;SUBSTITUTE($A472,""#"&amp;""",""%23""),$H472&amp;""/""&amp;$I472),IF($H472&lt;&gt;"""",IF(REGEXMATCH($H472,""50( ?['fF]([oO]{2})?[tT]?)?( ?[eE][rR]{2}[oO][rR])""),HYPERLINK(""https://www.munzee.com/map/?sandbox=1&amp;lat=""&amp;$D472&amp;""&amp;lon=""&amp;$E472&amp;""&amp;name=""&amp;SUBSTITUTE($A472,""#"",""%23""),""SANDBOX"""&amp;"),HYPERLINK(""https://www.munzee.com/m/""&amp;$H472&amp;""/deploys/0/type/""&amp;IFNA(VLOOKUP($G472,IMPORTRANGE(""https://docs.google.com/spreadsheets/d/1DliIGyDywdzxhd4svtjaewR0p9Y5UBTMNMQ2PcXsqss"",""type data!E2:F""),2,FALSE),$G472)&amp;""/"",$H472)),""""))"),"CoffeeBender/2389")</f>
        <v>CoffeeBender/2389</v>
      </c>
      <c r="L472" s="19" t="b">
        <v>1</v>
      </c>
      <c r="M472" s="12">
        <f t="shared" si="1"/>
        <v>9</v>
      </c>
      <c r="N472" s="13"/>
      <c r="O472" s="13"/>
      <c r="P472" s="29"/>
    </row>
    <row r="473">
      <c r="A473" s="15" t="s">
        <v>689</v>
      </c>
      <c r="B473" s="16">
        <v>24.0</v>
      </c>
      <c r="C473" s="16">
        <v>18.0</v>
      </c>
      <c r="D473" s="17">
        <v>44.862768782421</v>
      </c>
      <c r="E473" s="17">
        <v>-93.333411479185</v>
      </c>
      <c r="F473" s="16" t="s">
        <v>41</v>
      </c>
      <c r="G473" s="16" t="s">
        <v>17</v>
      </c>
      <c r="H473" s="33" t="s">
        <v>194</v>
      </c>
      <c r="I473" s="19">
        <v>8306.0</v>
      </c>
      <c r="J473" s="20"/>
      <c r="K473" s="11" t="str">
        <f>IFERROR(__xludf.DUMMYFUNCTION("IF(AND(REGEXMATCH($H473,""50( ?['fF]([oO]{2})?[tT]?)?( ?[eE][rR]{2}[oO][rR])"")=FALSE,$H473&lt;&gt;"""",$I473&lt;&gt;""""),HYPERLINK(""https://www.munzee.com/m/""&amp;$H473&amp;""/""&amp;$I473&amp;""/map/?lat=""&amp;$D473&amp;""&amp;lon=""&amp;$E473&amp;""&amp;type=""&amp;$G473&amp;""&amp;name=""&amp;SUBSTITUTE($A473,""#"&amp;""",""%23""),$H473&amp;""/""&amp;$I473),IF($H473&lt;&gt;"""",IF(REGEXMATCH($H473,""50( ?['fF]([oO]{2})?[tT]?)?( ?[eE][rR]{2}[oO][rR])""),HYPERLINK(""https://www.munzee.com/map/?sandbox=1&amp;lat=""&amp;$D473&amp;""&amp;lon=""&amp;$E473&amp;""&amp;name=""&amp;SUBSTITUTE($A473,""#"",""%23""),""SANDBOX"""&amp;"),HYPERLINK(""https://www.munzee.com/m/""&amp;$H473&amp;""/deploys/0/type/""&amp;IFNA(VLOOKUP($G473,IMPORTRANGE(""https://docs.google.com/spreadsheets/d/1DliIGyDywdzxhd4svtjaewR0p9Y5UBTMNMQ2PcXsqss"",""type data!E2:F""),2,FALSE),$G473)&amp;""/"",$H473)),""""))"),"warped6/8306")</f>
        <v>warped6/8306</v>
      </c>
      <c r="L473" s="19" t="b">
        <v>1</v>
      </c>
      <c r="M473" s="12">
        <f t="shared" si="1"/>
        <v>24</v>
      </c>
      <c r="N473" s="13"/>
      <c r="O473" s="13"/>
      <c r="P473" s="29"/>
    </row>
    <row r="474">
      <c r="A474" s="15" t="s">
        <v>690</v>
      </c>
      <c r="B474" s="16">
        <v>24.0</v>
      </c>
      <c r="C474" s="16">
        <v>19.0</v>
      </c>
      <c r="D474" s="17">
        <v>44.862768782242</v>
      </c>
      <c r="E474" s="17">
        <v>-93.333208698744</v>
      </c>
      <c r="F474" s="16" t="s">
        <v>41</v>
      </c>
      <c r="G474" s="16" t="s">
        <v>17</v>
      </c>
      <c r="H474" s="18" t="s">
        <v>109</v>
      </c>
      <c r="I474" s="19">
        <v>16359.0</v>
      </c>
      <c r="J474" s="21"/>
      <c r="K474" s="11" t="str">
        <f>IFERROR(__xludf.DUMMYFUNCTION("IF(AND(REGEXMATCH($H474,""50( ?['fF]([oO]{2})?[tT]?)?( ?[eE][rR]{2}[oO][rR])"")=FALSE,$H474&lt;&gt;"""",$I474&lt;&gt;""""),HYPERLINK(""https://www.munzee.com/m/""&amp;$H474&amp;""/""&amp;$I474&amp;""/map/?lat=""&amp;$D474&amp;""&amp;lon=""&amp;$E474&amp;""&amp;type=""&amp;$G474&amp;""&amp;name=""&amp;SUBSTITUTE($A474,""#"&amp;""",""%23""),$H474&amp;""/""&amp;$I474),IF($H474&lt;&gt;"""",IF(REGEXMATCH($H474,""50( ?['fF]([oO]{2})?[tT]?)?( ?[eE][rR]{2}[oO][rR])""),HYPERLINK(""https://www.munzee.com/map/?sandbox=1&amp;lat=""&amp;$D474&amp;""&amp;lon=""&amp;$E474&amp;""&amp;name=""&amp;SUBSTITUTE($A474,""#"",""%23""),""SANDBOX"""&amp;"),HYPERLINK(""https://www.munzee.com/m/""&amp;$H474&amp;""/deploys/0/type/""&amp;IFNA(VLOOKUP($G474,IMPORTRANGE(""https://docs.google.com/spreadsheets/d/1DliIGyDywdzxhd4svtjaewR0p9Y5UBTMNMQ2PcXsqss"",""type data!E2:F""),2,FALSE),$G474)&amp;""/"",$H474)),""""))"),"Whelen/16359")</f>
        <v>Whelen/16359</v>
      </c>
      <c r="L474" s="19" t="b">
        <v>1</v>
      </c>
      <c r="M474" s="12">
        <f t="shared" si="1"/>
        <v>22</v>
      </c>
      <c r="N474" s="13"/>
      <c r="O474" s="13"/>
      <c r="P474" s="29"/>
    </row>
    <row r="475">
      <c r="A475" s="15" t="s">
        <v>691</v>
      </c>
      <c r="B475" s="16">
        <v>24.0</v>
      </c>
      <c r="C475" s="16">
        <v>20.0</v>
      </c>
      <c r="D475" s="17">
        <v>44.862768782062</v>
      </c>
      <c r="E475" s="17">
        <v>-93.333005918304</v>
      </c>
      <c r="F475" s="16" t="s">
        <v>41</v>
      </c>
      <c r="G475" s="16" t="s">
        <v>17</v>
      </c>
      <c r="H475" s="18" t="s">
        <v>692</v>
      </c>
      <c r="I475" s="19">
        <v>1601.0</v>
      </c>
      <c r="J475" s="21"/>
      <c r="K475" s="11" t="str">
        <f>IFERROR(__xludf.DUMMYFUNCTION("IF(AND(REGEXMATCH($H475,""50( ?['fF]([oO]{2})?[tT]?)?( ?[eE][rR]{2}[oO][rR])"")=FALSE,$H475&lt;&gt;"""",$I475&lt;&gt;""""),HYPERLINK(""https://www.munzee.com/m/""&amp;$H475&amp;""/""&amp;$I475&amp;""/map/?lat=""&amp;$D475&amp;""&amp;lon=""&amp;$E475&amp;""&amp;type=""&amp;$G475&amp;""&amp;name=""&amp;SUBSTITUTE($A475,""#"&amp;""",""%23""),$H475&amp;""/""&amp;$I475),IF($H475&lt;&gt;"""",IF(REGEXMATCH($H475,""50( ?['fF]([oO]{2})?[tT]?)?( ?[eE][rR]{2}[oO][rR])""),HYPERLINK(""https://www.munzee.com/map/?sandbox=1&amp;lat=""&amp;$D475&amp;""&amp;lon=""&amp;$E475&amp;""&amp;name=""&amp;SUBSTITUTE($A475,""#"",""%23""),""SANDBOX"""&amp;"),HYPERLINK(""https://www.munzee.com/m/""&amp;$H475&amp;""/deploys/0/type/""&amp;IFNA(VLOOKUP($G475,IMPORTRANGE(""https://docs.google.com/spreadsheets/d/1DliIGyDywdzxhd4svtjaewR0p9Y5UBTMNMQ2PcXsqss"",""type data!E2:F""),2,FALSE),$G475)&amp;""/"",$H475)),""""))"),"DresdnerDuo/1601")</f>
        <v>DresdnerDuo/1601</v>
      </c>
      <c r="L475" s="19" t="b">
        <v>1</v>
      </c>
      <c r="M475" s="12">
        <f t="shared" si="1"/>
        <v>1</v>
      </c>
      <c r="N475" s="13"/>
      <c r="O475" s="13"/>
      <c r="P475" s="29"/>
    </row>
    <row r="476">
      <c r="A476" s="15" t="s">
        <v>693</v>
      </c>
      <c r="B476" s="16">
        <v>24.0</v>
      </c>
      <c r="C476" s="16">
        <v>21.0</v>
      </c>
      <c r="D476" s="17">
        <v>44.862768781883</v>
      </c>
      <c r="E476" s="17">
        <v>-93.332803137863</v>
      </c>
      <c r="F476" s="16" t="s">
        <v>41</v>
      </c>
      <c r="G476" s="16" t="s">
        <v>410</v>
      </c>
      <c r="H476" s="18" t="s">
        <v>683</v>
      </c>
      <c r="I476" s="19">
        <v>2949.0</v>
      </c>
      <c r="J476" s="39"/>
      <c r="K476" s="11" t="str">
        <f>IFERROR(__xludf.DUMMYFUNCTION("IF(AND(REGEXMATCH($H476,""50( ?['fF]([oO]{2})?[tT]?)?( ?[eE][rR]{2}[oO][rR])"")=FALSE,$H476&lt;&gt;"""",$I476&lt;&gt;""""),HYPERLINK(""https://www.munzee.com/m/""&amp;$H476&amp;""/""&amp;$I476&amp;""/map/?lat=""&amp;$D476&amp;""&amp;lon=""&amp;$E476&amp;""&amp;type=""&amp;$G476&amp;""&amp;name=""&amp;SUBSTITUTE($A476,""#"&amp;""",""%23""),$H476&amp;""/""&amp;$I476),IF($H476&lt;&gt;"""",IF(REGEXMATCH($H476,""50( ?['fF]([oO]{2})?[tT]?)?( ?[eE][rR]{2}[oO][rR])""),HYPERLINK(""https://www.munzee.com/map/?sandbox=1&amp;lat=""&amp;$D476&amp;""&amp;lon=""&amp;$E476&amp;""&amp;name=""&amp;SUBSTITUTE($A476,""#"",""%23""),""SANDBOX"""&amp;"),HYPERLINK(""https://www.munzee.com/m/""&amp;$H476&amp;""/deploys/0/type/""&amp;IFNA(VLOOKUP($G476,IMPORTRANGE(""https://docs.google.com/spreadsheets/d/1DliIGyDywdzxhd4svtjaewR0p9Y5UBTMNMQ2PcXsqss"",""type data!E2:F""),2,FALSE),$G476)&amp;""/"",$H476)),""""))"),"GrizzSteve/2949")</f>
        <v>GrizzSteve/2949</v>
      </c>
      <c r="L476" s="19" t="b">
        <v>1</v>
      </c>
      <c r="M476" s="12">
        <f t="shared" si="1"/>
        <v>5</v>
      </c>
      <c r="N476" s="13"/>
      <c r="O476" s="13"/>
      <c r="P476" s="29"/>
    </row>
    <row r="477">
      <c r="A477" s="15" t="s">
        <v>694</v>
      </c>
      <c r="B477" s="16">
        <v>24.0</v>
      </c>
      <c r="C477" s="16">
        <v>22.0</v>
      </c>
      <c r="D477" s="17">
        <v>44.862768781703</v>
      </c>
      <c r="E477" s="17">
        <v>-93.332600357423</v>
      </c>
      <c r="F477" s="16" t="s">
        <v>510</v>
      </c>
      <c r="G477" s="16" t="s">
        <v>410</v>
      </c>
      <c r="H477" s="18" t="s">
        <v>109</v>
      </c>
      <c r="I477" s="19">
        <v>16360.0</v>
      </c>
      <c r="J477" s="21"/>
      <c r="K477" s="11" t="str">
        <f>IFERROR(__xludf.DUMMYFUNCTION("IF(AND(REGEXMATCH($H477,""50( ?['fF]([oO]{2})?[tT]?)?( ?[eE][rR]{2}[oO][rR])"")=FALSE,$H477&lt;&gt;"""",$I477&lt;&gt;""""),HYPERLINK(""https://www.munzee.com/m/""&amp;$H477&amp;""/""&amp;$I477&amp;""/map/?lat=""&amp;$D477&amp;""&amp;lon=""&amp;$E477&amp;""&amp;type=""&amp;$G477&amp;""&amp;name=""&amp;SUBSTITUTE($A477,""#"&amp;""",""%23""),$H477&amp;""/""&amp;$I477),IF($H477&lt;&gt;"""",IF(REGEXMATCH($H477,""50( ?['fF]([oO]{2})?[tT]?)?( ?[eE][rR]{2}[oO][rR])""),HYPERLINK(""https://www.munzee.com/map/?sandbox=1&amp;lat=""&amp;$D477&amp;""&amp;lon=""&amp;$E477&amp;""&amp;name=""&amp;SUBSTITUTE($A477,""#"",""%23""),""SANDBOX"""&amp;"),HYPERLINK(""https://www.munzee.com/m/""&amp;$H477&amp;""/deploys/0/type/""&amp;IFNA(VLOOKUP($G477,IMPORTRANGE(""https://docs.google.com/spreadsheets/d/1DliIGyDywdzxhd4svtjaewR0p9Y5UBTMNMQ2PcXsqss"",""type data!E2:F""),2,FALSE),$G477)&amp;""/"",$H477)),""""))"),"Whelen/16360")</f>
        <v>Whelen/16360</v>
      </c>
      <c r="L477" s="19" t="b">
        <v>1</v>
      </c>
      <c r="M477" s="12">
        <f t="shared" si="1"/>
        <v>22</v>
      </c>
      <c r="N477" s="13"/>
      <c r="O477" s="13"/>
      <c r="P477" s="15"/>
    </row>
    <row r="478">
      <c r="A478" s="15" t="s">
        <v>695</v>
      </c>
      <c r="B478" s="16">
        <v>24.0</v>
      </c>
      <c r="C478" s="16">
        <v>23.0</v>
      </c>
      <c r="D478" s="17">
        <v>44.862768781524</v>
      </c>
      <c r="E478" s="17">
        <v>-93.332397576982</v>
      </c>
      <c r="F478" s="16" t="s">
        <v>510</v>
      </c>
      <c r="G478" s="16" t="s">
        <v>410</v>
      </c>
      <c r="H478" s="33" t="s">
        <v>194</v>
      </c>
      <c r="I478" s="19">
        <v>8305.0</v>
      </c>
      <c r="J478" s="20"/>
      <c r="K478" s="11" t="str">
        <f>IFERROR(__xludf.DUMMYFUNCTION("IF(AND(REGEXMATCH($H478,""50( ?['fF]([oO]{2})?[tT]?)?( ?[eE][rR]{2}[oO][rR])"")=FALSE,$H478&lt;&gt;"""",$I478&lt;&gt;""""),HYPERLINK(""https://www.munzee.com/m/""&amp;$H478&amp;""/""&amp;$I478&amp;""/map/?lat=""&amp;$D478&amp;""&amp;lon=""&amp;$E478&amp;""&amp;type=""&amp;$G478&amp;""&amp;name=""&amp;SUBSTITUTE($A478,""#"&amp;""",""%23""),$H478&amp;""/""&amp;$I478),IF($H478&lt;&gt;"""",IF(REGEXMATCH($H478,""50( ?['fF]([oO]{2})?[tT]?)?( ?[eE][rR]{2}[oO][rR])""),HYPERLINK(""https://www.munzee.com/map/?sandbox=1&amp;lat=""&amp;$D478&amp;""&amp;lon=""&amp;$E478&amp;""&amp;name=""&amp;SUBSTITUTE($A478,""#"",""%23""),""SANDBOX"""&amp;"),HYPERLINK(""https://www.munzee.com/m/""&amp;$H478&amp;""/deploys/0/type/""&amp;IFNA(VLOOKUP($G478,IMPORTRANGE(""https://docs.google.com/spreadsheets/d/1DliIGyDywdzxhd4svtjaewR0p9Y5UBTMNMQ2PcXsqss"",""type data!E2:F""),2,FALSE),$G478)&amp;""/"",$H478)),""""))"),"warped6/8305")</f>
        <v>warped6/8305</v>
      </c>
      <c r="L478" s="19" t="b">
        <v>1</v>
      </c>
      <c r="M478" s="12">
        <f t="shared" si="1"/>
        <v>24</v>
      </c>
      <c r="N478" s="13"/>
      <c r="O478" s="13"/>
      <c r="P478" s="29"/>
    </row>
    <row r="479">
      <c r="A479" s="15" t="s">
        <v>696</v>
      </c>
      <c r="B479" s="16">
        <v>24.0</v>
      </c>
      <c r="C479" s="16">
        <v>24.0</v>
      </c>
      <c r="D479" s="17">
        <v>44.862768781345</v>
      </c>
      <c r="E479" s="17">
        <v>-93.332194796542</v>
      </c>
      <c r="F479" s="16" t="s">
        <v>41</v>
      </c>
      <c r="G479" s="16" t="s">
        <v>410</v>
      </c>
      <c r="H479" s="18" t="s">
        <v>637</v>
      </c>
      <c r="I479" s="19">
        <v>661.0</v>
      </c>
      <c r="J479" s="21"/>
      <c r="K479" s="11" t="str">
        <f>IFERROR(__xludf.DUMMYFUNCTION("IF(AND(REGEXMATCH($H479,""50( ?['fF]([oO]{2})?[tT]?)?( ?[eE][rR]{2}[oO][rR])"")=FALSE,$H479&lt;&gt;"""",$I479&lt;&gt;""""),HYPERLINK(""https://www.munzee.com/m/""&amp;$H479&amp;""/""&amp;$I479&amp;""/map/?lat=""&amp;$D479&amp;""&amp;lon=""&amp;$E479&amp;""&amp;type=""&amp;$G479&amp;""&amp;name=""&amp;SUBSTITUTE($A479,""#"&amp;""",""%23""),$H479&amp;""/""&amp;$I479),IF($H479&lt;&gt;"""",IF(REGEXMATCH($H479,""50( ?['fF]([oO]{2})?[tT]?)?( ?[eE][rR]{2}[oO][rR])""),HYPERLINK(""https://www.munzee.com/map/?sandbox=1&amp;lat=""&amp;$D479&amp;""&amp;lon=""&amp;$E479&amp;""&amp;name=""&amp;SUBSTITUTE($A479,""#"",""%23""),""SANDBOX"""&amp;"),HYPERLINK(""https://www.munzee.com/m/""&amp;$H479&amp;""/deploys/0/type/""&amp;IFNA(VLOOKUP($G479,IMPORTRANGE(""https://docs.google.com/spreadsheets/d/1DliIGyDywdzxhd4svtjaewR0p9Y5UBTMNMQ2PcXsqss"",""type data!E2:F""),2,FALSE),$G479)&amp;""/"",$H479)),""""))"),"csnearl/661")</f>
        <v>csnearl/661</v>
      </c>
      <c r="L479" s="19" t="b">
        <v>1</v>
      </c>
      <c r="M479" s="12">
        <f t="shared" si="1"/>
        <v>4</v>
      </c>
      <c r="N479" s="13"/>
      <c r="O479" s="13"/>
      <c r="P479" s="29"/>
    </row>
    <row r="480">
      <c r="A480" s="15" t="s">
        <v>697</v>
      </c>
      <c r="B480" s="16">
        <v>24.0</v>
      </c>
      <c r="C480" s="16">
        <v>25.0</v>
      </c>
      <c r="D480" s="17">
        <v>44.862768781165</v>
      </c>
      <c r="E480" s="17">
        <v>-93.331992016101</v>
      </c>
      <c r="F480" s="16" t="s">
        <v>41</v>
      </c>
      <c r="G480" s="16" t="s">
        <v>410</v>
      </c>
      <c r="H480" s="18" t="s">
        <v>109</v>
      </c>
      <c r="I480" s="19">
        <v>16387.0</v>
      </c>
      <c r="J480" s="21"/>
      <c r="K480" s="11" t="str">
        <f>IFERROR(__xludf.DUMMYFUNCTION("IF(AND(REGEXMATCH($H480,""50( ?['fF]([oO]{2})?[tT]?)?( ?[eE][rR]{2}[oO][rR])"")=FALSE,$H480&lt;&gt;"""",$I480&lt;&gt;""""),HYPERLINK(""https://www.munzee.com/m/""&amp;$H480&amp;""/""&amp;$I480&amp;""/map/?lat=""&amp;$D480&amp;""&amp;lon=""&amp;$E480&amp;""&amp;type=""&amp;$G480&amp;""&amp;name=""&amp;SUBSTITUTE($A480,""#"&amp;""",""%23""),$H480&amp;""/""&amp;$I480),IF($H480&lt;&gt;"""",IF(REGEXMATCH($H480,""50( ?['fF]([oO]{2})?[tT]?)?( ?[eE][rR]{2}[oO][rR])""),HYPERLINK(""https://www.munzee.com/map/?sandbox=1&amp;lat=""&amp;$D480&amp;""&amp;lon=""&amp;$E480&amp;""&amp;name=""&amp;SUBSTITUTE($A480,""#"",""%23""),""SANDBOX"""&amp;"),HYPERLINK(""https://www.munzee.com/m/""&amp;$H480&amp;""/deploys/0/type/""&amp;IFNA(VLOOKUP($G480,IMPORTRANGE(""https://docs.google.com/spreadsheets/d/1DliIGyDywdzxhd4svtjaewR0p9Y5UBTMNMQ2PcXsqss"",""type data!E2:F""),2,FALSE),$G480)&amp;""/"",$H480)),""""))"),"Whelen/16387")</f>
        <v>Whelen/16387</v>
      </c>
      <c r="L480" s="19" t="b">
        <v>1</v>
      </c>
      <c r="M480" s="12">
        <f t="shared" si="1"/>
        <v>22</v>
      </c>
      <c r="N480" s="13"/>
      <c r="O480" s="13"/>
      <c r="P480" s="29"/>
    </row>
    <row r="481">
      <c r="A481" s="15" t="s">
        <v>698</v>
      </c>
      <c r="B481" s="16">
        <v>24.0</v>
      </c>
      <c r="C481" s="16">
        <v>26.0</v>
      </c>
      <c r="D481" s="17">
        <v>44.862768780986</v>
      </c>
      <c r="E481" s="17">
        <v>-93.331789235661</v>
      </c>
      <c r="F481" s="16" t="s">
        <v>41</v>
      </c>
      <c r="G481" s="16" t="s">
        <v>17</v>
      </c>
      <c r="H481" s="18" t="s">
        <v>699</v>
      </c>
      <c r="I481" s="19">
        <v>11594.0</v>
      </c>
      <c r="J481" s="20"/>
      <c r="K481" s="11" t="str">
        <f>IFERROR(__xludf.DUMMYFUNCTION("IF(AND(REGEXMATCH($H481,""50( ?['fF]([oO]{2})?[tT]?)?( ?[eE][rR]{2}[oO][rR])"")=FALSE,$H481&lt;&gt;"""",$I481&lt;&gt;""""),HYPERLINK(""https://www.munzee.com/m/""&amp;$H481&amp;""/""&amp;$I481&amp;""/map/?lat=""&amp;$D481&amp;""&amp;lon=""&amp;$E481&amp;""&amp;type=""&amp;$G481&amp;""&amp;name=""&amp;SUBSTITUTE($A481,""#"&amp;""",""%23""),$H481&amp;""/""&amp;$I481),IF($H481&lt;&gt;"""",IF(REGEXMATCH($H481,""50( ?['fF]([oO]{2})?[tT]?)?( ?[eE][rR]{2}[oO][rR])""),HYPERLINK(""https://www.munzee.com/map/?sandbox=1&amp;lat=""&amp;$D481&amp;""&amp;lon=""&amp;$E481&amp;""&amp;name=""&amp;SUBSTITUTE($A481,""#"",""%23""),""SANDBOX"""&amp;"),HYPERLINK(""https://www.munzee.com/m/""&amp;$H481&amp;""/deploys/0/type/""&amp;IFNA(VLOOKUP($G481,IMPORTRANGE(""https://docs.google.com/spreadsheets/d/1DliIGyDywdzxhd4svtjaewR0p9Y5UBTMNMQ2PcXsqss"",""type data!E2:F""),2,FALSE),$G481)&amp;""/"",$H481)),""""))"),"Obi-Cal/11594")</f>
        <v>Obi-Cal/11594</v>
      </c>
      <c r="L481" s="19" t="b">
        <v>1</v>
      </c>
      <c r="M481" s="12">
        <f t="shared" si="1"/>
        <v>1</v>
      </c>
      <c r="N481" s="13"/>
      <c r="O481" s="13"/>
      <c r="P481" s="15"/>
    </row>
    <row r="482">
      <c r="A482" s="15" t="s">
        <v>700</v>
      </c>
      <c r="B482" s="16">
        <v>24.0</v>
      </c>
      <c r="C482" s="16">
        <v>27.0</v>
      </c>
      <c r="D482" s="17">
        <v>44.862768780806</v>
      </c>
      <c r="E482" s="17">
        <v>-93.33158645522</v>
      </c>
      <c r="F482" s="16" t="s">
        <v>41</v>
      </c>
      <c r="G482" s="16" t="s">
        <v>17</v>
      </c>
      <c r="H482" s="18" t="s">
        <v>701</v>
      </c>
      <c r="I482" s="19">
        <v>7320.0</v>
      </c>
      <c r="J482" s="20"/>
      <c r="K482" s="11" t="str">
        <f>IFERROR(__xludf.DUMMYFUNCTION("IF(AND(REGEXMATCH($H482,""50( ?['fF]([oO]{2})?[tT]?)?( ?[eE][rR]{2}[oO][rR])"")=FALSE,$H482&lt;&gt;"""",$I482&lt;&gt;""""),HYPERLINK(""https://www.munzee.com/m/""&amp;$H482&amp;""/""&amp;$I482&amp;""/map/?lat=""&amp;$D482&amp;""&amp;lon=""&amp;$E482&amp;""&amp;type=""&amp;$G482&amp;""&amp;name=""&amp;SUBSTITUTE($A482,""#"&amp;""",""%23""),$H482&amp;""/""&amp;$I482),IF($H482&lt;&gt;"""",IF(REGEXMATCH($H482,""50( ?['fF]([oO]{2})?[tT]?)?( ?[eE][rR]{2}[oO][rR])""),HYPERLINK(""https://www.munzee.com/map/?sandbox=1&amp;lat=""&amp;$D482&amp;""&amp;lon=""&amp;$E482&amp;""&amp;name=""&amp;SUBSTITUTE($A482,""#"",""%23""),""SANDBOX"""&amp;"),HYPERLINK(""https://www.munzee.com/m/""&amp;$H482&amp;""/deploys/0/type/""&amp;IFNA(VLOOKUP($G482,IMPORTRANGE(""https://docs.google.com/spreadsheets/d/1DliIGyDywdzxhd4svtjaewR0p9Y5UBTMNMQ2PcXsqss"",""type data!E2:F""),2,FALSE),$G482)&amp;""/"",$H482)),""""))"),"10pmMeerkat/7320")</f>
        <v>10pmMeerkat/7320</v>
      </c>
      <c r="L482" s="19" t="b">
        <v>1</v>
      </c>
      <c r="M482" s="12">
        <f t="shared" si="1"/>
        <v>1</v>
      </c>
      <c r="N482" s="13"/>
      <c r="O482" s="13"/>
      <c r="P482" s="29"/>
    </row>
    <row r="483">
      <c r="A483" s="15" t="s">
        <v>702</v>
      </c>
      <c r="B483" s="16">
        <v>24.0</v>
      </c>
      <c r="C483" s="16">
        <v>28.0</v>
      </c>
      <c r="D483" s="17">
        <v>44.862768780627</v>
      </c>
      <c r="E483" s="17">
        <v>-93.33138367478</v>
      </c>
      <c r="F483" s="16" t="s">
        <v>16</v>
      </c>
      <c r="G483" s="16" t="s">
        <v>17</v>
      </c>
      <c r="H483" s="18" t="s">
        <v>683</v>
      </c>
      <c r="I483" s="19">
        <v>2950.0</v>
      </c>
      <c r="J483" s="39"/>
      <c r="K483" s="11" t="str">
        <f>IFERROR(__xludf.DUMMYFUNCTION("IF(AND(REGEXMATCH($H483,""50( ?['fF]([oO]{2})?[tT]?)?( ?[eE][rR]{2}[oO][rR])"")=FALSE,$H483&lt;&gt;"""",$I483&lt;&gt;""""),HYPERLINK(""https://www.munzee.com/m/""&amp;$H483&amp;""/""&amp;$I483&amp;""/map/?lat=""&amp;$D483&amp;""&amp;lon=""&amp;$E483&amp;""&amp;type=""&amp;$G483&amp;""&amp;name=""&amp;SUBSTITUTE($A483,""#"&amp;""",""%23""),$H483&amp;""/""&amp;$I483),IF($H483&lt;&gt;"""",IF(REGEXMATCH($H483,""50( ?['fF]([oO]{2})?[tT]?)?( ?[eE][rR]{2}[oO][rR])""),HYPERLINK(""https://www.munzee.com/map/?sandbox=1&amp;lat=""&amp;$D483&amp;""&amp;lon=""&amp;$E483&amp;""&amp;name=""&amp;SUBSTITUTE($A483,""#"",""%23""),""SANDBOX"""&amp;"),HYPERLINK(""https://www.munzee.com/m/""&amp;$H483&amp;""/deploys/0/type/""&amp;IFNA(VLOOKUP($G483,IMPORTRANGE(""https://docs.google.com/spreadsheets/d/1DliIGyDywdzxhd4svtjaewR0p9Y5UBTMNMQ2PcXsqss"",""type data!E2:F""),2,FALSE),$G483)&amp;""/"",$H483)),""""))"),"GrizzSteve/2950")</f>
        <v>GrizzSteve/2950</v>
      </c>
      <c r="L483" s="19" t="b">
        <v>1</v>
      </c>
      <c r="M483" s="12">
        <f t="shared" si="1"/>
        <v>5</v>
      </c>
      <c r="N483" s="13"/>
      <c r="O483" s="13"/>
      <c r="P483" s="29"/>
    </row>
    <row r="484">
      <c r="A484" s="15" t="s">
        <v>703</v>
      </c>
      <c r="B484" s="16">
        <v>25.0</v>
      </c>
      <c r="C484" s="16">
        <v>1.0</v>
      </c>
      <c r="D484" s="17">
        <v>44.862625055026</v>
      </c>
      <c r="E484" s="17">
        <v>-93.336858754775</v>
      </c>
      <c r="F484" s="16" t="s">
        <v>16</v>
      </c>
      <c r="G484" s="16" t="s">
        <v>17</v>
      </c>
      <c r="H484" s="18" t="s">
        <v>14</v>
      </c>
      <c r="I484" s="19">
        <v>2130.0</v>
      </c>
      <c r="J484" s="20"/>
      <c r="K484" s="11" t="str">
        <f>IFERROR(__xludf.DUMMYFUNCTION("IF(AND(REGEXMATCH($H484,""50( ?['fF]([oO]{2})?[tT]?)?( ?[eE][rR]{2}[oO][rR])"")=FALSE,$H484&lt;&gt;"""",$I484&lt;&gt;""""),HYPERLINK(""https://www.munzee.com/m/""&amp;$H484&amp;""/""&amp;$I484&amp;""/map/?lat=""&amp;$D484&amp;""&amp;lon=""&amp;$E484&amp;""&amp;type=""&amp;$G484&amp;""&amp;name=""&amp;SUBSTITUTE($A484,""#"&amp;""",""%23""),$H484&amp;""/""&amp;$I484),IF($H484&lt;&gt;"""",IF(REGEXMATCH($H484,""50( ?['fF]([oO]{2})?[tT]?)?( ?[eE][rR]{2}[oO][rR])""),HYPERLINK(""https://www.munzee.com/map/?sandbox=1&amp;lat=""&amp;$D484&amp;""&amp;lon=""&amp;$E484&amp;""&amp;name=""&amp;SUBSTITUTE($A484,""#"",""%23""),""SANDBOX"""&amp;"),HYPERLINK(""https://www.munzee.com/m/""&amp;$H484&amp;""/deploys/0/type/""&amp;IFNA(VLOOKUP($G484,IMPORTRANGE(""https://docs.google.com/spreadsheets/d/1DliIGyDywdzxhd4svtjaewR0p9Y5UBTMNMQ2PcXsqss"",""type data!E2:F""),2,FALSE),$G484)&amp;""/"",$H484)),""""))"),"JABIE28/2130")</f>
        <v>JABIE28/2130</v>
      </c>
      <c r="L484" s="19" t="b">
        <v>1</v>
      </c>
      <c r="M484" s="12">
        <f t="shared" si="1"/>
        <v>85</v>
      </c>
      <c r="N484" s="13"/>
      <c r="O484" s="13"/>
      <c r="P484" s="29"/>
    </row>
    <row r="485">
      <c r="A485" s="15" t="s">
        <v>704</v>
      </c>
      <c r="B485" s="16">
        <v>25.0</v>
      </c>
      <c r="C485" s="16">
        <v>2.0</v>
      </c>
      <c r="D485" s="17">
        <v>44.862625054846</v>
      </c>
      <c r="E485" s="17">
        <v>-93.33665597484</v>
      </c>
      <c r="F485" s="16" t="s">
        <v>41</v>
      </c>
      <c r="G485" s="16" t="s">
        <v>17</v>
      </c>
      <c r="H485" s="18" t="s">
        <v>649</v>
      </c>
      <c r="I485" s="19">
        <v>1599.0</v>
      </c>
      <c r="J485" s="39"/>
      <c r="K485" s="11" t="str">
        <f>IFERROR(__xludf.DUMMYFUNCTION("IF(AND(REGEXMATCH($H485,""50( ?['fF]([oO]{2})?[tT]?)?( ?[eE][rR]{2}[oO][rR])"")=FALSE,$H485&lt;&gt;"""",$I485&lt;&gt;""""),HYPERLINK(""https://www.munzee.com/m/""&amp;$H485&amp;""/""&amp;$I485&amp;""/map/?lat=""&amp;$D485&amp;""&amp;lon=""&amp;$E485&amp;""&amp;type=""&amp;$G485&amp;""&amp;name=""&amp;SUBSTITUTE($A485,""#"&amp;""",""%23""),$H485&amp;""/""&amp;$I485),IF($H485&lt;&gt;"""",IF(REGEXMATCH($H485,""50( ?['fF]([oO]{2})?[tT]?)?( ?[eE][rR]{2}[oO][rR])""),HYPERLINK(""https://www.munzee.com/map/?sandbox=1&amp;lat=""&amp;$D485&amp;""&amp;lon=""&amp;$E485&amp;""&amp;name=""&amp;SUBSTITUTE($A485,""#"",""%23""),""SANDBOX"""&amp;"),HYPERLINK(""https://www.munzee.com/m/""&amp;$H485&amp;""/deploys/0/type/""&amp;IFNA(VLOOKUP($G485,IMPORTRANGE(""https://docs.google.com/spreadsheets/d/1DliIGyDywdzxhd4svtjaewR0p9Y5UBTMNMQ2PcXsqss"",""type data!E2:F""),2,FALSE),$G485)&amp;""/"",$H485)),""""))"),"oriole/1599")</f>
        <v>oriole/1599</v>
      </c>
      <c r="L485" s="19" t="b">
        <v>1</v>
      </c>
      <c r="M485" s="12">
        <f t="shared" si="1"/>
        <v>4</v>
      </c>
      <c r="N485" s="13"/>
      <c r="O485" s="13"/>
      <c r="P485" s="15"/>
    </row>
    <row r="486">
      <c r="A486" s="15" t="s">
        <v>705</v>
      </c>
      <c r="B486" s="16">
        <v>25.0</v>
      </c>
      <c r="C486" s="16">
        <v>3.0</v>
      </c>
      <c r="D486" s="17">
        <v>44.862625054667</v>
      </c>
      <c r="E486" s="17">
        <v>-93.336453194906</v>
      </c>
      <c r="F486" s="16" t="s">
        <v>41</v>
      </c>
      <c r="G486" s="16" t="s">
        <v>17</v>
      </c>
      <c r="H486" s="18" t="s">
        <v>44</v>
      </c>
      <c r="I486" s="19">
        <v>943.0</v>
      </c>
      <c r="J486" s="39"/>
      <c r="K486" s="11" t="str">
        <f>IFERROR(__xludf.DUMMYFUNCTION("IF(AND(REGEXMATCH($H486,""50( ?['fF]([oO]{2})?[tT]?)?( ?[eE][rR]{2}[oO][rR])"")=FALSE,$H486&lt;&gt;"""",$I486&lt;&gt;""""),HYPERLINK(""https://www.munzee.com/m/""&amp;$H486&amp;""/""&amp;$I486&amp;""/map/?lat=""&amp;$D486&amp;""&amp;lon=""&amp;$E486&amp;""&amp;type=""&amp;$G486&amp;""&amp;name=""&amp;SUBSTITUTE($A486,""#"&amp;""",""%23""),$H486&amp;""/""&amp;$I486),IF($H486&lt;&gt;"""",IF(REGEXMATCH($H486,""50( ?['fF]([oO]{2})?[tT]?)?( ?[eE][rR]{2}[oO][rR])""),HYPERLINK(""https://www.munzee.com/map/?sandbox=1&amp;lat=""&amp;$D486&amp;""&amp;lon=""&amp;$E486&amp;""&amp;name=""&amp;SUBSTITUTE($A486,""#"",""%23""),""SANDBOX"""&amp;"),HYPERLINK(""https://www.munzee.com/m/""&amp;$H486&amp;""/deploys/0/type/""&amp;IFNA(VLOOKUP($G486,IMPORTRANGE(""https://docs.google.com/spreadsheets/d/1DliIGyDywdzxhd4svtjaewR0p9Y5UBTMNMQ2PcXsqss"",""type data!E2:F""),2,FALSE),$G486)&amp;""/"",$H486)),""""))"),"FromTheTardis/943")</f>
        <v>FromTheTardis/943</v>
      </c>
      <c r="L486" s="19" t="b">
        <v>1</v>
      </c>
      <c r="M486" s="12">
        <f t="shared" si="1"/>
        <v>2</v>
      </c>
      <c r="N486" s="13"/>
      <c r="O486" s="13"/>
      <c r="P486" s="29"/>
    </row>
    <row r="487">
      <c r="A487" s="15" t="s">
        <v>706</v>
      </c>
      <c r="B487" s="16">
        <v>25.0</v>
      </c>
      <c r="C487" s="16">
        <v>4.0</v>
      </c>
      <c r="D487" s="17">
        <v>44.862625054488</v>
      </c>
      <c r="E487" s="17">
        <v>-93.336250414972</v>
      </c>
      <c r="F487" s="16" t="s">
        <v>41</v>
      </c>
      <c r="G487" s="16" t="s">
        <v>17</v>
      </c>
      <c r="H487" s="18" t="s">
        <v>14</v>
      </c>
      <c r="I487" s="19">
        <v>2147.0</v>
      </c>
      <c r="J487" s="20"/>
      <c r="K487" s="11" t="str">
        <f>IFERROR(__xludf.DUMMYFUNCTION("IF(AND(REGEXMATCH($H487,""50( ?['fF]([oO]{2})?[tT]?)?( ?[eE][rR]{2}[oO][rR])"")=FALSE,$H487&lt;&gt;"""",$I487&lt;&gt;""""),HYPERLINK(""https://www.munzee.com/m/""&amp;$H487&amp;""/""&amp;$I487&amp;""/map/?lat=""&amp;$D487&amp;""&amp;lon=""&amp;$E487&amp;""&amp;type=""&amp;$G487&amp;""&amp;name=""&amp;SUBSTITUTE($A487,""#"&amp;""",""%23""),$H487&amp;""/""&amp;$I487),IF($H487&lt;&gt;"""",IF(REGEXMATCH($H487,""50( ?['fF]([oO]{2})?[tT]?)?( ?[eE][rR]{2}[oO][rR])""),HYPERLINK(""https://www.munzee.com/map/?sandbox=1&amp;lat=""&amp;$D487&amp;""&amp;lon=""&amp;$E487&amp;""&amp;name=""&amp;SUBSTITUTE($A487,""#"",""%23""),""SANDBOX"""&amp;"),HYPERLINK(""https://www.munzee.com/m/""&amp;$H487&amp;""/deploys/0/type/""&amp;IFNA(VLOOKUP($G487,IMPORTRANGE(""https://docs.google.com/spreadsheets/d/1DliIGyDywdzxhd4svtjaewR0p9Y5UBTMNMQ2PcXsqss"",""type data!E2:F""),2,FALSE),$G487)&amp;""/"",$H487)),""""))"),"JABIE28/2147")</f>
        <v>JABIE28/2147</v>
      </c>
      <c r="L487" s="19" t="b">
        <v>1</v>
      </c>
      <c r="M487" s="12">
        <f t="shared" si="1"/>
        <v>85</v>
      </c>
      <c r="N487" s="13"/>
      <c r="O487" s="13"/>
      <c r="P487" s="29"/>
    </row>
    <row r="488">
      <c r="A488" s="15" t="s">
        <v>707</v>
      </c>
      <c r="B488" s="16">
        <v>25.0</v>
      </c>
      <c r="C488" s="16">
        <v>5.0</v>
      </c>
      <c r="D488" s="17">
        <v>44.862625054308</v>
      </c>
      <c r="E488" s="17">
        <v>-93.336047635037</v>
      </c>
      <c r="F488" s="16" t="s">
        <v>41</v>
      </c>
      <c r="G488" s="16" t="s">
        <v>17</v>
      </c>
      <c r="H488" s="18" t="s">
        <v>708</v>
      </c>
      <c r="I488" s="19">
        <v>6106.0</v>
      </c>
      <c r="J488" s="20"/>
      <c r="K488" s="11" t="str">
        <f>IFERROR(__xludf.DUMMYFUNCTION("IF(AND(REGEXMATCH($H488,""50( ?['fF]([oO]{2})?[tT]?)?( ?[eE][rR]{2}[oO][rR])"")=FALSE,$H488&lt;&gt;"""",$I488&lt;&gt;""""),HYPERLINK(""https://www.munzee.com/m/""&amp;$H488&amp;""/""&amp;$I488&amp;""/map/?lat=""&amp;$D488&amp;""&amp;lon=""&amp;$E488&amp;""&amp;type=""&amp;$G488&amp;""&amp;name=""&amp;SUBSTITUTE($A488,""#"&amp;""",""%23""),$H488&amp;""/""&amp;$I488),IF($H488&lt;&gt;"""",IF(REGEXMATCH($H488,""50( ?['fF]([oO]{2})?[tT]?)?( ?[eE][rR]{2}[oO][rR])""),HYPERLINK(""https://www.munzee.com/map/?sandbox=1&amp;lat=""&amp;$D488&amp;""&amp;lon=""&amp;$E488&amp;""&amp;name=""&amp;SUBSTITUTE($A488,""#"",""%23""),""SANDBOX"""&amp;"),HYPERLINK(""https://www.munzee.com/m/""&amp;$H488&amp;""/deploys/0/type/""&amp;IFNA(VLOOKUP($G488,IMPORTRANGE(""https://docs.google.com/spreadsheets/d/1DliIGyDywdzxhd4svtjaewR0p9Y5UBTMNMQ2PcXsqss"",""type data!E2:F""),2,FALSE),$G488)&amp;""/"",$H488)),""""))"),"mrsg9064/6106")</f>
        <v>mrsg9064/6106</v>
      </c>
      <c r="L488" s="19" t="b">
        <v>1</v>
      </c>
      <c r="M488" s="12">
        <f t="shared" si="1"/>
        <v>2</v>
      </c>
      <c r="N488" s="13"/>
      <c r="O488" s="13"/>
      <c r="P488" s="15"/>
    </row>
    <row r="489">
      <c r="A489" s="15" t="s">
        <v>709</v>
      </c>
      <c r="B489" s="16">
        <v>25.0</v>
      </c>
      <c r="C489" s="16">
        <v>6.0</v>
      </c>
      <c r="D489" s="17">
        <v>44.862625054129</v>
      </c>
      <c r="E489" s="17">
        <v>-93.335844855103</v>
      </c>
      <c r="F489" s="16" t="s">
        <v>510</v>
      </c>
      <c r="G489" s="16" t="s">
        <v>17</v>
      </c>
      <c r="H489" s="18" t="s">
        <v>710</v>
      </c>
      <c r="I489" s="19">
        <v>2125.0</v>
      </c>
      <c r="J489" s="21"/>
      <c r="K489" s="11" t="str">
        <f>IFERROR(__xludf.DUMMYFUNCTION("IF(AND(REGEXMATCH($H489,""50( ?['fF]([oO]{2})?[tT]?)?( ?[eE][rR]{2}[oO][rR])"")=FALSE,$H489&lt;&gt;"""",$I489&lt;&gt;""""),HYPERLINK(""https://www.munzee.com/m/""&amp;$H489&amp;""/""&amp;$I489&amp;""/map/?lat=""&amp;$D489&amp;""&amp;lon=""&amp;$E489&amp;""&amp;type=""&amp;$G489&amp;""&amp;name=""&amp;SUBSTITUTE($A489,""#"&amp;""",""%23""),$H489&amp;""/""&amp;$I489),IF($H489&lt;&gt;"""",IF(REGEXMATCH($H489,""50( ?['fF]([oO]{2})?[tT]?)?( ?[eE][rR]{2}[oO][rR])""),HYPERLINK(""https://www.munzee.com/map/?sandbox=1&amp;lat=""&amp;$D489&amp;""&amp;lon=""&amp;$E489&amp;""&amp;name=""&amp;SUBSTITUTE($A489,""#"",""%23""),""SANDBOX"""&amp;"),HYPERLINK(""https://www.munzee.com/m/""&amp;$H489&amp;""/deploys/0/type/""&amp;IFNA(VLOOKUP($G489,IMPORTRANGE(""https://docs.google.com/spreadsheets/d/1DliIGyDywdzxhd4svtjaewR0p9Y5UBTMNMQ2PcXsqss"",""type data!E2:F""),2,FALSE),$G489)&amp;""/"",$H489)),""""))"),"Prindlepalooza /2125")</f>
        <v>Prindlepalooza /2125</v>
      </c>
      <c r="L489" s="19" t="b">
        <v>1</v>
      </c>
      <c r="M489" s="12">
        <f t="shared" si="1"/>
        <v>1</v>
      </c>
      <c r="N489" s="13"/>
      <c r="O489" s="13"/>
      <c r="P489" s="29"/>
    </row>
    <row r="490">
      <c r="A490" s="15" t="s">
        <v>711</v>
      </c>
      <c r="B490" s="16">
        <v>25.0</v>
      </c>
      <c r="C490" s="16">
        <v>7.0</v>
      </c>
      <c r="D490" s="17">
        <v>44.862625053949</v>
      </c>
      <c r="E490" s="17">
        <v>-93.335642075169</v>
      </c>
      <c r="F490" s="16" t="s">
        <v>510</v>
      </c>
      <c r="G490" s="16" t="s">
        <v>17</v>
      </c>
      <c r="H490" s="18" t="s">
        <v>14</v>
      </c>
      <c r="I490" s="19">
        <v>364.0</v>
      </c>
      <c r="J490" s="20"/>
      <c r="K490" s="11" t="str">
        <f>IFERROR(__xludf.DUMMYFUNCTION("IF(AND(REGEXMATCH($H490,""50( ?['fF]([oO]{2})?[tT]?)?( ?[eE][rR]{2}[oO][rR])"")=FALSE,$H490&lt;&gt;"""",$I490&lt;&gt;""""),HYPERLINK(""https://www.munzee.com/m/""&amp;$H490&amp;""/""&amp;$I490&amp;""/map/?lat=""&amp;$D490&amp;""&amp;lon=""&amp;$E490&amp;""&amp;type=""&amp;$G490&amp;""&amp;name=""&amp;SUBSTITUTE($A490,""#"&amp;""",""%23""),$H490&amp;""/""&amp;$I490),IF($H490&lt;&gt;"""",IF(REGEXMATCH($H490,""50( ?['fF]([oO]{2})?[tT]?)?( ?[eE][rR]{2}[oO][rR])""),HYPERLINK(""https://www.munzee.com/map/?sandbox=1&amp;lat=""&amp;$D490&amp;""&amp;lon=""&amp;$E490&amp;""&amp;name=""&amp;SUBSTITUTE($A490,""#"",""%23""),""SANDBOX"""&amp;"),HYPERLINK(""https://www.munzee.com/m/""&amp;$H490&amp;""/deploys/0/type/""&amp;IFNA(VLOOKUP($G490,IMPORTRANGE(""https://docs.google.com/spreadsheets/d/1DliIGyDywdzxhd4svtjaewR0p9Y5UBTMNMQ2PcXsqss"",""type data!E2:F""),2,FALSE),$G490)&amp;""/"",$H490)),""""))"),"JABIE28/364")</f>
        <v>JABIE28/364</v>
      </c>
      <c r="L490" s="19" t="b">
        <v>1</v>
      </c>
      <c r="M490" s="12">
        <f t="shared" si="1"/>
        <v>85</v>
      </c>
      <c r="N490" s="13"/>
      <c r="O490" s="13"/>
      <c r="P490" s="29"/>
    </row>
    <row r="491">
      <c r="A491" s="15" t="s">
        <v>712</v>
      </c>
      <c r="B491" s="16">
        <v>25.0</v>
      </c>
      <c r="C491" s="16">
        <v>8.0</v>
      </c>
      <c r="D491" s="17">
        <v>44.86262505377</v>
      </c>
      <c r="E491" s="17">
        <v>-93.335439295235</v>
      </c>
      <c r="F491" s="16" t="s">
        <v>41</v>
      </c>
      <c r="G491" s="16" t="s">
        <v>17</v>
      </c>
      <c r="H491" s="18" t="s">
        <v>713</v>
      </c>
      <c r="I491" s="19">
        <v>998.0</v>
      </c>
      <c r="J491" s="21"/>
      <c r="K491" s="11" t="str">
        <f>IFERROR(__xludf.DUMMYFUNCTION("IF(AND(REGEXMATCH($H491,""50( ?['fF]([oO]{2})?[tT]?)?( ?[eE][rR]{2}[oO][rR])"")=FALSE,$H491&lt;&gt;"""",$I491&lt;&gt;""""),HYPERLINK(""https://www.munzee.com/m/""&amp;$H491&amp;""/""&amp;$I491&amp;""/map/?lat=""&amp;$D491&amp;""&amp;lon=""&amp;$E491&amp;""&amp;type=""&amp;$G491&amp;""&amp;name=""&amp;SUBSTITUTE($A491,""#"&amp;""",""%23""),$H491&amp;""/""&amp;$I491),IF($H491&lt;&gt;"""",IF(REGEXMATCH($H491,""50( ?['fF]([oO]{2})?[tT]?)?( ?[eE][rR]{2}[oO][rR])""),HYPERLINK(""https://www.munzee.com/map/?sandbox=1&amp;lat=""&amp;$D491&amp;""&amp;lon=""&amp;$E491&amp;""&amp;name=""&amp;SUBSTITUTE($A491,""#"",""%23""),""SANDBOX"""&amp;"),HYPERLINK(""https://www.munzee.com/m/""&amp;$H491&amp;""/deploys/0/type/""&amp;IFNA(VLOOKUP($G491,IMPORTRANGE(""https://docs.google.com/spreadsheets/d/1DliIGyDywdzxhd4svtjaewR0p9Y5UBTMNMQ2PcXsqss"",""type data!E2:F""),2,FALSE),$G491)&amp;""/"",$H491)),""""))"),"ed/998")</f>
        <v>ed/998</v>
      </c>
      <c r="L491" s="19" t="b">
        <v>1</v>
      </c>
      <c r="M491" s="12">
        <f t="shared" si="1"/>
        <v>1</v>
      </c>
      <c r="N491" s="13"/>
      <c r="O491" s="13"/>
      <c r="P491" s="29"/>
    </row>
    <row r="492">
      <c r="A492" s="15" t="s">
        <v>714</v>
      </c>
      <c r="B492" s="16">
        <v>25.0</v>
      </c>
      <c r="C492" s="16">
        <v>9.0</v>
      </c>
      <c r="D492" s="17">
        <v>44.86262505359</v>
      </c>
      <c r="E492" s="17">
        <v>-93.3352365153</v>
      </c>
      <c r="F492" s="16" t="s">
        <v>41</v>
      </c>
      <c r="G492" s="16" t="s">
        <v>17</v>
      </c>
      <c r="H492" s="18" t="s">
        <v>715</v>
      </c>
      <c r="I492" s="19">
        <v>8614.0</v>
      </c>
      <c r="J492" s="20"/>
      <c r="K492" s="11" t="str">
        <f>IFERROR(__xludf.DUMMYFUNCTION("IF(AND(REGEXMATCH($H492,""50( ?['fF]([oO]{2})?[tT]?)?( ?[eE][rR]{2}[oO][rR])"")=FALSE,$H492&lt;&gt;"""",$I492&lt;&gt;""""),HYPERLINK(""https://www.munzee.com/m/""&amp;$H492&amp;""/""&amp;$I492&amp;""/map/?lat=""&amp;$D492&amp;""&amp;lon=""&amp;$E492&amp;""&amp;type=""&amp;$G492&amp;""&amp;name=""&amp;SUBSTITUTE($A492,""#"&amp;""",""%23""),$H492&amp;""/""&amp;$I492),IF($H492&lt;&gt;"""",IF(REGEXMATCH($H492,""50( ?['fF]([oO]{2})?[tT]?)?( ?[eE][rR]{2}[oO][rR])""),HYPERLINK(""https://www.munzee.com/map/?sandbox=1&amp;lat=""&amp;$D492&amp;""&amp;lon=""&amp;$E492&amp;""&amp;name=""&amp;SUBSTITUTE($A492,""#"",""%23""),""SANDBOX"""&amp;"),HYPERLINK(""https://www.munzee.com/m/""&amp;$H492&amp;""/deploys/0/type/""&amp;IFNA(VLOOKUP($G492,IMPORTRANGE(""https://docs.google.com/spreadsheets/d/1DliIGyDywdzxhd4svtjaewR0p9Y5UBTMNMQ2PcXsqss"",""type data!E2:F""),2,FALSE),$G492)&amp;""/"",$H492)),""""))"),"Habu/8614")</f>
        <v>Habu/8614</v>
      </c>
      <c r="L492" s="19" t="b">
        <v>1</v>
      </c>
      <c r="M492" s="12">
        <f t="shared" si="1"/>
        <v>1</v>
      </c>
      <c r="N492" s="13"/>
      <c r="O492" s="13"/>
      <c r="P492" s="15"/>
    </row>
    <row r="493">
      <c r="A493" s="15" t="s">
        <v>716</v>
      </c>
      <c r="B493" s="16">
        <v>25.0</v>
      </c>
      <c r="C493" s="16">
        <v>10.0</v>
      </c>
      <c r="D493" s="17">
        <v>44.862625053411</v>
      </c>
      <c r="E493" s="17">
        <v>-93.335033735366</v>
      </c>
      <c r="F493" s="16" t="s">
        <v>41</v>
      </c>
      <c r="G493" s="16" t="s">
        <v>17</v>
      </c>
      <c r="H493" s="18" t="s">
        <v>14</v>
      </c>
      <c r="I493" s="19">
        <v>2228.0</v>
      </c>
      <c r="J493" s="21"/>
      <c r="K493" s="11" t="str">
        <f>IFERROR(__xludf.DUMMYFUNCTION("IF(AND(REGEXMATCH($H493,""50( ?['fF]([oO]{2})?[tT]?)?( ?[eE][rR]{2}[oO][rR])"")=FALSE,$H493&lt;&gt;"""",$I493&lt;&gt;""""),HYPERLINK(""https://www.munzee.com/m/""&amp;$H493&amp;""/""&amp;$I493&amp;""/map/?lat=""&amp;$D493&amp;""&amp;lon=""&amp;$E493&amp;""&amp;type=""&amp;$G493&amp;""&amp;name=""&amp;SUBSTITUTE($A493,""#"&amp;""",""%23""),$H493&amp;""/""&amp;$I493),IF($H493&lt;&gt;"""",IF(REGEXMATCH($H493,""50( ?['fF]([oO]{2})?[tT]?)?( ?[eE][rR]{2}[oO][rR])""),HYPERLINK(""https://www.munzee.com/map/?sandbox=1&amp;lat=""&amp;$D493&amp;""&amp;lon=""&amp;$E493&amp;""&amp;name=""&amp;SUBSTITUTE($A493,""#"",""%23""),""SANDBOX"""&amp;"),HYPERLINK(""https://www.munzee.com/m/""&amp;$H493&amp;""/deploys/0/type/""&amp;IFNA(VLOOKUP($G493,IMPORTRANGE(""https://docs.google.com/spreadsheets/d/1DliIGyDywdzxhd4svtjaewR0p9Y5UBTMNMQ2PcXsqss"",""type data!E2:F""),2,FALSE),$G493)&amp;""/"",$H493)),""""))"),"JABIE28/2228")</f>
        <v>JABIE28/2228</v>
      </c>
      <c r="L493" s="19" t="b">
        <v>1</v>
      </c>
      <c r="M493" s="12">
        <f t="shared" si="1"/>
        <v>85</v>
      </c>
      <c r="N493" s="13"/>
      <c r="O493" s="13"/>
      <c r="P493" s="15"/>
    </row>
    <row r="494">
      <c r="A494" s="15" t="s">
        <v>717</v>
      </c>
      <c r="B494" s="16">
        <v>25.0</v>
      </c>
      <c r="C494" s="16">
        <v>11.0</v>
      </c>
      <c r="D494" s="17">
        <v>44.862625053232</v>
      </c>
      <c r="E494" s="17">
        <v>-93.334830955432</v>
      </c>
      <c r="F494" s="16" t="s">
        <v>41</v>
      </c>
      <c r="G494" s="16" t="s">
        <v>17</v>
      </c>
      <c r="H494" s="18" t="s">
        <v>649</v>
      </c>
      <c r="I494" s="19">
        <v>1589.0</v>
      </c>
      <c r="J494" s="20"/>
      <c r="K494" s="11" t="str">
        <f>IFERROR(__xludf.DUMMYFUNCTION("IF(AND(REGEXMATCH($H494,""50( ?['fF]([oO]{2})?[tT]?)?( ?[eE][rR]{2}[oO][rR])"")=FALSE,$H494&lt;&gt;"""",$I494&lt;&gt;""""),HYPERLINK(""https://www.munzee.com/m/""&amp;$H494&amp;""/""&amp;$I494&amp;""/map/?lat=""&amp;$D494&amp;""&amp;lon=""&amp;$E494&amp;""&amp;type=""&amp;$G494&amp;""&amp;name=""&amp;SUBSTITUTE($A494,""#"&amp;""",""%23""),$H494&amp;""/""&amp;$I494),IF($H494&lt;&gt;"""",IF(REGEXMATCH($H494,""50( ?['fF]([oO]{2})?[tT]?)?( ?[eE][rR]{2}[oO][rR])""),HYPERLINK(""https://www.munzee.com/map/?sandbox=1&amp;lat=""&amp;$D494&amp;""&amp;lon=""&amp;$E494&amp;""&amp;name=""&amp;SUBSTITUTE($A494,""#"",""%23""),""SANDBOX"""&amp;"),HYPERLINK(""https://www.munzee.com/m/""&amp;$H494&amp;""/deploys/0/type/""&amp;IFNA(VLOOKUP($G494,IMPORTRANGE(""https://docs.google.com/spreadsheets/d/1DliIGyDywdzxhd4svtjaewR0p9Y5UBTMNMQ2PcXsqss"",""type data!E2:F""),2,FALSE),$G494)&amp;""/"",$H494)),""""))"),"oriole/1589")</f>
        <v>oriole/1589</v>
      </c>
      <c r="L494" s="19" t="b">
        <v>1</v>
      </c>
      <c r="M494" s="12">
        <f t="shared" si="1"/>
        <v>4</v>
      </c>
      <c r="N494" s="13"/>
      <c r="O494" s="13"/>
      <c r="P494" s="29"/>
    </row>
    <row r="495">
      <c r="A495" s="15" t="s">
        <v>718</v>
      </c>
      <c r="B495" s="16">
        <v>25.0</v>
      </c>
      <c r="C495" s="16">
        <v>12.0</v>
      </c>
      <c r="D495" s="17">
        <v>44.862625053052</v>
      </c>
      <c r="E495" s="17">
        <v>-93.334628175497</v>
      </c>
      <c r="F495" s="16" t="s">
        <v>41</v>
      </c>
      <c r="G495" s="16" t="s">
        <v>17</v>
      </c>
      <c r="H495" s="18" t="s">
        <v>719</v>
      </c>
      <c r="I495" s="19">
        <v>3846.0</v>
      </c>
      <c r="J495" s="21"/>
      <c r="K495" s="11" t="str">
        <f>IFERROR(__xludf.DUMMYFUNCTION("IF(AND(REGEXMATCH($H495,""50( ?['fF]([oO]{2})?[tT]?)?( ?[eE][rR]{2}[oO][rR])"")=FALSE,$H495&lt;&gt;"""",$I495&lt;&gt;""""),HYPERLINK(""https://www.munzee.com/m/""&amp;$H495&amp;""/""&amp;$I495&amp;""/map/?lat=""&amp;$D495&amp;""&amp;lon=""&amp;$E495&amp;""&amp;type=""&amp;$G495&amp;""&amp;name=""&amp;SUBSTITUTE($A495,""#"&amp;""",""%23""),$H495&amp;""/""&amp;$I495),IF($H495&lt;&gt;"""",IF(REGEXMATCH($H495,""50( ?['fF]([oO]{2})?[tT]?)?( ?[eE][rR]{2}[oO][rR])""),HYPERLINK(""https://www.munzee.com/map/?sandbox=1&amp;lat=""&amp;$D495&amp;""&amp;lon=""&amp;$E495&amp;""&amp;name=""&amp;SUBSTITUTE($A495,""#"",""%23""),""SANDBOX"""&amp;"),HYPERLINK(""https://www.munzee.com/m/""&amp;$H495&amp;""/deploys/0/type/""&amp;IFNA(VLOOKUP($G495,IMPORTRANGE(""https://docs.google.com/spreadsheets/d/1DliIGyDywdzxhd4svtjaewR0p9Y5UBTMNMQ2PcXsqss"",""type data!E2:F""),2,FALSE),$G495)&amp;""/"",$H495)),""""))"),"MrsMouse/3846")</f>
        <v>MrsMouse/3846</v>
      </c>
      <c r="L495" s="19" t="b">
        <v>1</v>
      </c>
      <c r="M495" s="12">
        <f t="shared" si="1"/>
        <v>2</v>
      </c>
      <c r="N495" s="13"/>
      <c r="O495" s="13"/>
      <c r="P495" s="29"/>
    </row>
    <row r="496">
      <c r="A496" s="15" t="s">
        <v>720</v>
      </c>
      <c r="B496" s="16">
        <v>25.0</v>
      </c>
      <c r="C496" s="16">
        <v>13.0</v>
      </c>
      <c r="D496" s="17">
        <v>44.862625052873</v>
      </c>
      <c r="E496" s="17">
        <v>-93.334425395563</v>
      </c>
      <c r="F496" s="16" t="s">
        <v>41</v>
      </c>
      <c r="G496" s="16" t="s">
        <v>17</v>
      </c>
      <c r="H496" s="18" t="s">
        <v>14</v>
      </c>
      <c r="I496" s="19">
        <v>2222.0</v>
      </c>
      <c r="J496" s="20"/>
      <c r="K496" s="11" t="str">
        <f>IFERROR(__xludf.DUMMYFUNCTION("IF(AND(REGEXMATCH($H496,""50( ?['fF]([oO]{2})?[tT]?)?( ?[eE][rR]{2}[oO][rR])"")=FALSE,$H496&lt;&gt;"""",$I496&lt;&gt;""""),HYPERLINK(""https://www.munzee.com/m/""&amp;$H496&amp;""/""&amp;$I496&amp;""/map/?lat=""&amp;$D496&amp;""&amp;lon=""&amp;$E496&amp;""&amp;type=""&amp;$G496&amp;""&amp;name=""&amp;SUBSTITUTE($A496,""#"&amp;""",""%23""),$H496&amp;""/""&amp;$I496),IF($H496&lt;&gt;"""",IF(REGEXMATCH($H496,""50( ?['fF]([oO]{2})?[tT]?)?( ?[eE][rR]{2}[oO][rR])""),HYPERLINK(""https://www.munzee.com/map/?sandbox=1&amp;lat=""&amp;$D496&amp;""&amp;lon=""&amp;$E496&amp;""&amp;name=""&amp;SUBSTITUTE($A496,""#"",""%23""),""SANDBOX"""&amp;"),HYPERLINK(""https://www.munzee.com/m/""&amp;$H496&amp;""/deploys/0/type/""&amp;IFNA(VLOOKUP($G496,IMPORTRANGE(""https://docs.google.com/spreadsheets/d/1DliIGyDywdzxhd4svtjaewR0p9Y5UBTMNMQ2PcXsqss"",""type data!E2:F""),2,FALSE),$G496)&amp;""/"",$H496)),""""))"),"JABIE28/2222")</f>
        <v>JABIE28/2222</v>
      </c>
      <c r="L496" s="19" t="b">
        <v>1</v>
      </c>
      <c r="M496" s="12">
        <f t="shared" si="1"/>
        <v>85</v>
      </c>
      <c r="N496" s="13"/>
      <c r="O496" s="13"/>
      <c r="P496" s="29"/>
    </row>
    <row r="497">
      <c r="A497" s="15" t="s">
        <v>721</v>
      </c>
      <c r="B497" s="16">
        <v>25.0</v>
      </c>
      <c r="C497" s="16">
        <v>14.0</v>
      </c>
      <c r="D497" s="17">
        <v>44.862625052693</v>
      </c>
      <c r="E497" s="17">
        <v>-93.334222615629</v>
      </c>
      <c r="F497" s="16" t="s">
        <v>41</v>
      </c>
      <c r="G497" s="16" t="s">
        <v>17</v>
      </c>
      <c r="H497" s="18" t="s">
        <v>722</v>
      </c>
      <c r="I497" s="19">
        <v>4466.0</v>
      </c>
      <c r="J497" s="21"/>
      <c r="K497" s="11" t="str">
        <f>IFERROR(__xludf.DUMMYFUNCTION("IF(AND(REGEXMATCH($H497,""50( ?['fF]([oO]{2})?[tT]?)?( ?[eE][rR]{2}[oO][rR])"")=FALSE,$H497&lt;&gt;"""",$I497&lt;&gt;""""),HYPERLINK(""https://www.munzee.com/m/""&amp;$H497&amp;""/""&amp;$I497&amp;""/map/?lat=""&amp;$D497&amp;""&amp;lon=""&amp;$E497&amp;""&amp;type=""&amp;$G497&amp;""&amp;name=""&amp;SUBSTITUTE($A497,""#"&amp;""",""%23""),$H497&amp;""/""&amp;$I497),IF($H497&lt;&gt;"""",IF(REGEXMATCH($H497,""50( ?['fF]([oO]{2})?[tT]?)?( ?[eE][rR]{2}[oO][rR])""),HYPERLINK(""https://www.munzee.com/map/?sandbox=1&amp;lat=""&amp;$D497&amp;""&amp;lon=""&amp;$E497&amp;""&amp;name=""&amp;SUBSTITUTE($A497,""#"",""%23""),""SANDBOX"""&amp;"),HYPERLINK(""https://www.munzee.com/m/""&amp;$H497&amp;""/deploys/0/type/""&amp;IFNA(VLOOKUP($G497,IMPORTRANGE(""https://docs.google.com/spreadsheets/d/1DliIGyDywdzxhd4svtjaewR0p9Y5UBTMNMQ2PcXsqss"",""type data!E2:F""),2,FALSE),$G497)&amp;""/"",$H497)),""""))"),"djsmith/4466")</f>
        <v>djsmith/4466</v>
      </c>
      <c r="L497" s="19" t="b">
        <v>1</v>
      </c>
      <c r="M497" s="12">
        <f t="shared" si="1"/>
        <v>2</v>
      </c>
      <c r="N497" s="13"/>
      <c r="O497" s="13"/>
      <c r="P497" s="15"/>
    </row>
    <row r="498">
      <c r="A498" s="15" t="s">
        <v>723</v>
      </c>
      <c r="B498" s="16">
        <v>25.0</v>
      </c>
      <c r="C498" s="16">
        <v>15.0</v>
      </c>
      <c r="D498" s="17">
        <v>44.862625052514</v>
      </c>
      <c r="E498" s="17">
        <v>-93.334019835695</v>
      </c>
      <c r="F498" s="16" t="s">
        <v>41</v>
      </c>
      <c r="G498" s="16" t="s">
        <v>17</v>
      </c>
      <c r="H498" s="18" t="s">
        <v>543</v>
      </c>
      <c r="I498" s="19">
        <v>3534.0</v>
      </c>
      <c r="J498" s="20"/>
      <c r="K498" s="11" t="str">
        <f>IFERROR(__xludf.DUMMYFUNCTION("IF(AND(REGEXMATCH($H498,""50( ?['fF]([oO]{2})?[tT]?)?( ?[eE][rR]{2}[oO][rR])"")=FALSE,$H498&lt;&gt;"""",$I498&lt;&gt;""""),HYPERLINK(""https://www.munzee.com/m/""&amp;$H498&amp;""/""&amp;$I498&amp;""/map/?lat=""&amp;$D498&amp;""&amp;lon=""&amp;$E498&amp;""&amp;type=""&amp;$G498&amp;""&amp;name=""&amp;SUBSTITUTE($A498,""#"&amp;""",""%23""),$H498&amp;""/""&amp;$I498),IF($H498&lt;&gt;"""",IF(REGEXMATCH($H498,""50( ?['fF]([oO]{2})?[tT]?)?( ?[eE][rR]{2}[oO][rR])""),HYPERLINK(""https://www.munzee.com/map/?sandbox=1&amp;lat=""&amp;$D498&amp;""&amp;lon=""&amp;$E498&amp;""&amp;name=""&amp;SUBSTITUTE($A498,""#"",""%23""),""SANDBOX"""&amp;"),HYPERLINK(""https://www.munzee.com/m/""&amp;$H498&amp;""/deploys/0/type/""&amp;IFNA(VLOOKUP($G498,IMPORTRANGE(""https://docs.google.com/spreadsheets/d/1DliIGyDywdzxhd4svtjaewR0p9Y5UBTMNMQ2PcXsqss"",""type data!E2:F""),2,FALSE),$G498)&amp;""/"",$H498)),""""))"),"ivwarrior/3534")</f>
        <v>ivwarrior/3534</v>
      </c>
      <c r="L498" s="19" t="b">
        <v>1</v>
      </c>
      <c r="M498" s="12">
        <f t="shared" si="1"/>
        <v>5</v>
      </c>
      <c r="N498" s="13"/>
      <c r="O498" s="13"/>
      <c r="P498" s="29"/>
    </row>
    <row r="499">
      <c r="A499" s="15" t="s">
        <v>724</v>
      </c>
      <c r="B499" s="16">
        <v>25.0</v>
      </c>
      <c r="C499" s="16">
        <v>16.0</v>
      </c>
      <c r="D499" s="17">
        <v>44.862625052335</v>
      </c>
      <c r="E499" s="17">
        <v>-93.33381705576</v>
      </c>
      <c r="F499" s="16" t="s">
        <v>41</v>
      </c>
      <c r="G499" s="16" t="s">
        <v>17</v>
      </c>
      <c r="H499" s="18" t="s">
        <v>14</v>
      </c>
      <c r="I499" s="19">
        <v>2221.0</v>
      </c>
      <c r="J499" s="20"/>
      <c r="K499" s="11" t="str">
        <f>IFERROR(__xludf.DUMMYFUNCTION("IF(AND(REGEXMATCH($H499,""50( ?['fF]([oO]{2})?[tT]?)?( ?[eE][rR]{2}[oO][rR])"")=FALSE,$H499&lt;&gt;"""",$I499&lt;&gt;""""),HYPERLINK(""https://www.munzee.com/m/""&amp;$H499&amp;""/""&amp;$I499&amp;""/map/?lat=""&amp;$D499&amp;""&amp;lon=""&amp;$E499&amp;""&amp;type=""&amp;$G499&amp;""&amp;name=""&amp;SUBSTITUTE($A499,""#"&amp;""",""%23""),$H499&amp;""/""&amp;$I499),IF($H499&lt;&gt;"""",IF(REGEXMATCH($H499,""50( ?['fF]([oO]{2})?[tT]?)?( ?[eE][rR]{2}[oO][rR])""),HYPERLINK(""https://www.munzee.com/map/?sandbox=1&amp;lat=""&amp;$D499&amp;""&amp;lon=""&amp;$E499&amp;""&amp;name=""&amp;SUBSTITUTE($A499,""#"",""%23""),""SANDBOX"""&amp;"),HYPERLINK(""https://www.munzee.com/m/""&amp;$H499&amp;""/deploys/0/type/""&amp;IFNA(VLOOKUP($G499,IMPORTRANGE(""https://docs.google.com/spreadsheets/d/1DliIGyDywdzxhd4svtjaewR0p9Y5UBTMNMQ2PcXsqss"",""type data!E2:F""),2,FALSE),$G499)&amp;""/"",$H499)),""""))"),"JABIE28/2221")</f>
        <v>JABIE28/2221</v>
      </c>
      <c r="L499" s="19" t="b">
        <v>1</v>
      </c>
      <c r="M499" s="12">
        <f t="shared" si="1"/>
        <v>85</v>
      </c>
      <c r="N499" s="13"/>
      <c r="O499" s="13"/>
      <c r="P499" s="15"/>
    </row>
    <row r="500">
      <c r="A500" s="15" t="s">
        <v>725</v>
      </c>
      <c r="B500" s="16">
        <v>25.0</v>
      </c>
      <c r="C500" s="16">
        <v>17.0</v>
      </c>
      <c r="D500" s="17">
        <v>44.862625052155</v>
      </c>
      <c r="E500" s="17">
        <v>-93.333614275826</v>
      </c>
      <c r="F500" s="16" t="s">
        <v>41</v>
      </c>
      <c r="G500" s="16" t="s">
        <v>17</v>
      </c>
      <c r="H500" s="18" t="s">
        <v>726</v>
      </c>
      <c r="I500" s="19">
        <v>2569.0</v>
      </c>
      <c r="J500" s="21"/>
      <c r="K500" s="11" t="str">
        <f>IFERROR(__xludf.DUMMYFUNCTION("IF(AND(REGEXMATCH($H500,""50( ?['fF]([oO]{2})?[tT]?)?( ?[eE][rR]{2}[oO][rR])"")=FALSE,$H500&lt;&gt;"""",$I500&lt;&gt;""""),HYPERLINK(""https://www.munzee.com/m/""&amp;$H500&amp;""/""&amp;$I500&amp;""/map/?lat=""&amp;$D500&amp;""&amp;lon=""&amp;$E500&amp;""&amp;type=""&amp;$G500&amp;""&amp;name=""&amp;SUBSTITUTE($A500,""#"&amp;""",""%23""),$H500&amp;""/""&amp;$I500),IF($H500&lt;&gt;"""",IF(REGEXMATCH($H500,""50( ?['fF]([oO]{2})?[tT]?)?( ?[eE][rR]{2}[oO][rR])""),HYPERLINK(""https://www.munzee.com/map/?sandbox=1&amp;lat=""&amp;$D500&amp;""&amp;lon=""&amp;$E500&amp;""&amp;name=""&amp;SUBSTITUTE($A500,""#"",""%23""),""SANDBOX"""&amp;"),HYPERLINK(""https://www.munzee.com/m/""&amp;$H500&amp;""/deploys/0/type/""&amp;IFNA(VLOOKUP($G500,IMPORTRANGE(""https://docs.google.com/spreadsheets/d/1DliIGyDywdzxhd4svtjaewR0p9Y5UBTMNMQ2PcXsqss"",""type data!E2:F""),2,FALSE),$G500)&amp;""/"",$H500)),""""))"),"canolice/2569")</f>
        <v>canolice/2569</v>
      </c>
      <c r="L500" s="19" t="b">
        <v>1</v>
      </c>
      <c r="M500" s="12">
        <f t="shared" si="1"/>
        <v>1</v>
      </c>
      <c r="N500" s="13"/>
      <c r="O500" s="13"/>
      <c r="P500" s="15"/>
    </row>
    <row r="501">
      <c r="A501" s="15" t="s">
        <v>727</v>
      </c>
      <c r="B501" s="16">
        <v>25.0</v>
      </c>
      <c r="C501" s="16">
        <v>18.0</v>
      </c>
      <c r="D501" s="17">
        <v>44.862625051976</v>
      </c>
      <c r="E501" s="17">
        <v>-93.333411495892</v>
      </c>
      <c r="F501" s="16" t="s">
        <v>41</v>
      </c>
      <c r="G501" s="16" t="s">
        <v>17</v>
      </c>
      <c r="H501" s="18" t="s">
        <v>728</v>
      </c>
      <c r="I501" s="19">
        <v>10551.0</v>
      </c>
      <c r="J501" s="39"/>
      <c r="K501" s="11" t="str">
        <f>IFERROR(__xludf.DUMMYFUNCTION("IF(AND(REGEXMATCH($H501,""50( ?['fF]([oO]{2})?[tT]?)?( ?[eE][rR]{2}[oO][rR])"")=FALSE,$H501&lt;&gt;"""",$I501&lt;&gt;""""),HYPERLINK(""https://www.munzee.com/m/""&amp;$H501&amp;""/""&amp;$I501&amp;""/map/?lat=""&amp;$D501&amp;""&amp;lon=""&amp;$E501&amp;""&amp;type=""&amp;$G501&amp;""&amp;name=""&amp;SUBSTITUTE($A501,""#"&amp;""",""%23""),$H501&amp;""/""&amp;$I501),IF($H501&lt;&gt;"""",IF(REGEXMATCH($H501,""50( ?['fF]([oO]{2})?[tT]?)?( ?[eE][rR]{2}[oO][rR])""),HYPERLINK(""https://www.munzee.com/map/?sandbox=1&amp;lat=""&amp;$D501&amp;""&amp;lon=""&amp;$E501&amp;""&amp;name=""&amp;SUBSTITUTE($A501,""#"",""%23""),""SANDBOX"""&amp;"),HYPERLINK(""https://www.munzee.com/m/""&amp;$H501&amp;""/deploys/0/type/""&amp;IFNA(VLOOKUP($G501,IMPORTRANGE(""https://docs.google.com/spreadsheets/d/1DliIGyDywdzxhd4svtjaewR0p9Y5UBTMNMQ2PcXsqss"",""type data!E2:F""),2,FALSE),$G501)&amp;""/"",$H501)),""""))"),"Ecorangers/10551")</f>
        <v>Ecorangers/10551</v>
      </c>
      <c r="L501" s="19" t="b">
        <v>1</v>
      </c>
      <c r="M501" s="12">
        <f t="shared" si="1"/>
        <v>7</v>
      </c>
      <c r="N501" s="13"/>
      <c r="O501" s="13"/>
      <c r="P501" s="15"/>
    </row>
    <row r="502">
      <c r="A502" s="15" t="s">
        <v>729</v>
      </c>
      <c r="B502" s="16">
        <v>25.0</v>
      </c>
      <c r="C502" s="16">
        <v>19.0</v>
      </c>
      <c r="D502" s="17">
        <v>44.862625051796</v>
      </c>
      <c r="E502" s="17">
        <v>-93.333208715957</v>
      </c>
      <c r="F502" s="16" t="s">
        <v>41</v>
      </c>
      <c r="G502" s="16" t="s">
        <v>17</v>
      </c>
      <c r="H502" s="18" t="s">
        <v>14</v>
      </c>
      <c r="I502" s="19">
        <v>2217.0</v>
      </c>
      <c r="J502" s="20"/>
      <c r="K502" s="11" t="str">
        <f>IFERROR(__xludf.DUMMYFUNCTION("IF(AND(REGEXMATCH($H502,""50( ?['fF]([oO]{2})?[tT]?)?( ?[eE][rR]{2}[oO][rR])"")=FALSE,$H502&lt;&gt;"""",$I502&lt;&gt;""""),HYPERLINK(""https://www.munzee.com/m/""&amp;$H502&amp;""/""&amp;$I502&amp;""/map/?lat=""&amp;$D502&amp;""&amp;lon=""&amp;$E502&amp;""&amp;type=""&amp;$G502&amp;""&amp;name=""&amp;SUBSTITUTE($A502,""#"&amp;""",""%23""),$H502&amp;""/""&amp;$I502),IF($H502&lt;&gt;"""",IF(REGEXMATCH($H502,""50( ?['fF]([oO]{2})?[tT]?)?( ?[eE][rR]{2}[oO][rR])""),HYPERLINK(""https://www.munzee.com/map/?sandbox=1&amp;lat=""&amp;$D502&amp;""&amp;lon=""&amp;$E502&amp;""&amp;name=""&amp;SUBSTITUTE($A502,""#"",""%23""),""SANDBOX"""&amp;"),HYPERLINK(""https://www.munzee.com/m/""&amp;$H502&amp;""/deploys/0/type/""&amp;IFNA(VLOOKUP($G502,IMPORTRANGE(""https://docs.google.com/spreadsheets/d/1DliIGyDywdzxhd4svtjaewR0p9Y5UBTMNMQ2PcXsqss"",""type data!E2:F""),2,FALSE),$G502)&amp;""/"",$H502)),""""))"),"JABIE28/2217")</f>
        <v>JABIE28/2217</v>
      </c>
      <c r="L502" s="19" t="b">
        <v>1</v>
      </c>
      <c r="M502" s="12">
        <f t="shared" si="1"/>
        <v>85</v>
      </c>
      <c r="N502" s="13"/>
      <c r="O502" s="13"/>
      <c r="P502" s="15"/>
    </row>
    <row r="503">
      <c r="A503" s="15" t="s">
        <v>730</v>
      </c>
      <c r="B503" s="16">
        <v>25.0</v>
      </c>
      <c r="C503" s="16">
        <v>20.0</v>
      </c>
      <c r="D503" s="17">
        <v>44.862625051617</v>
      </c>
      <c r="E503" s="17">
        <v>-93.333005936023</v>
      </c>
      <c r="F503" s="16" t="s">
        <v>41</v>
      </c>
      <c r="G503" s="16" t="s">
        <v>17</v>
      </c>
      <c r="H503" s="18" t="s">
        <v>731</v>
      </c>
      <c r="I503" s="19">
        <v>2127.0</v>
      </c>
      <c r="J503" s="21"/>
      <c r="K503" s="11" t="str">
        <f>IFERROR(__xludf.DUMMYFUNCTION("IF(AND(REGEXMATCH($H503,""50( ?['fF]([oO]{2})?[tT]?)?( ?[eE][rR]{2}[oO][rR])"")=FALSE,$H503&lt;&gt;"""",$I503&lt;&gt;""""),HYPERLINK(""https://www.munzee.com/m/""&amp;$H503&amp;""/""&amp;$I503&amp;""/map/?lat=""&amp;$D503&amp;""&amp;lon=""&amp;$E503&amp;""&amp;type=""&amp;$G503&amp;""&amp;name=""&amp;SUBSTITUTE($A503,""#"&amp;""",""%23""),$H503&amp;""/""&amp;$I503),IF($H503&lt;&gt;"""",IF(REGEXMATCH($H503,""50( ?['fF]([oO]{2})?[tT]?)?( ?[eE][rR]{2}[oO][rR])""),HYPERLINK(""https://www.munzee.com/map/?sandbox=1&amp;lat=""&amp;$D503&amp;""&amp;lon=""&amp;$E503&amp;""&amp;name=""&amp;SUBSTITUTE($A503,""#"",""%23""),""SANDBOX"""&amp;"),HYPERLINK(""https://www.munzee.com/m/""&amp;$H503&amp;""/deploys/0/type/""&amp;IFNA(VLOOKUP($G503,IMPORTRANGE(""https://docs.google.com/spreadsheets/d/1DliIGyDywdzxhd4svtjaewR0p9Y5UBTMNMQ2PcXsqss"",""type data!E2:F""),2,FALSE),$G503)&amp;""/"",$H503)),""""))"),"JustMe/2127")</f>
        <v>JustMe/2127</v>
      </c>
      <c r="L503" s="19" t="b">
        <v>1</v>
      </c>
      <c r="M503" s="12">
        <f t="shared" si="1"/>
        <v>1</v>
      </c>
      <c r="N503" s="13"/>
      <c r="O503" s="13"/>
      <c r="P503" s="15"/>
    </row>
    <row r="504">
      <c r="A504" s="15" t="s">
        <v>732</v>
      </c>
      <c r="B504" s="16">
        <v>25.0</v>
      </c>
      <c r="C504" s="16">
        <v>21.0</v>
      </c>
      <c r="D504" s="17">
        <v>44.862625051437</v>
      </c>
      <c r="E504" s="17">
        <v>-93.332803156089</v>
      </c>
      <c r="F504" s="16" t="s">
        <v>41</v>
      </c>
      <c r="G504" s="16" t="s">
        <v>17</v>
      </c>
      <c r="H504" s="18" t="s">
        <v>663</v>
      </c>
      <c r="I504" s="19">
        <v>1271.0</v>
      </c>
      <c r="J504" s="21"/>
      <c r="K504" s="11" t="str">
        <f>IFERROR(__xludf.DUMMYFUNCTION("IF(AND(REGEXMATCH($H504,""50( ?['fF]([oO]{2})?[tT]?)?( ?[eE][rR]{2}[oO][rR])"")=FALSE,$H504&lt;&gt;"""",$I504&lt;&gt;""""),HYPERLINK(""https://www.munzee.com/m/""&amp;$H504&amp;""/""&amp;$I504&amp;""/map/?lat=""&amp;$D504&amp;""&amp;lon=""&amp;$E504&amp;""&amp;type=""&amp;$G504&amp;""&amp;name=""&amp;SUBSTITUTE($A504,""#"&amp;""",""%23""),$H504&amp;""/""&amp;$I504),IF($H504&lt;&gt;"""",IF(REGEXMATCH($H504,""50( ?['fF]([oO]{2})?[tT]?)?( ?[eE][rR]{2}[oO][rR])""),HYPERLINK(""https://www.munzee.com/map/?sandbox=1&amp;lat=""&amp;$D504&amp;""&amp;lon=""&amp;$E504&amp;""&amp;name=""&amp;SUBSTITUTE($A504,""#"",""%23""),""SANDBOX"""&amp;"),HYPERLINK(""https://www.munzee.com/m/""&amp;$H504&amp;""/deploys/0/type/""&amp;IFNA(VLOOKUP($G504,IMPORTRANGE(""https://docs.google.com/spreadsheets/d/1DliIGyDywdzxhd4svtjaewR0p9Y5UBTMNMQ2PcXsqss"",""type data!E2:F""),2,FALSE),$G504)&amp;""/"",$H504)),""""))"),"Carts70/1271")</f>
        <v>Carts70/1271</v>
      </c>
      <c r="L504" s="19" t="b">
        <v>1</v>
      </c>
      <c r="M504" s="12">
        <f t="shared" si="1"/>
        <v>2</v>
      </c>
      <c r="N504" s="13"/>
      <c r="O504" s="13"/>
      <c r="P504" s="29"/>
    </row>
    <row r="505">
      <c r="A505" s="15" t="s">
        <v>733</v>
      </c>
      <c r="B505" s="16">
        <v>25.0</v>
      </c>
      <c r="C505" s="16">
        <v>22.0</v>
      </c>
      <c r="D505" s="17">
        <v>44.862625051258</v>
      </c>
      <c r="E505" s="17">
        <v>-93.332600376155</v>
      </c>
      <c r="F505" s="16" t="s">
        <v>510</v>
      </c>
      <c r="G505" s="16" t="s">
        <v>17</v>
      </c>
      <c r="H505" s="18" t="s">
        <v>47</v>
      </c>
      <c r="I505" s="19">
        <v>3296.0</v>
      </c>
      <c r="J505" s="20"/>
      <c r="K505" s="11" t="str">
        <f>IFERROR(__xludf.DUMMYFUNCTION("IF(AND(REGEXMATCH($H505,""50( ?['fF]([oO]{2})?[tT]?)?( ?[eE][rR]{2}[oO][rR])"")=FALSE,$H505&lt;&gt;"""",$I505&lt;&gt;""""),HYPERLINK(""https://www.munzee.com/m/""&amp;$H505&amp;""/""&amp;$I505&amp;""/map/?lat=""&amp;$D505&amp;""&amp;lon=""&amp;$E505&amp;""&amp;type=""&amp;$G505&amp;""&amp;name=""&amp;SUBSTITUTE($A505,""#"&amp;""",""%23""),$H505&amp;""/""&amp;$I505),IF($H505&lt;&gt;"""",IF(REGEXMATCH($H505,""50( ?['fF]([oO]{2})?[tT]?)?( ?[eE][rR]{2}[oO][rR])""),HYPERLINK(""https://www.munzee.com/map/?sandbox=1&amp;lat=""&amp;$D505&amp;""&amp;lon=""&amp;$E505&amp;""&amp;name=""&amp;SUBSTITUTE($A505,""#"",""%23""),""SANDBOX"""&amp;"),HYPERLINK(""https://www.munzee.com/m/""&amp;$H505&amp;""/deploys/0/type/""&amp;IFNA(VLOOKUP($G505,IMPORTRANGE(""https://docs.google.com/spreadsheets/d/1DliIGyDywdzxhd4svtjaewR0p9Y5UBTMNMQ2PcXsqss"",""type data!E2:F""),2,FALSE),$G505)&amp;""/"",$H505)),""""))"),"Qdog/3296")</f>
        <v>Qdog/3296</v>
      </c>
      <c r="L505" s="19" t="b">
        <v>1</v>
      </c>
      <c r="M505" s="12">
        <f t="shared" si="1"/>
        <v>5</v>
      </c>
      <c r="N505" s="13"/>
      <c r="O505" s="13"/>
      <c r="P505" s="15"/>
    </row>
    <row r="506">
      <c r="A506" s="15" t="s">
        <v>734</v>
      </c>
      <c r="B506" s="16">
        <v>25.0</v>
      </c>
      <c r="C506" s="16">
        <v>23.0</v>
      </c>
      <c r="D506" s="17">
        <v>44.862625051079</v>
      </c>
      <c r="E506" s="17">
        <v>-93.33239759622</v>
      </c>
      <c r="F506" s="16" t="s">
        <v>510</v>
      </c>
      <c r="G506" s="16" t="s">
        <v>410</v>
      </c>
      <c r="H506" s="18" t="s">
        <v>586</v>
      </c>
      <c r="I506" s="19">
        <v>3133.0</v>
      </c>
      <c r="J506" s="20"/>
      <c r="K506" s="11" t="str">
        <f>IFERROR(__xludf.DUMMYFUNCTION("IF(AND(REGEXMATCH($H506,""50( ?['fF]([oO]{2})?[tT]?)?( ?[eE][rR]{2}[oO][rR])"")=FALSE,$H506&lt;&gt;"""",$I506&lt;&gt;""""),HYPERLINK(""https://www.munzee.com/m/""&amp;$H506&amp;""/""&amp;$I506&amp;""/map/?lat=""&amp;$D506&amp;""&amp;lon=""&amp;$E506&amp;""&amp;type=""&amp;$G506&amp;""&amp;name=""&amp;SUBSTITUTE($A506,""#"&amp;""",""%23""),$H506&amp;""/""&amp;$I506),IF($H506&lt;&gt;"""",IF(REGEXMATCH($H506,""50( ?['fF]([oO]{2})?[tT]?)?( ?[eE][rR]{2}[oO][rR])""),HYPERLINK(""https://www.munzee.com/map/?sandbox=1&amp;lat=""&amp;$D506&amp;""&amp;lon=""&amp;$E506&amp;""&amp;name=""&amp;SUBSTITUTE($A506,""#"",""%23""),""SANDBOX"""&amp;"),HYPERLINK(""https://www.munzee.com/m/""&amp;$H506&amp;""/deploys/0/type/""&amp;IFNA(VLOOKUP($G506,IMPORTRANGE(""https://docs.google.com/spreadsheets/d/1DliIGyDywdzxhd4svtjaewR0p9Y5UBTMNMQ2PcXsqss"",""type data!E2:F""),2,FALSE),$G506)&amp;""/"",$H506)),""""))"),"kiitokurre/3133")</f>
        <v>kiitokurre/3133</v>
      </c>
      <c r="L506" s="19" t="b">
        <v>1</v>
      </c>
      <c r="M506" s="12">
        <f t="shared" si="1"/>
        <v>2</v>
      </c>
      <c r="N506" s="13"/>
      <c r="O506" s="13"/>
      <c r="P506" s="15"/>
    </row>
    <row r="507">
      <c r="A507" s="15" t="s">
        <v>735</v>
      </c>
      <c r="B507" s="16">
        <v>25.0</v>
      </c>
      <c r="C507" s="16">
        <v>24.0</v>
      </c>
      <c r="D507" s="17">
        <v>44.862625050899</v>
      </c>
      <c r="E507" s="17">
        <v>-93.332194816286</v>
      </c>
      <c r="F507" s="16" t="s">
        <v>41</v>
      </c>
      <c r="G507" s="16" t="s">
        <v>410</v>
      </c>
      <c r="H507" s="18" t="s">
        <v>14</v>
      </c>
      <c r="I507" s="19">
        <v>2214.0</v>
      </c>
      <c r="J507" s="20"/>
      <c r="K507" s="11" t="str">
        <f>IFERROR(__xludf.DUMMYFUNCTION("IF(AND(REGEXMATCH($H507,""50( ?['fF]([oO]{2})?[tT]?)?( ?[eE][rR]{2}[oO][rR])"")=FALSE,$H507&lt;&gt;"""",$I507&lt;&gt;""""),HYPERLINK(""https://www.munzee.com/m/""&amp;$H507&amp;""/""&amp;$I507&amp;""/map/?lat=""&amp;$D507&amp;""&amp;lon=""&amp;$E507&amp;""&amp;type=""&amp;$G507&amp;""&amp;name=""&amp;SUBSTITUTE($A507,""#"&amp;""",""%23""),$H507&amp;""/""&amp;$I507),IF($H507&lt;&gt;"""",IF(REGEXMATCH($H507,""50( ?['fF]([oO]{2})?[tT]?)?( ?[eE][rR]{2}[oO][rR])""),HYPERLINK(""https://www.munzee.com/map/?sandbox=1&amp;lat=""&amp;$D507&amp;""&amp;lon=""&amp;$E507&amp;""&amp;name=""&amp;SUBSTITUTE($A507,""#"",""%23""),""SANDBOX"""&amp;"),HYPERLINK(""https://www.munzee.com/m/""&amp;$H507&amp;""/deploys/0/type/""&amp;IFNA(VLOOKUP($G507,IMPORTRANGE(""https://docs.google.com/spreadsheets/d/1DliIGyDywdzxhd4svtjaewR0p9Y5UBTMNMQ2PcXsqss"",""type data!E2:F""),2,FALSE),$G507)&amp;""/"",$H507)),""""))"),"JABIE28/2214")</f>
        <v>JABIE28/2214</v>
      </c>
      <c r="L507" s="19" t="b">
        <v>1</v>
      </c>
      <c r="M507" s="12">
        <f t="shared" si="1"/>
        <v>85</v>
      </c>
      <c r="N507" s="13"/>
      <c r="O507" s="13"/>
      <c r="P507" s="29"/>
    </row>
    <row r="508">
      <c r="A508" s="15" t="s">
        <v>736</v>
      </c>
      <c r="B508" s="16">
        <v>25.0</v>
      </c>
      <c r="C508" s="16">
        <v>25.0</v>
      </c>
      <c r="D508" s="17">
        <v>44.86262505072</v>
      </c>
      <c r="E508" s="17">
        <v>-93.331992036352</v>
      </c>
      <c r="F508" s="16" t="s">
        <v>41</v>
      </c>
      <c r="G508" s="16" t="s">
        <v>410</v>
      </c>
      <c r="H508" s="18" t="s">
        <v>67</v>
      </c>
      <c r="I508" s="19">
        <v>3006.0</v>
      </c>
      <c r="J508" s="21"/>
      <c r="K508" s="11" t="str">
        <f>IFERROR(__xludf.DUMMYFUNCTION("IF(AND(REGEXMATCH($H508,""50( ?['fF]([oO]{2})?[tT]?)?( ?[eE][rR]{2}[oO][rR])"")=FALSE,$H508&lt;&gt;"""",$I508&lt;&gt;""""),HYPERLINK(""https://www.munzee.com/m/""&amp;$H508&amp;""/""&amp;$I508&amp;""/map/?lat=""&amp;$D508&amp;""&amp;lon=""&amp;$E508&amp;""&amp;type=""&amp;$G508&amp;""&amp;name=""&amp;SUBSTITUTE($A508,""#"&amp;""",""%23""),$H508&amp;""/""&amp;$I508),IF($H508&lt;&gt;"""",IF(REGEXMATCH($H508,""50( ?['fF]([oO]{2})?[tT]?)?( ?[eE][rR]{2}[oO][rR])""),HYPERLINK(""https://www.munzee.com/map/?sandbox=1&amp;lat=""&amp;$D508&amp;""&amp;lon=""&amp;$E508&amp;""&amp;name=""&amp;SUBSTITUTE($A508,""#"",""%23""),""SANDBOX"""&amp;"),HYPERLINK(""https://www.munzee.com/m/""&amp;$H508&amp;""/deploys/0/type/""&amp;IFNA(VLOOKUP($G508,IMPORTRANGE(""https://docs.google.com/spreadsheets/d/1DliIGyDywdzxhd4svtjaewR0p9Y5UBTMNMQ2PcXsqss"",""type data!E2:F""),2,FALSE),$G508)&amp;""/"",$H508)),""""))"),"familyd/3006")</f>
        <v>familyd/3006</v>
      </c>
      <c r="L508" s="19" t="b">
        <v>1</v>
      </c>
      <c r="M508" s="12">
        <f t="shared" si="1"/>
        <v>3</v>
      </c>
      <c r="N508" s="13"/>
      <c r="O508" s="13"/>
      <c r="P508" s="29"/>
    </row>
    <row r="509">
      <c r="A509" s="15" t="s">
        <v>737</v>
      </c>
      <c r="B509" s="16">
        <v>25.0</v>
      </c>
      <c r="C509" s="16">
        <v>26.0</v>
      </c>
      <c r="D509" s="17">
        <v>44.86262505054</v>
      </c>
      <c r="E509" s="17">
        <v>-93.331789256417</v>
      </c>
      <c r="F509" s="16" t="s">
        <v>41</v>
      </c>
      <c r="G509" s="16" t="s">
        <v>17</v>
      </c>
      <c r="H509" s="18" t="s">
        <v>69</v>
      </c>
      <c r="I509" s="19">
        <v>1582.0</v>
      </c>
      <c r="J509" s="21"/>
      <c r="K509" s="11" t="str">
        <f>IFERROR(__xludf.DUMMYFUNCTION("IF(AND(REGEXMATCH($H509,""50( ?['fF]([oO]{2})?[tT]?)?( ?[eE][rR]{2}[oO][rR])"")=FALSE,$H509&lt;&gt;"""",$I509&lt;&gt;""""),HYPERLINK(""https://www.munzee.com/m/""&amp;$H509&amp;""/""&amp;$I509&amp;""/map/?lat=""&amp;$D509&amp;""&amp;lon=""&amp;$E509&amp;""&amp;type=""&amp;$G509&amp;""&amp;name=""&amp;SUBSTITUTE($A509,""#"&amp;""",""%23""),$H509&amp;""/""&amp;$I509),IF($H509&lt;&gt;"""",IF(REGEXMATCH($H509,""50( ?['fF]([oO]{2})?[tT]?)?( ?[eE][rR]{2}[oO][rR])""),HYPERLINK(""https://www.munzee.com/map/?sandbox=1&amp;lat=""&amp;$D509&amp;""&amp;lon=""&amp;$E509&amp;""&amp;name=""&amp;SUBSTITUTE($A509,""#"",""%23""),""SANDBOX"""&amp;"),HYPERLINK(""https://www.munzee.com/m/""&amp;$H509&amp;""/deploys/0/type/""&amp;IFNA(VLOOKUP($G509,IMPORTRANGE(""https://docs.google.com/spreadsheets/d/1DliIGyDywdzxhd4svtjaewR0p9Y5UBTMNMQ2PcXsqss"",""type data!E2:F""),2,FALSE),$G509)&amp;""/"",$H509)),""""))"),"Jenna2sipz/1582")</f>
        <v>Jenna2sipz/1582</v>
      </c>
      <c r="L509" s="19" t="b">
        <v>1</v>
      </c>
      <c r="M509" s="12">
        <f t="shared" si="1"/>
        <v>3</v>
      </c>
      <c r="N509" s="13"/>
      <c r="O509" s="13"/>
      <c r="P509" s="15"/>
    </row>
    <row r="510">
      <c r="A510" s="15" t="s">
        <v>738</v>
      </c>
      <c r="B510" s="16">
        <v>25.0</v>
      </c>
      <c r="C510" s="16">
        <v>27.0</v>
      </c>
      <c r="D510" s="17">
        <v>44.862625050361</v>
      </c>
      <c r="E510" s="17">
        <v>-93.331586476483</v>
      </c>
      <c r="F510" s="16" t="s">
        <v>41</v>
      </c>
      <c r="G510" s="16" t="s">
        <v>17</v>
      </c>
      <c r="H510" s="18" t="s">
        <v>14</v>
      </c>
      <c r="I510" s="19">
        <v>2272.0</v>
      </c>
      <c r="J510" s="20"/>
      <c r="K510" s="11" t="str">
        <f>IFERROR(__xludf.DUMMYFUNCTION("IF(AND(REGEXMATCH($H510,""50( ?['fF]([oO]{2})?[tT]?)?( ?[eE][rR]{2}[oO][rR])"")=FALSE,$H510&lt;&gt;"""",$I510&lt;&gt;""""),HYPERLINK(""https://www.munzee.com/m/""&amp;$H510&amp;""/""&amp;$I510&amp;""/map/?lat=""&amp;$D510&amp;""&amp;lon=""&amp;$E510&amp;""&amp;type=""&amp;$G510&amp;""&amp;name=""&amp;SUBSTITUTE($A510,""#"&amp;""",""%23""),$H510&amp;""/""&amp;$I510),IF($H510&lt;&gt;"""",IF(REGEXMATCH($H510,""50( ?['fF]([oO]{2})?[tT]?)?( ?[eE][rR]{2}[oO][rR])""),HYPERLINK(""https://www.munzee.com/map/?sandbox=1&amp;lat=""&amp;$D510&amp;""&amp;lon=""&amp;$E510&amp;""&amp;name=""&amp;SUBSTITUTE($A510,""#"",""%23""),""SANDBOX"""&amp;"),HYPERLINK(""https://www.munzee.com/m/""&amp;$H510&amp;""/deploys/0/type/""&amp;IFNA(VLOOKUP($G510,IMPORTRANGE(""https://docs.google.com/spreadsheets/d/1DliIGyDywdzxhd4svtjaewR0p9Y5UBTMNMQ2PcXsqss"",""type data!E2:F""),2,FALSE),$G510)&amp;""/"",$H510)),""""))"),"JABIE28/2272")</f>
        <v>JABIE28/2272</v>
      </c>
      <c r="L510" s="19" t="b">
        <v>1</v>
      </c>
      <c r="M510" s="12">
        <f t="shared" si="1"/>
        <v>85</v>
      </c>
      <c r="N510" s="13"/>
      <c r="O510" s="13"/>
      <c r="P510" s="29"/>
    </row>
    <row r="511">
      <c r="A511" s="15" t="s">
        <v>739</v>
      </c>
      <c r="B511" s="16">
        <v>25.0</v>
      </c>
      <c r="C511" s="16">
        <v>28.0</v>
      </c>
      <c r="D511" s="17">
        <v>44.862625050181</v>
      </c>
      <c r="E511" s="17">
        <v>-93.331383696549</v>
      </c>
      <c r="F511" s="16" t="s">
        <v>16</v>
      </c>
      <c r="G511" s="16" t="s">
        <v>17</v>
      </c>
      <c r="H511" s="18" t="s">
        <v>331</v>
      </c>
      <c r="I511" s="19">
        <v>2341.0</v>
      </c>
      <c r="J511" s="20"/>
      <c r="K511" s="11" t="str">
        <f>IFERROR(__xludf.DUMMYFUNCTION("IF(AND(REGEXMATCH($H511,""50( ?['fF]([oO]{2})?[tT]?)?( ?[eE][rR]{2}[oO][rR])"")=FALSE,$H511&lt;&gt;"""",$I511&lt;&gt;""""),HYPERLINK(""https://www.munzee.com/m/""&amp;$H511&amp;""/""&amp;$I511&amp;""/map/?lat=""&amp;$D511&amp;""&amp;lon=""&amp;$E511&amp;""&amp;type=""&amp;$G511&amp;""&amp;name=""&amp;SUBSTITUTE($A511,""#"&amp;""",""%23""),$H511&amp;""/""&amp;$I511),IF($H511&lt;&gt;"""",IF(REGEXMATCH($H511,""50( ?['fF]([oO]{2})?[tT]?)?( ?[eE][rR]{2}[oO][rR])""),HYPERLINK(""https://www.munzee.com/map/?sandbox=1&amp;lat=""&amp;$D511&amp;""&amp;lon=""&amp;$E511&amp;""&amp;name=""&amp;SUBSTITUTE($A511,""#"",""%23""),""SANDBOX"""&amp;"),HYPERLINK(""https://www.munzee.com/m/""&amp;$H511&amp;""/deploys/0/type/""&amp;IFNA(VLOOKUP($G511,IMPORTRANGE(""https://docs.google.com/spreadsheets/d/1DliIGyDywdzxhd4svtjaewR0p9Y5UBTMNMQ2PcXsqss"",""type data!E2:F""),2,FALSE),$G511)&amp;""/"",$H511)),""""))"),"tlmeadowlark/2341")</f>
        <v>tlmeadowlark/2341</v>
      </c>
      <c r="L511" s="19" t="b">
        <v>1</v>
      </c>
      <c r="M511" s="12">
        <f t="shared" si="1"/>
        <v>3</v>
      </c>
      <c r="N511" s="13"/>
      <c r="O511" s="13"/>
      <c r="P511" s="15"/>
    </row>
    <row r="512">
      <c r="A512" s="15" t="s">
        <v>740</v>
      </c>
      <c r="B512" s="16">
        <v>26.0</v>
      </c>
      <c r="C512" s="16">
        <v>2.0</v>
      </c>
      <c r="D512" s="17">
        <v>44.862481324401</v>
      </c>
      <c r="E512" s="17">
        <v>-93.336655983447</v>
      </c>
      <c r="F512" s="16" t="s">
        <v>16</v>
      </c>
      <c r="G512" s="16" t="s">
        <v>17</v>
      </c>
      <c r="H512" s="18" t="s">
        <v>95</v>
      </c>
      <c r="I512" s="19">
        <v>1677.0</v>
      </c>
      <c r="J512" s="21"/>
      <c r="K512" s="11" t="str">
        <f>IFERROR(__xludf.DUMMYFUNCTION("IF(AND(REGEXMATCH($H512,""50( ?['fF]([oO]{2})?[tT]?)?( ?[eE][rR]{2}[oO][rR])"")=FALSE,$H512&lt;&gt;"""",$I512&lt;&gt;""""),HYPERLINK(""https://www.munzee.com/m/""&amp;$H512&amp;""/""&amp;$I512&amp;""/map/?lat=""&amp;$D512&amp;""&amp;lon=""&amp;$E512&amp;""&amp;type=""&amp;$G512&amp;""&amp;name=""&amp;SUBSTITUTE($A512,""#"&amp;""",""%23""),$H512&amp;""/""&amp;$I512),IF($H512&lt;&gt;"""",IF(REGEXMATCH($H512,""50( ?['fF]([oO]{2})?[tT]?)?( ?[eE][rR]{2}[oO][rR])""),HYPERLINK(""https://www.munzee.com/map/?sandbox=1&amp;lat=""&amp;$D512&amp;""&amp;lon=""&amp;$E512&amp;""&amp;name=""&amp;SUBSTITUTE($A512,""#"",""%23""),""SANDBOX"""&amp;"),HYPERLINK(""https://www.munzee.com/m/""&amp;$H512&amp;""/deploys/0/type/""&amp;IFNA(VLOOKUP($G512,IMPORTRANGE(""https://docs.google.com/spreadsheets/d/1DliIGyDywdzxhd4svtjaewR0p9Y5UBTMNMQ2PcXsqss"",""type data!E2:F""),2,FALSE),$G512)&amp;""/"",$H512)),""""))"),"munzeepa/1677")</f>
        <v>munzeepa/1677</v>
      </c>
      <c r="L512" s="19" t="b">
        <v>1</v>
      </c>
      <c r="M512" s="12">
        <f t="shared" si="1"/>
        <v>20</v>
      </c>
      <c r="N512" s="13"/>
      <c r="O512" s="13"/>
      <c r="P512" s="29"/>
    </row>
    <row r="513">
      <c r="A513" s="15" t="s">
        <v>741</v>
      </c>
      <c r="B513" s="16">
        <v>26.0</v>
      </c>
      <c r="C513" s="16">
        <v>3.0</v>
      </c>
      <c r="D513" s="17">
        <v>44.862481324222</v>
      </c>
      <c r="E513" s="17">
        <v>-93.336453204019</v>
      </c>
      <c r="F513" s="16" t="s">
        <v>16</v>
      </c>
      <c r="G513" s="16" t="s">
        <v>17</v>
      </c>
      <c r="H513" s="18" t="s">
        <v>435</v>
      </c>
      <c r="I513" s="19">
        <v>276.0</v>
      </c>
      <c r="J513" s="21"/>
      <c r="K513" s="11" t="str">
        <f>IFERROR(__xludf.DUMMYFUNCTION("IF(AND(REGEXMATCH($H513,""50( ?['fF]([oO]{2})?[tT]?)?( ?[eE][rR]{2}[oO][rR])"")=FALSE,$H513&lt;&gt;"""",$I513&lt;&gt;""""),HYPERLINK(""https://www.munzee.com/m/""&amp;$H513&amp;""/""&amp;$I513&amp;""/map/?lat=""&amp;$D513&amp;""&amp;lon=""&amp;$E513&amp;""&amp;type=""&amp;$G513&amp;""&amp;name=""&amp;SUBSTITUTE($A513,""#"&amp;""",""%23""),$H513&amp;""/""&amp;$I513),IF($H513&lt;&gt;"""",IF(REGEXMATCH($H513,""50( ?['fF]([oO]{2})?[tT]?)?( ?[eE][rR]{2}[oO][rR])""),HYPERLINK(""https://www.munzee.com/map/?sandbox=1&amp;lat=""&amp;$D513&amp;""&amp;lon=""&amp;$E513&amp;""&amp;name=""&amp;SUBSTITUTE($A513,""#"",""%23""),""SANDBOX"""&amp;"),HYPERLINK(""https://www.munzee.com/m/""&amp;$H513&amp;""/deploys/0/type/""&amp;IFNA(VLOOKUP($G513,IMPORTRANGE(""https://docs.google.com/spreadsheets/d/1DliIGyDywdzxhd4svtjaewR0p9Y5UBTMNMQ2PcXsqss"",""type data!E2:F""),2,FALSE),$G513)&amp;""/"",$H513)),""""))"),"LauraMN/276")</f>
        <v>LauraMN/276</v>
      </c>
      <c r="L513" s="19" t="b">
        <v>1</v>
      </c>
      <c r="M513" s="12">
        <f t="shared" si="1"/>
        <v>2</v>
      </c>
      <c r="N513" s="13"/>
      <c r="O513" s="13"/>
      <c r="P513" s="29"/>
    </row>
    <row r="514">
      <c r="A514" s="15" t="s">
        <v>742</v>
      </c>
      <c r="B514" s="16">
        <v>26.0</v>
      </c>
      <c r="C514" s="16">
        <v>4.0</v>
      </c>
      <c r="D514" s="17">
        <v>44.862481324042</v>
      </c>
      <c r="E514" s="17">
        <v>-93.336250424591</v>
      </c>
      <c r="F514" s="16" t="s">
        <v>16</v>
      </c>
      <c r="G514" s="16" t="s">
        <v>17</v>
      </c>
      <c r="H514" s="18" t="s">
        <v>743</v>
      </c>
      <c r="I514" s="19">
        <v>349.0</v>
      </c>
      <c r="J514" s="21"/>
      <c r="K514" s="11" t="str">
        <f>IFERROR(__xludf.DUMMYFUNCTION("IF(AND(REGEXMATCH($H514,""50( ?['fF]([oO]{2})?[tT]?)?( ?[eE][rR]{2}[oO][rR])"")=FALSE,$H514&lt;&gt;"""",$I514&lt;&gt;""""),HYPERLINK(""https://www.munzee.com/m/""&amp;$H514&amp;""/""&amp;$I514&amp;""/map/?lat=""&amp;$D514&amp;""&amp;lon=""&amp;$E514&amp;""&amp;type=""&amp;$G514&amp;""&amp;name=""&amp;SUBSTITUTE($A514,""#"&amp;""",""%23""),$H514&amp;""/""&amp;$I514),IF($H514&lt;&gt;"""",IF(REGEXMATCH($H514,""50( ?['fF]([oO]{2})?[tT]?)?( ?[eE][rR]{2}[oO][rR])""),HYPERLINK(""https://www.munzee.com/map/?sandbox=1&amp;lat=""&amp;$D514&amp;""&amp;lon=""&amp;$E514&amp;""&amp;name=""&amp;SUBSTITUTE($A514,""#"",""%23""),""SANDBOX"""&amp;"),HYPERLINK(""https://www.munzee.com/m/""&amp;$H514&amp;""/deploys/0/type/""&amp;IFNA(VLOOKUP($G514,IMPORTRANGE(""https://docs.google.com/spreadsheets/d/1DliIGyDywdzxhd4svtjaewR0p9Y5UBTMNMQ2PcXsqss"",""type data!E2:F""),2,FALSE),$G514)&amp;""/"",$H514)),""""))"),"TTFNCachn /349")</f>
        <v>TTFNCachn /349</v>
      </c>
      <c r="L514" s="19" t="b">
        <v>1</v>
      </c>
      <c r="M514" s="12">
        <f t="shared" si="1"/>
        <v>2</v>
      </c>
      <c r="N514" s="13"/>
      <c r="O514" s="13"/>
      <c r="P514" s="15"/>
    </row>
    <row r="515">
      <c r="A515" s="15" t="s">
        <v>744</v>
      </c>
      <c r="B515" s="16">
        <v>26.0</v>
      </c>
      <c r="C515" s="16">
        <v>5.0</v>
      </c>
      <c r="D515" s="17">
        <v>44.862481323863</v>
      </c>
      <c r="E515" s="17">
        <v>-93.336047645163</v>
      </c>
      <c r="F515" s="16" t="s">
        <v>16</v>
      </c>
      <c r="G515" s="16" t="s">
        <v>17</v>
      </c>
      <c r="H515" s="18" t="s">
        <v>429</v>
      </c>
      <c r="I515" s="19">
        <v>4678.0</v>
      </c>
      <c r="J515" s="21"/>
      <c r="K515" s="11" t="str">
        <f>IFERROR(__xludf.DUMMYFUNCTION("IF(AND(REGEXMATCH($H515,""50( ?['fF]([oO]{2})?[tT]?)?( ?[eE][rR]{2}[oO][rR])"")=FALSE,$H515&lt;&gt;"""",$I515&lt;&gt;""""),HYPERLINK(""https://www.munzee.com/m/""&amp;$H515&amp;""/""&amp;$I515&amp;""/map/?lat=""&amp;$D515&amp;""&amp;lon=""&amp;$E515&amp;""&amp;type=""&amp;$G515&amp;""&amp;name=""&amp;SUBSTITUTE($A515,""#"&amp;""",""%23""),$H515&amp;""/""&amp;$I515),IF($H515&lt;&gt;"""",IF(REGEXMATCH($H515,""50( ?['fF]([oO]{2})?[tT]?)?( ?[eE][rR]{2}[oO][rR])""),HYPERLINK(""https://www.munzee.com/map/?sandbox=1&amp;lat=""&amp;$D515&amp;""&amp;lon=""&amp;$E515&amp;""&amp;name=""&amp;SUBSTITUTE($A515,""#"",""%23""),""SANDBOX"""&amp;"),HYPERLINK(""https://www.munzee.com/m/""&amp;$H515&amp;""/deploys/0/type/""&amp;IFNA(VLOOKUP($G515,IMPORTRANGE(""https://docs.google.com/spreadsheets/d/1DliIGyDywdzxhd4svtjaewR0p9Y5UBTMNMQ2PcXsqss"",""type data!E2:F""),2,FALSE),$G515)&amp;""/"",$H515)),""""))"),"halemeister/4678")</f>
        <v>halemeister/4678</v>
      </c>
      <c r="L515" s="19" t="b">
        <v>1</v>
      </c>
      <c r="M515" s="12">
        <f t="shared" si="1"/>
        <v>9</v>
      </c>
      <c r="N515" s="13"/>
      <c r="O515" s="13"/>
      <c r="P515" s="15"/>
    </row>
    <row r="516">
      <c r="A516" s="15" t="s">
        <v>745</v>
      </c>
      <c r="B516" s="16">
        <v>26.0</v>
      </c>
      <c r="C516" s="16">
        <v>6.0</v>
      </c>
      <c r="D516" s="17">
        <v>44.862481323683</v>
      </c>
      <c r="E516" s="17">
        <v>-93.335844865735</v>
      </c>
      <c r="F516" s="16" t="s">
        <v>16</v>
      </c>
      <c r="G516" s="16" t="s">
        <v>17</v>
      </c>
      <c r="H516" s="18" t="s">
        <v>746</v>
      </c>
      <c r="I516" s="19">
        <v>535.0</v>
      </c>
      <c r="J516" s="21"/>
      <c r="K516" s="11" t="str">
        <f>IFERROR(__xludf.DUMMYFUNCTION("IF(AND(REGEXMATCH($H516,""50( ?['fF]([oO]{2})?[tT]?)?( ?[eE][rR]{2}[oO][rR])"")=FALSE,$H516&lt;&gt;"""",$I516&lt;&gt;""""),HYPERLINK(""https://www.munzee.com/m/""&amp;$H516&amp;""/""&amp;$I516&amp;""/map/?lat=""&amp;$D516&amp;""&amp;lon=""&amp;$E516&amp;""&amp;type=""&amp;$G516&amp;""&amp;name=""&amp;SUBSTITUTE($A516,""#"&amp;""",""%23""),$H516&amp;""/""&amp;$I516),IF($H516&lt;&gt;"""",IF(REGEXMATCH($H516,""50( ?['fF]([oO]{2})?[tT]?)?( ?[eE][rR]{2}[oO][rR])""),HYPERLINK(""https://www.munzee.com/map/?sandbox=1&amp;lat=""&amp;$D516&amp;""&amp;lon=""&amp;$E516&amp;""&amp;name=""&amp;SUBSTITUTE($A516,""#"",""%23""),""SANDBOX"""&amp;"),HYPERLINK(""https://www.munzee.com/m/""&amp;$H516&amp;""/deploys/0/type/""&amp;IFNA(VLOOKUP($G516,IMPORTRANGE(""https://docs.google.com/spreadsheets/d/1DliIGyDywdzxhd4svtjaewR0p9Y5UBTMNMQ2PcXsqss"",""type data!E2:F""),2,FALSE),$G516)&amp;""/"",$H516)),""""))"),"FFHelper/535")</f>
        <v>FFHelper/535</v>
      </c>
      <c r="L516" s="19" t="b">
        <v>1</v>
      </c>
      <c r="M516" s="12">
        <f t="shared" si="1"/>
        <v>1</v>
      </c>
      <c r="N516" s="13"/>
      <c r="O516" s="13"/>
      <c r="P516" s="15"/>
    </row>
    <row r="517">
      <c r="A517" s="15" t="s">
        <v>747</v>
      </c>
      <c r="B517" s="16">
        <v>26.0</v>
      </c>
      <c r="C517" s="16">
        <v>7.0</v>
      </c>
      <c r="D517" s="17">
        <v>44.862481323504</v>
      </c>
      <c r="E517" s="17">
        <v>-93.335642086307</v>
      </c>
      <c r="F517" s="16" t="s">
        <v>16</v>
      </c>
      <c r="G517" s="16" t="s">
        <v>410</v>
      </c>
      <c r="H517" s="18" t="s">
        <v>472</v>
      </c>
      <c r="I517" s="19">
        <v>1204.0</v>
      </c>
      <c r="J517" s="20"/>
      <c r="K517" s="11" t="str">
        <f>IFERROR(__xludf.DUMMYFUNCTION("IF(AND(REGEXMATCH($H517,""50( ?['fF]([oO]{2})?[tT]?)?( ?[eE][rR]{2}[oO][rR])"")=FALSE,$H517&lt;&gt;"""",$I517&lt;&gt;""""),HYPERLINK(""https://www.munzee.com/m/""&amp;$H517&amp;""/""&amp;$I517&amp;""/map/?lat=""&amp;$D517&amp;""&amp;lon=""&amp;$E517&amp;""&amp;type=""&amp;$G517&amp;""&amp;name=""&amp;SUBSTITUTE($A517,""#"&amp;""",""%23""),$H517&amp;""/""&amp;$I517),IF($H517&lt;&gt;"""",IF(REGEXMATCH($H517,""50( ?['fF]([oO]{2})?[tT]?)?( ?[eE][rR]{2}[oO][rR])""),HYPERLINK(""https://www.munzee.com/map/?sandbox=1&amp;lat=""&amp;$D517&amp;""&amp;lon=""&amp;$E517&amp;""&amp;name=""&amp;SUBSTITUTE($A517,""#"",""%23""),""SANDBOX"""&amp;"),HYPERLINK(""https://www.munzee.com/m/""&amp;$H517&amp;""/deploys/0/type/""&amp;IFNA(VLOOKUP($G517,IMPORTRANGE(""https://docs.google.com/spreadsheets/d/1DliIGyDywdzxhd4svtjaewR0p9Y5UBTMNMQ2PcXsqss"",""type data!E2:F""),2,FALSE),$G517)&amp;""/"",$H517)),""""))"),"Fluffystuff74/1204")</f>
        <v>Fluffystuff74/1204</v>
      </c>
      <c r="L517" s="19" t="b">
        <v>1</v>
      </c>
      <c r="M517" s="12">
        <f t="shared" si="1"/>
        <v>5</v>
      </c>
      <c r="N517" s="13"/>
      <c r="O517" s="13"/>
      <c r="P517" s="29"/>
    </row>
    <row r="518">
      <c r="A518" s="15" t="s">
        <v>748</v>
      </c>
      <c r="B518" s="16">
        <v>26.0</v>
      </c>
      <c r="C518" s="16">
        <v>8.0</v>
      </c>
      <c r="D518" s="17">
        <v>44.862481323324</v>
      </c>
      <c r="E518" s="17">
        <v>-93.335439306878</v>
      </c>
      <c r="F518" s="16" t="s">
        <v>41</v>
      </c>
      <c r="G518" s="16" t="s">
        <v>410</v>
      </c>
      <c r="H518" s="18" t="s">
        <v>749</v>
      </c>
      <c r="I518" s="19">
        <v>1578.0</v>
      </c>
      <c r="J518" s="20"/>
      <c r="K518" s="11" t="str">
        <f>IFERROR(__xludf.DUMMYFUNCTION("IF(AND(REGEXMATCH($H518,""50( ?['fF]([oO]{2})?[tT]?)?( ?[eE][rR]{2}[oO][rR])"")=FALSE,$H518&lt;&gt;"""",$I518&lt;&gt;""""),HYPERLINK(""https://www.munzee.com/m/""&amp;$H518&amp;""/""&amp;$I518&amp;""/map/?lat=""&amp;$D518&amp;""&amp;lon=""&amp;$E518&amp;""&amp;type=""&amp;$G518&amp;""&amp;name=""&amp;SUBSTITUTE($A518,""#"&amp;""",""%23""),$H518&amp;""/""&amp;$I518),IF($H518&lt;&gt;"""",IF(REGEXMATCH($H518,""50( ?['fF]([oO]{2})?[tT]?)?( ?[eE][rR]{2}[oO][rR])""),HYPERLINK(""https://www.munzee.com/map/?sandbox=1&amp;lat=""&amp;$D518&amp;""&amp;lon=""&amp;$E518&amp;""&amp;name=""&amp;SUBSTITUTE($A518,""#"",""%23""),""SANDBOX"""&amp;"),HYPERLINK(""https://www.munzee.com/m/""&amp;$H518&amp;""/deploys/0/type/""&amp;IFNA(VLOOKUP($G518,IMPORTRANGE(""https://docs.google.com/spreadsheets/d/1DliIGyDywdzxhd4svtjaewR0p9Y5UBTMNMQ2PcXsqss"",""type data!E2:F""),2,FALSE),$G518)&amp;""/"",$H518)),""""))"),"Blutengel/1578")</f>
        <v>Blutengel/1578</v>
      </c>
      <c r="L518" s="19" t="b">
        <v>1</v>
      </c>
      <c r="M518" s="12">
        <f t="shared" si="1"/>
        <v>9</v>
      </c>
      <c r="N518" s="13"/>
      <c r="O518" s="13"/>
      <c r="P518" s="15"/>
    </row>
    <row r="519">
      <c r="A519" s="15" t="s">
        <v>750</v>
      </c>
      <c r="B519" s="16">
        <v>26.0</v>
      </c>
      <c r="C519" s="16">
        <v>9.0</v>
      </c>
      <c r="D519" s="17">
        <v>44.862481323145</v>
      </c>
      <c r="E519" s="17">
        <v>-93.33523652745</v>
      </c>
      <c r="F519" s="16" t="s">
        <v>41</v>
      </c>
      <c r="G519" s="16" t="s">
        <v>410</v>
      </c>
      <c r="H519" s="18" t="s">
        <v>429</v>
      </c>
      <c r="I519" s="19">
        <v>4669.0</v>
      </c>
      <c r="J519" s="28"/>
      <c r="K519" s="11" t="str">
        <f>IFERROR(__xludf.DUMMYFUNCTION("IF(AND(REGEXMATCH($H519,""50( ?['fF]([oO]{2})?[tT]?)?( ?[eE][rR]{2}[oO][rR])"")=FALSE,$H519&lt;&gt;"""",$I519&lt;&gt;""""),HYPERLINK(""https://www.munzee.com/m/""&amp;$H519&amp;""/""&amp;$I519&amp;""/map/?lat=""&amp;$D519&amp;""&amp;lon=""&amp;$E519&amp;""&amp;type=""&amp;$G519&amp;""&amp;name=""&amp;SUBSTITUTE($A519,""#"&amp;""",""%23""),$H519&amp;""/""&amp;$I519),IF($H519&lt;&gt;"""",IF(REGEXMATCH($H519,""50( ?['fF]([oO]{2})?[tT]?)?( ?[eE][rR]{2}[oO][rR])""),HYPERLINK(""https://www.munzee.com/map/?sandbox=1&amp;lat=""&amp;$D519&amp;""&amp;lon=""&amp;$E519&amp;""&amp;name=""&amp;SUBSTITUTE($A519,""#"",""%23""),""SANDBOX"""&amp;"),HYPERLINK(""https://www.munzee.com/m/""&amp;$H519&amp;""/deploys/0/type/""&amp;IFNA(VLOOKUP($G519,IMPORTRANGE(""https://docs.google.com/spreadsheets/d/1DliIGyDywdzxhd4svtjaewR0p9Y5UBTMNMQ2PcXsqss"",""type data!E2:F""),2,FALSE),$G519)&amp;""/"",$H519)),""""))"),"halemeister/4669")</f>
        <v>halemeister/4669</v>
      </c>
      <c r="L519" s="19" t="b">
        <v>1</v>
      </c>
      <c r="M519" s="12">
        <f t="shared" si="1"/>
        <v>9</v>
      </c>
      <c r="N519" s="13"/>
      <c r="O519" s="13"/>
      <c r="P519" s="15"/>
    </row>
    <row r="520">
      <c r="A520" s="15" t="s">
        <v>751</v>
      </c>
      <c r="B520" s="16">
        <v>26.0</v>
      </c>
      <c r="C520" s="16">
        <v>10.0</v>
      </c>
      <c r="D520" s="17">
        <v>44.862481322966</v>
      </c>
      <c r="E520" s="17">
        <v>-93.335033748022</v>
      </c>
      <c r="F520" s="16" t="s">
        <v>41</v>
      </c>
      <c r="G520" s="16" t="s">
        <v>17</v>
      </c>
      <c r="H520" s="18" t="s">
        <v>752</v>
      </c>
      <c r="I520" s="19">
        <v>3082.0</v>
      </c>
      <c r="J520" s="39"/>
      <c r="K520" s="11" t="str">
        <f>IFERROR(__xludf.DUMMYFUNCTION("IF(AND(REGEXMATCH($H520,""50( ?['fF]([oO]{2})?[tT]?)?( ?[eE][rR]{2}[oO][rR])"")=FALSE,$H520&lt;&gt;"""",$I520&lt;&gt;""""),HYPERLINK(""https://www.munzee.com/m/""&amp;$H520&amp;""/""&amp;$I520&amp;""/map/?lat=""&amp;$D520&amp;""&amp;lon=""&amp;$E520&amp;""&amp;type=""&amp;$G520&amp;""&amp;name=""&amp;SUBSTITUTE($A520,""#"&amp;""",""%23""),$H520&amp;""/""&amp;$I520),IF($H520&lt;&gt;"""",IF(REGEXMATCH($H520,""50( ?['fF]([oO]{2})?[tT]?)?( ?[eE][rR]{2}[oO][rR])""),HYPERLINK(""https://www.munzee.com/map/?sandbox=1&amp;lat=""&amp;$D520&amp;""&amp;lon=""&amp;$E520&amp;""&amp;name=""&amp;SUBSTITUTE($A520,""#"",""%23""),""SANDBOX"""&amp;"),HYPERLINK(""https://www.munzee.com/m/""&amp;$H520&amp;""/deploys/0/type/""&amp;IFNA(VLOOKUP($G520,IMPORTRANGE(""https://docs.google.com/spreadsheets/d/1DliIGyDywdzxhd4svtjaewR0p9Y5UBTMNMQ2PcXsqss"",""type data!E2:F""),2,FALSE),$G520)&amp;""/"",$H520)),""""))"),"Majsan/3082")</f>
        <v>Majsan/3082</v>
      </c>
      <c r="L520" s="19" t="b">
        <v>1</v>
      </c>
      <c r="M520" s="12">
        <f t="shared" si="1"/>
        <v>1</v>
      </c>
      <c r="N520" s="13"/>
      <c r="O520" s="13"/>
      <c r="P520" s="29"/>
    </row>
    <row r="521">
      <c r="A521" s="15" t="s">
        <v>753</v>
      </c>
      <c r="B521" s="16">
        <v>26.0</v>
      </c>
      <c r="C521" s="16">
        <v>11.0</v>
      </c>
      <c r="D521" s="17">
        <v>44.862481322786</v>
      </c>
      <c r="E521" s="17">
        <v>-93.334830968594</v>
      </c>
      <c r="F521" s="16" t="s">
        <v>41</v>
      </c>
      <c r="G521" s="16" t="s">
        <v>17</v>
      </c>
      <c r="H521" s="18" t="s">
        <v>749</v>
      </c>
      <c r="I521" s="19">
        <v>1587.0</v>
      </c>
      <c r="J521" s="20"/>
      <c r="K521" s="11" t="str">
        <f>IFERROR(__xludf.DUMMYFUNCTION("IF(AND(REGEXMATCH($H521,""50( ?['fF]([oO]{2})?[tT]?)?( ?[eE][rR]{2}[oO][rR])"")=FALSE,$H521&lt;&gt;"""",$I521&lt;&gt;""""),HYPERLINK(""https://www.munzee.com/m/""&amp;$H521&amp;""/""&amp;$I521&amp;""/map/?lat=""&amp;$D521&amp;""&amp;lon=""&amp;$E521&amp;""&amp;type=""&amp;$G521&amp;""&amp;name=""&amp;SUBSTITUTE($A521,""#"&amp;""",""%23""),$H521&amp;""/""&amp;$I521),IF($H521&lt;&gt;"""",IF(REGEXMATCH($H521,""50( ?['fF]([oO]{2})?[tT]?)?( ?[eE][rR]{2}[oO][rR])""),HYPERLINK(""https://www.munzee.com/map/?sandbox=1&amp;lat=""&amp;$D521&amp;""&amp;lon=""&amp;$E521&amp;""&amp;name=""&amp;SUBSTITUTE($A521,""#"",""%23""),""SANDBOX"""&amp;"),HYPERLINK(""https://www.munzee.com/m/""&amp;$H521&amp;""/deploys/0/type/""&amp;IFNA(VLOOKUP($G521,IMPORTRANGE(""https://docs.google.com/spreadsheets/d/1DliIGyDywdzxhd4svtjaewR0p9Y5UBTMNMQ2PcXsqss"",""type data!E2:F""),2,FALSE),$G521)&amp;""/"",$H521)),""""))"),"Blutengel/1587")</f>
        <v>Blutengel/1587</v>
      </c>
      <c r="L521" s="19" t="b">
        <v>1</v>
      </c>
      <c r="M521" s="12">
        <f t="shared" si="1"/>
        <v>9</v>
      </c>
      <c r="N521" s="13"/>
      <c r="O521" s="13"/>
      <c r="P521" s="29"/>
    </row>
    <row r="522">
      <c r="A522" s="15" t="s">
        <v>754</v>
      </c>
      <c r="B522" s="16">
        <v>26.0</v>
      </c>
      <c r="C522" s="16">
        <v>12.0</v>
      </c>
      <c r="D522" s="17">
        <v>44.862481322607</v>
      </c>
      <c r="E522" s="17">
        <v>-93.334628189166</v>
      </c>
      <c r="F522" s="16" t="s">
        <v>41</v>
      </c>
      <c r="G522" s="16" t="s">
        <v>17</v>
      </c>
      <c r="H522" s="18" t="s">
        <v>629</v>
      </c>
      <c r="I522" s="19">
        <v>2098.0</v>
      </c>
      <c r="J522" s="20"/>
      <c r="K522" s="11" t="str">
        <f>IFERROR(__xludf.DUMMYFUNCTION("IF(AND(REGEXMATCH($H522,""50( ?['fF]([oO]{2})?[tT]?)?( ?[eE][rR]{2}[oO][rR])"")=FALSE,$H522&lt;&gt;"""",$I522&lt;&gt;""""),HYPERLINK(""https://www.munzee.com/m/""&amp;$H522&amp;""/""&amp;$I522&amp;""/map/?lat=""&amp;$D522&amp;""&amp;lon=""&amp;$E522&amp;""&amp;type=""&amp;$G522&amp;""&amp;name=""&amp;SUBSTITUTE($A522,""#"&amp;""",""%23""),$H522&amp;""/""&amp;$I522),IF($H522&lt;&gt;"""",IF(REGEXMATCH($H522,""50( ?['fF]([oO]{2})?[tT]?)?( ?[eE][rR]{2}[oO][rR])""),HYPERLINK(""https://www.munzee.com/map/?sandbox=1&amp;lat=""&amp;$D522&amp;""&amp;lon=""&amp;$E522&amp;""&amp;name=""&amp;SUBSTITUTE($A522,""#"",""%23""),""SANDBOX"""&amp;"),HYPERLINK(""https://www.munzee.com/m/""&amp;$H522&amp;""/deploys/0/type/""&amp;IFNA(VLOOKUP($G522,IMPORTRANGE(""https://docs.google.com/spreadsheets/d/1DliIGyDywdzxhd4svtjaewR0p9Y5UBTMNMQ2PcXsqss"",""type data!E2:F""),2,FALSE),$G522)&amp;""/"",$H522)),""""))"),"par72/2098")</f>
        <v>par72/2098</v>
      </c>
      <c r="L522" s="19" t="b">
        <v>1</v>
      </c>
      <c r="M522" s="12">
        <f t="shared" si="1"/>
        <v>4</v>
      </c>
      <c r="N522" s="13"/>
      <c r="O522" s="13"/>
      <c r="P522" s="15"/>
    </row>
    <row r="523">
      <c r="A523" s="15" t="s">
        <v>755</v>
      </c>
      <c r="B523" s="16">
        <v>26.0</v>
      </c>
      <c r="C523" s="16">
        <v>13.0</v>
      </c>
      <c r="D523" s="17">
        <v>44.862481322427</v>
      </c>
      <c r="E523" s="17">
        <v>-93.334425409738</v>
      </c>
      <c r="F523" s="16" t="s">
        <v>41</v>
      </c>
      <c r="G523" s="16" t="s">
        <v>17</v>
      </c>
      <c r="H523" s="18" t="s">
        <v>728</v>
      </c>
      <c r="I523" s="19">
        <v>10550.0</v>
      </c>
      <c r="J523" s="39"/>
      <c r="K523" s="11" t="str">
        <f>IFERROR(__xludf.DUMMYFUNCTION("IF(AND(REGEXMATCH($H523,""50( ?['fF]([oO]{2})?[tT]?)?( ?[eE][rR]{2}[oO][rR])"")=FALSE,$H523&lt;&gt;"""",$I523&lt;&gt;""""),HYPERLINK(""https://www.munzee.com/m/""&amp;$H523&amp;""/""&amp;$I523&amp;""/map/?lat=""&amp;$D523&amp;""&amp;lon=""&amp;$E523&amp;""&amp;type=""&amp;$G523&amp;""&amp;name=""&amp;SUBSTITUTE($A523,""#"&amp;""",""%23""),$H523&amp;""/""&amp;$I523),IF($H523&lt;&gt;"""",IF(REGEXMATCH($H523,""50( ?['fF]([oO]{2})?[tT]?)?( ?[eE][rR]{2}[oO][rR])""),HYPERLINK(""https://www.munzee.com/map/?sandbox=1&amp;lat=""&amp;$D523&amp;""&amp;lon=""&amp;$E523&amp;""&amp;name=""&amp;SUBSTITUTE($A523,""#"",""%23""),""SANDBOX"""&amp;"),HYPERLINK(""https://www.munzee.com/m/""&amp;$H523&amp;""/deploys/0/type/""&amp;IFNA(VLOOKUP($G523,IMPORTRANGE(""https://docs.google.com/spreadsheets/d/1DliIGyDywdzxhd4svtjaewR0p9Y5UBTMNMQ2PcXsqss"",""type data!E2:F""),2,FALSE),$G523)&amp;""/"",$H523)),""""))"),"Ecorangers/10550")</f>
        <v>Ecorangers/10550</v>
      </c>
      <c r="L523" s="19" t="b">
        <v>1</v>
      </c>
      <c r="M523" s="12">
        <f t="shared" si="1"/>
        <v>7</v>
      </c>
      <c r="N523" s="13"/>
      <c r="O523" s="13"/>
      <c r="P523" s="15"/>
    </row>
    <row r="524">
      <c r="A524" s="15" t="s">
        <v>756</v>
      </c>
      <c r="B524" s="16">
        <v>26.0</v>
      </c>
      <c r="C524" s="16">
        <v>14.0</v>
      </c>
      <c r="D524" s="17">
        <v>44.862481322248</v>
      </c>
      <c r="E524" s="17">
        <v>-93.33422263031</v>
      </c>
      <c r="F524" s="16" t="s">
        <v>757</v>
      </c>
      <c r="G524" s="16" t="s">
        <v>17</v>
      </c>
      <c r="H524" s="18" t="s">
        <v>21</v>
      </c>
      <c r="I524" s="19">
        <v>916.0</v>
      </c>
      <c r="J524" s="20"/>
      <c r="K524" s="11" t="str">
        <f>IFERROR(__xludf.DUMMYFUNCTION("IF(AND(REGEXMATCH($H524,""50( ?['fF]([oO]{2})?[tT]?)?( ?[eE][rR]{2}[oO][rR])"")=FALSE,$H524&lt;&gt;"""",$I524&lt;&gt;""""),HYPERLINK(""https://www.munzee.com/m/""&amp;$H524&amp;""/""&amp;$I524&amp;""/map/?lat=""&amp;$D524&amp;""&amp;lon=""&amp;$E524&amp;""&amp;type=""&amp;$G524&amp;""&amp;name=""&amp;SUBSTITUTE($A524,""#"&amp;""",""%23""),$H524&amp;""/""&amp;$I524),IF($H524&lt;&gt;"""",IF(REGEXMATCH($H524,""50( ?['fF]([oO]{2})?[tT]?)?( ?[eE][rR]{2}[oO][rR])""),HYPERLINK(""https://www.munzee.com/map/?sandbox=1&amp;lat=""&amp;$D524&amp;""&amp;lon=""&amp;$E524&amp;""&amp;name=""&amp;SUBSTITUTE($A524,""#"",""%23""),""SANDBOX"""&amp;"),HYPERLINK(""https://www.munzee.com/m/""&amp;$H524&amp;""/deploys/0/type/""&amp;IFNA(VLOOKUP($G524,IMPORTRANGE(""https://docs.google.com/spreadsheets/d/1DliIGyDywdzxhd4svtjaewR0p9Y5UBTMNMQ2PcXsqss"",""type data!E2:F""),2,FALSE),$G524)&amp;""/"",$H524)),""""))"),"Westmarch/916")</f>
        <v>Westmarch/916</v>
      </c>
      <c r="L524" s="19" t="b">
        <v>1</v>
      </c>
      <c r="M524" s="12">
        <f t="shared" si="1"/>
        <v>12</v>
      </c>
      <c r="N524" s="13"/>
      <c r="O524" s="13"/>
      <c r="P524" s="15"/>
    </row>
    <row r="525">
      <c r="A525" s="15" t="s">
        <v>758</v>
      </c>
      <c r="B525" s="16">
        <v>26.0</v>
      </c>
      <c r="C525" s="16">
        <v>15.0</v>
      </c>
      <c r="D525" s="17">
        <v>44.862481322068</v>
      </c>
      <c r="E525" s="17">
        <v>-93.334019850882</v>
      </c>
      <c r="F525" s="16" t="s">
        <v>757</v>
      </c>
      <c r="G525" s="16" t="s">
        <v>17</v>
      </c>
      <c r="H525" s="18" t="s">
        <v>759</v>
      </c>
      <c r="I525" s="19">
        <v>4467.0</v>
      </c>
      <c r="J525" s="20"/>
      <c r="K525" s="11" t="str">
        <f>IFERROR(__xludf.DUMMYFUNCTION("IF(AND(REGEXMATCH($H525,""50( ?['fF]([oO]{2})?[tT]?)?( ?[eE][rR]{2}[oO][rR])"")=FALSE,$H525&lt;&gt;"""",$I525&lt;&gt;""""),HYPERLINK(""https://www.munzee.com/m/""&amp;$H525&amp;""/""&amp;$I525&amp;""/map/?lat=""&amp;$D525&amp;""&amp;lon=""&amp;$E525&amp;""&amp;type=""&amp;$G525&amp;""&amp;name=""&amp;SUBSTITUTE($A525,""#"&amp;""",""%23""),$H525&amp;""/""&amp;$I525),IF($H525&lt;&gt;"""",IF(REGEXMATCH($H525,""50( ?['fF]([oO]{2})?[tT]?)?( ?[eE][rR]{2}[oO][rR])""),HYPERLINK(""https://www.munzee.com/map/?sandbox=1&amp;lat=""&amp;$D525&amp;""&amp;lon=""&amp;$E525&amp;""&amp;name=""&amp;SUBSTITUTE($A525,""#"",""%23""),""SANDBOX"""&amp;"),HYPERLINK(""https://www.munzee.com/m/""&amp;$H525&amp;""/deploys/0/type/""&amp;IFNA(VLOOKUP($G525,IMPORTRANGE(""https://docs.google.com/spreadsheets/d/1DliIGyDywdzxhd4svtjaewR0p9Y5UBTMNMQ2PcXsqss"",""type data!E2:F""),2,FALSE),$G525)&amp;""/"",$H525)),""""))"),"kwd/4467")</f>
        <v>kwd/4467</v>
      </c>
      <c r="L525" s="19" t="b">
        <v>1</v>
      </c>
      <c r="M525" s="12">
        <f t="shared" si="1"/>
        <v>1</v>
      </c>
      <c r="N525" s="13"/>
      <c r="O525" s="13"/>
      <c r="P525" s="15"/>
    </row>
    <row r="526">
      <c r="A526" s="15" t="s">
        <v>760</v>
      </c>
      <c r="B526" s="16">
        <v>26.0</v>
      </c>
      <c r="C526" s="16">
        <v>16.0</v>
      </c>
      <c r="D526" s="17">
        <v>44.862481321889</v>
      </c>
      <c r="E526" s="17">
        <v>-93.333817071454</v>
      </c>
      <c r="F526" s="16" t="s">
        <v>41</v>
      </c>
      <c r="G526" s="16" t="s">
        <v>17</v>
      </c>
      <c r="H526" s="18" t="s">
        <v>749</v>
      </c>
      <c r="I526" s="19">
        <v>1588.0</v>
      </c>
      <c r="J526" s="27"/>
      <c r="K526" s="11" t="str">
        <f>IFERROR(__xludf.DUMMYFUNCTION("IF(AND(REGEXMATCH($H526,""50( ?['fF]([oO]{2})?[tT]?)?( ?[eE][rR]{2}[oO][rR])"")=FALSE,$H526&lt;&gt;"""",$I526&lt;&gt;""""),HYPERLINK(""https://www.munzee.com/m/""&amp;$H526&amp;""/""&amp;$I526&amp;""/map/?lat=""&amp;$D526&amp;""&amp;lon=""&amp;$E526&amp;""&amp;type=""&amp;$G526&amp;""&amp;name=""&amp;SUBSTITUTE($A526,""#"&amp;""",""%23""),$H526&amp;""/""&amp;$I526),IF($H526&lt;&gt;"""",IF(REGEXMATCH($H526,""50( ?['fF]([oO]{2})?[tT]?)?( ?[eE][rR]{2}[oO][rR])""),HYPERLINK(""https://www.munzee.com/map/?sandbox=1&amp;lat=""&amp;$D526&amp;""&amp;lon=""&amp;$E526&amp;""&amp;name=""&amp;SUBSTITUTE($A526,""#"",""%23""),""SANDBOX"""&amp;"),HYPERLINK(""https://www.munzee.com/m/""&amp;$H526&amp;""/deploys/0/type/""&amp;IFNA(VLOOKUP($G526,IMPORTRANGE(""https://docs.google.com/spreadsheets/d/1DliIGyDywdzxhd4svtjaewR0p9Y5UBTMNMQ2PcXsqss"",""type data!E2:F""),2,FALSE),$G526)&amp;""/"",$H526)),""""))"),"Blutengel/1588")</f>
        <v>Blutengel/1588</v>
      </c>
      <c r="L526" s="19" t="b">
        <v>1</v>
      </c>
      <c r="M526" s="12">
        <f t="shared" si="1"/>
        <v>9</v>
      </c>
      <c r="N526" s="13"/>
      <c r="O526" s="13"/>
      <c r="P526" s="29"/>
    </row>
    <row r="527">
      <c r="A527" s="15" t="s">
        <v>761</v>
      </c>
      <c r="B527" s="16">
        <v>26.0</v>
      </c>
      <c r="C527" s="16">
        <v>17.0</v>
      </c>
      <c r="D527" s="17">
        <v>44.86248132171</v>
      </c>
      <c r="E527" s="17">
        <v>-93.333614292026</v>
      </c>
      <c r="F527" s="16" t="s">
        <v>41</v>
      </c>
      <c r="G527" s="16" t="s">
        <v>17</v>
      </c>
      <c r="H527" s="18" t="s">
        <v>762</v>
      </c>
      <c r="I527" s="19">
        <v>10710.0</v>
      </c>
      <c r="J527" s="39"/>
      <c r="K527" s="11" t="str">
        <f>IFERROR(__xludf.DUMMYFUNCTION("IF(AND(REGEXMATCH($H527,""50( ?['fF]([oO]{2})?[tT]?)?( ?[eE][rR]{2}[oO][rR])"")=FALSE,$H527&lt;&gt;"""",$I527&lt;&gt;""""),HYPERLINK(""https://www.munzee.com/m/""&amp;$H527&amp;""/""&amp;$I527&amp;""/map/?lat=""&amp;$D527&amp;""&amp;lon=""&amp;$E527&amp;""&amp;type=""&amp;$G527&amp;""&amp;name=""&amp;SUBSTITUTE($A527,""#"&amp;""",""%23""),$H527&amp;""/""&amp;$I527),IF($H527&lt;&gt;"""",IF(REGEXMATCH($H527,""50( ?['fF]([oO]{2})?[tT]?)?( ?[eE][rR]{2}[oO][rR])""),HYPERLINK(""https://www.munzee.com/map/?sandbox=1&amp;lat=""&amp;$D527&amp;""&amp;lon=""&amp;$E527&amp;""&amp;name=""&amp;SUBSTITUTE($A527,""#"",""%23""),""SANDBOX"""&amp;"),HYPERLINK(""https://www.munzee.com/m/""&amp;$H527&amp;""/deploys/0/type/""&amp;IFNA(VLOOKUP($G527,IMPORTRANGE(""https://docs.google.com/spreadsheets/d/1DliIGyDywdzxhd4svtjaewR0p9Y5UBTMNMQ2PcXsqss"",""type data!E2:F""),2,FALSE),$G527)&amp;""/"",$H527)),""""))"),"EarthAngel/10710")</f>
        <v>EarthAngel/10710</v>
      </c>
      <c r="L527" s="19" t="b">
        <v>1</v>
      </c>
      <c r="M527" s="12">
        <f t="shared" si="1"/>
        <v>7</v>
      </c>
      <c r="N527" s="13"/>
      <c r="O527" s="13"/>
      <c r="P527" s="15"/>
    </row>
    <row r="528">
      <c r="A528" s="15" t="s">
        <v>763</v>
      </c>
      <c r="B528" s="16">
        <v>26.0</v>
      </c>
      <c r="C528" s="16">
        <v>18.0</v>
      </c>
      <c r="D528" s="17">
        <v>44.86248132153</v>
      </c>
      <c r="E528" s="17">
        <v>-93.333411512598</v>
      </c>
      <c r="F528" s="16" t="s">
        <v>41</v>
      </c>
      <c r="G528" s="16" t="s">
        <v>17</v>
      </c>
      <c r="H528" s="18" t="s">
        <v>764</v>
      </c>
      <c r="I528" s="19">
        <v>3007.0</v>
      </c>
      <c r="J528" s="20"/>
      <c r="K528" s="11" t="str">
        <f>IFERROR(__xludf.DUMMYFUNCTION("IF(AND(REGEXMATCH($H528,""50( ?['fF]([oO]{2})?[tT]?)?( ?[eE][rR]{2}[oO][rR])"")=FALSE,$H528&lt;&gt;"""",$I528&lt;&gt;""""),HYPERLINK(""https://www.munzee.com/m/""&amp;$H528&amp;""/""&amp;$I528&amp;""/map/?lat=""&amp;$D528&amp;""&amp;lon=""&amp;$E528&amp;""&amp;type=""&amp;$G528&amp;""&amp;name=""&amp;SUBSTITUTE($A528,""#"&amp;""",""%23""),$H528&amp;""/""&amp;$I528),IF($H528&lt;&gt;"""",IF(REGEXMATCH($H528,""50( ?['fF]([oO]{2})?[tT]?)?( ?[eE][rR]{2}[oO][rR])""),HYPERLINK(""https://www.munzee.com/map/?sandbox=1&amp;lat=""&amp;$D528&amp;""&amp;lon=""&amp;$E528&amp;""&amp;name=""&amp;SUBSTITUTE($A528,""#"",""%23""),""SANDBOX"""&amp;"),HYPERLINK(""https://www.munzee.com/m/""&amp;$H528&amp;""/deploys/0/type/""&amp;IFNA(VLOOKUP($G528,IMPORTRANGE(""https://docs.google.com/spreadsheets/d/1DliIGyDywdzxhd4svtjaewR0p9Y5UBTMNMQ2PcXsqss"",""type data!E2:F""),2,FALSE),$G528)&amp;""/"",$H528)),""""))"),"paulus2012/3007")</f>
        <v>paulus2012/3007</v>
      </c>
      <c r="L528" s="19" t="b">
        <v>1</v>
      </c>
      <c r="M528" s="12">
        <f t="shared" si="1"/>
        <v>2</v>
      </c>
      <c r="N528" s="13"/>
      <c r="O528" s="13"/>
      <c r="P528" s="29"/>
    </row>
    <row r="529">
      <c r="A529" s="15" t="s">
        <v>765</v>
      </c>
      <c r="B529" s="16">
        <v>26.0</v>
      </c>
      <c r="C529" s="16">
        <v>19.0</v>
      </c>
      <c r="D529" s="17">
        <v>44.862481321351</v>
      </c>
      <c r="E529" s="17">
        <v>-93.33320873317</v>
      </c>
      <c r="F529" s="16" t="s">
        <v>41</v>
      </c>
      <c r="G529" s="16" t="s">
        <v>17</v>
      </c>
      <c r="H529" s="18" t="s">
        <v>749</v>
      </c>
      <c r="I529" s="19">
        <v>1589.0</v>
      </c>
      <c r="J529" s="27"/>
      <c r="K529" s="11" t="str">
        <f>IFERROR(__xludf.DUMMYFUNCTION("IF(AND(REGEXMATCH($H529,""50( ?['fF]([oO]{2})?[tT]?)?( ?[eE][rR]{2}[oO][rR])"")=FALSE,$H529&lt;&gt;"""",$I529&lt;&gt;""""),HYPERLINK(""https://www.munzee.com/m/""&amp;$H529&amp;""/""&amp;$I529&amp;""/map/?lat=""&amp;$D529&amp;""&amp;lon=""&amp;$E529&amp;""&amp;type=""&amp;$G529&amp;""&amp;name=""&amp;SUBSTITUTE($A529,""#"&amp;""",""%23""),$H529&amp;""/""&amp;$I529),IF($H529&lt;&gt;"""",IF(REGEXMATCH($H529,""50( ?['fF]([oO]{2})?[tT]?)?( ?[eE][rR]{2}[oO][rR])""),HYPERLINK(""https://www.munzee.com/map/?sandbox=1&amp;lat=""&amp;$D529&amp;""&amp;lon=""&amp;$E529&amp;""&amp;name=""&amp;SUBSTITUTE($A529,""#"",""%23""),""SANDBOX"""&amp;"),HYPERLINK(""https://www.munzee.com/m/""&amp;$H529&amp;""/deploys/0/type/""&amp;IFNA(VLOOKUP($G529,IMPORTRANGE(""https://docs.google.com/spreadsheets/d/1DliIGyDywdzxhd4svtjaewR0p9Y5UBTMNMQ2PcXsqss"",""type data!E2:F""),2,FALSE),$G529)&amp;""/"",$H529)),""""))"),"Blutengel/1589")</f>
        <v>Blutengel/1589</v>
      </c>
      <c r="L529" s="19" t="b">
        <v>1</v>
      </c>
      <c r="M529" s="12">
        <f t="shared" si="1"/>
        <v>9</v>
      </c>
      <c r="N529" s="13"/>
      <c r="O529" s="13"/>
      <c r="P529" s="15"/>
    </row>
    <row r="530">
      <c r="A530" s="15" t="s">
        <v>766</v>
      </c>
      <c r="B530" s="16">
        <v>26.0</v>
      </c>
      <c r="C530" s="16">
        <v>20.0</v>
      </c>
      <c r="D530" s="17">
        <v>44.862481321171</v>
      </c>
      <c r="E530" s="17">
        <v>-93.333005953742</v>
      </c>
      <c r="F530" s="16" t="s">
        <v>41</v>
      </c>
      <c r="G530" s="16" t="s">
        <v>17</v>
      </c>
      <c r="H530" s="18" t="s">
        <v>762</v>
      </c>
      <c r="I530" s="19">
        <v>10709.0</v>
      </c>
      <c r="J530" s="39"/>
      <c r="K530" s="11" t="str">
        <f>IFERROR(__xludf.DUMMYFUNCTION("IF(AND(REGEXMATCH($H530,""50( ?['fF]([oO]{2})?[tT]?)?( ?[eE][rR]{2}[oO][rR])"")=FALSE,$H530&lt;&gt;"""",$I530&lt;&gt;""""),HYPERLINK(""https://www.munzee.com/m/""&amp;$H530&amp;""/""&amp;$I530&amp;""/map/?lat=""&amp;$D530&amp;""&amp;lon=""&amp;$E530&amp;""&amp;type=""&amp;$G530&amp;""&amp;name=""&amp;SUBSTITUTE($A530,""#"&amp;""",""%23""),$H530&amp;""/""&amp;$I530),IF($H530&lt;&gt;"""",IF(REGEXMATCH($H530,""50( ?['fF]([oO]{2})?[tT]?)?( ?[eE][rR]{2}[oO][rR])""),HYPERLINK(""https://www.munzee.com/map/?sandbox=1&amp;lat=""&amp;$D530&amp;""&amp;lon=""&amp;$E530&amp;""&amp;name=""&amp;SUBSTITUTE($A530,""#"",""%23""),""SANDBOX"""&amp;"),HYPERLINK(""https://www.munzee.com/m/""&amp;$H530&amp;""/deploys/0/type/""&amp;IFNA(VLOOKUP($G530,IMPORTRANGE(""https://docs.google.com/spreadsheets/d/1DliIGyDywdzxhd4svtjaewR0p9Y5UBTMNMQ2PcXsqss"",""type data!E2:F""),2,FALSE),$G530)&amp;""/"",$H530)),""""))"),"EarthAngel/10709")</f>
        <v>EarthAngel/10709</v>
      </c>
      <c r="L530" s="19" t="b">
        <v>1</v>
      </c>
      <c r="M530" s="12">
        <f t="shared" si="1"/>
        <v>7</v>
      </c>
      <c r="N530" s="13"/>
      <c r="O530" s="13"/>
      <c r="P530" s="15"/>
    </row>
    <row r="531">
      <c r="A531" s="15" t="s">
        <v>767</v>
      </c>
      <c r="B531" s="16">
        <v>26.0</v>
      </c>
      <c r="C531" s="16">
        <v>21.0</v>
      </c>
      <c r="D531" s="17">
        <v>44.862481320992</v>
      </c>
      <c r="E531" s="17">
        <v>-93.332803174314</v>
      </c>
      <c r="F531" s="16" t="s">
        <v>16</v>
      </c>
      <c r="G531" s="16" t="s">
        <v>17</v>
      </c>
      <c r="H531" s="18" t="s">
        <v>494</v>
      </c>
      <c r="I531" s="19">
        <v>705.0</v>
      </c>
      <c r="J531" s="21"/>
      <c r="K531" s="11" t="str">
        <f>IFERROR(__xludf.DUMMYFUNCTION("IF(AND(REGEXMATCH($H531,""50( ?['fF]([oO]{2})?[tT]?)?( ?[eE][rR]{2}[oO][rR])"")=FALSE,$H531&lt;&gt;"""",$I531&lt;&gt;""""),HYPERLINK(""https://www.munzee.com/m/""&amp;$H531&amp;""/""&amp;$I531&amp;""/map/?lat=""&amp;$D531&amp;""&amp;lon=""&amp;$E531&amp;""&amp;type=""&amp;$G531&amp;""&amp;name=""&amp;SUBSTITUTE($A531,""#"&amp;""",""%23""),$H531&amp;""/""&amp;$I531),IF($H531&lt;&gt;"""",IF(REGEXMATCH($H531,""50( ?['fF]([oO]{2})?[tT]?)?( ?[eE][rR]{2}[oO][rR])""),HYPERLINK(""https://www.munzee.com/map/?sandbox=1&amp;lat=""&amp;$D531&amp;""&amp;lon=""&amp;$E531&amp;""&amp;name=""&amp;SUBSTITUTE($A531,""#"",""%23""),""SANDBOX"""&amp;"),HYPERLINK(""https://www.munzee.com/m/""&amp;$H531&amp;""/deploys/0/type/""&amp;IFNA(VLOOKUP($G531,IMPORTRANGE(""https://docs.google.com/spreadsheets/d/1DliIGyDywdzxhd4svtjaewR0p9Y5UBTMNMQ2PcXsqss"",""type data!E2:F""),2,FALSE),$G531)&amp;""/"",$H531)),""""))"),"BarbMitchell/705")</f>
        <v>BarbMitchell/705</v>
      </c>
      <c r="L531" s="19" t="b">
        <v>1</v>
      </c>
      <c r="M531" s="12">
        <f t="shared" si="1"/>
        <v>10</v>
      </c>
      <c r="N531" s="13"/>
      <c r="O531" s="13"/>
      <c r="P531" s="29"/>
    </row>
    <row r="532">
      <c r="A532" s="15" t="s">
        <v>768</v>
      </c>
      <c r="B532" s="16">
        <v>26.0</v>
      </c>
      <c r="C532" s="16">
        <v>22.0</v>
      </c>
      <c r="D532" s="17">
        <v>44.862481320813</v>
      </c>
      <c r="E532" s="17">
        <v>-93.332600394886</v>
      </c>
      <c r="F532" s="16" t="s">
        <v>16</v>
      </c>
      <c r="G532" s="16" t="s">
        <v>17</v>
      </c>
      <c r="H532" s="18" t="s">
        <v>99</v>
      </c>
      <c r="I532" s="19">
        <v>1867.0</v>
      </c>
      <c r="J532" s="28"/>
      <c r="K532" s="11" t="str">
        <f>IFERROR(__xludf.DUMMYFUNCTION("IF(AND(REGEXMATCH($H532,""50( ?['fF]([oO]{2})?[tT]?)?( ?[eE][rR]{2}[oO][rR])"")=FALSE,$H532&lt;&gt;"""",$I532&lt;&gt;""""),HYPERLINK(""https://www.munzee.com/m/""&amp;$H532&amp;""/""&amp;$I532&amp;""/map/?lat=""&amp;$D532&amp;""&amp;lon=""&amp;$E532&amp;""&amp;type=""&amp;$G532&amp;""&amp;name=""&amp;SUBSTITUTE($A532,""#"&amp;""",""%23""),$H532&amp;""/""&amp;$I532),IF($H532&lt;&gt;"""",IF(REGEXMATCH($H532,""50( ?['fF]([oO]{2})?[tT]?)?( ?[eE][rR]{2}[oO][rR])""),HYPERLINK(""https://www.munzee.com/map/?sandbox=1&amp;lat=""&amp;$D532&amp;""&amp;lon=""&amp;$E532&amp;""&amp;name=""&amp;SUBSTITUTE($A532,""#"",""%23""),""SANDBOX"""&amp;"),HYPERLINK(""https://www.munzee.com/m/""&amp;$H532&amp;""/deploys/0/type/""&amp;IFNA(VLOOKUP($G532,IMPORTRANGE(""https://docs.google.com/spreadsheets/d/1DliIGyDywdzxhd4svtjaewR0p9Y5UBTMNMQ2PcXsqss"",""type data!E2:F""),2,FALSE),$G532)&amp;""/"",$H532)),""""))"),"jsamundson/1867")</f>
        <v>jsamundson/1867</v>
      </c>
      <c r="L532" s="19" t="b">
        <v>1</v>
      </c>
      <c r="M532" s="12">
        <f t="shared" si="1"/>
        <v>20</v>
      </c>
      <c r="N532" s="13"/>
      <c r="O532" s="13"/>
      <c r="P532" s="15"/>
    </row>
    <row r="533">
      <c r="A533" s="15" t="s">
        <v>769</v>
      </c>
      <c r="B533" s="16">
        <v>26.0</v>
      </c>
      <c r="C533" s="16">
        <v>23.0</v>
      </c>
      <c r="D533" s="17">
        <v>44.862481320633</v>
      </c>
      <c r="E533" s="17">
        <v>-93.332397615458</v>
      </c>
      <c r="F533" s="16" t="s">
        <v>16</v>
      </c>
      <c r="G533" s="16" t="s">
        <v>17</v>
      </c>
      <c r="H533" s="18" t="s">
        <v>95</v>
      </c>
      <c r="I533" s="19">
        <v>1703.0</v>
      </c>
      <c r="J533" s="21"/>
      <c r="K533" s="11" t="str">
        <f>IFERROR(__xludf.DUMMYFUNCTION("IF(AND(REGEXMATCH($H533,""50( ?['fF]([oO]{2})?[tT]?)?( ?[eE][rR]{2}[oO][rR])"")=FALSE,$H533&lt;&gt;"""",$I533&lt;&gt;""""),HYPERLINK(""https://www.munzee.com/m/""&amp;$H533&amp;""/""&amp;$I533&amp;""/map/?lat=""&amp;$D533&amp;""&amp;lon=""&amp;$E533&amp;""&amp;type=""&amp;$G533&amp;""&amp;name=""&amp;SUBSTITUTE($A533,""#"&amp;""",""%23""),$H533&amp;""/""&amp;$I533),IF($H533&lt;&gt;"""",IF(REGEXMATCH($H533,""50( ?['fF]([oO]{2})?[tT]?)?( ?[eE][rR]{2}[oO][rR])""),HYPERLINK(""https://www.munzee.com/map/?sandbox=1&amp;lat=""&amp;$D533&amp;""&amp;lon=""&amp;$E533&amp;""&amp;name=""&amp;SUBSTITUTE($A533,""#"",""%23""),""SANDBOX"""&amp;"),HYPERLINK(""https://www.munzee.com/m/""&amp;$H533&amp;""/deploys/0/type/""&amp;IFNA(VLOOKUP($G533,IMPORTRANGE(""https://docs.google.com/spreadsheets/d/1DliIGyDywdzxhd4svtjaewR0p9Y5UBTMNMQ2PcXsqss"",""type data!E2:F""),2,FALSE),$G533)&amp;""/"",$H533)),""""))"),"munzeepa/1703")</f>
        <v>munzeepa/1703</v>
      </c>
      <c r="L533" s="19" t="b">
        <v>1</v>
      </c>
      <c r="M533" s="12">
        <f t="shared" si="1"/>
        <v>20</v>
      </c>
      <c r="N533" s="13"/>
      <c r="O533" s="13"/>
      <c r="P533" s="15"/>
    </row>
    <row r="534">
      <c r="A534" s="15" t="s">
        <v>770</v>
      </c>
      <c r="B534" s="16">
        <v>26.0</v>
      </c>
      <c r="C534" s="16">
        <v>24.0</v>
      </c>
      <c r="D534" s="17">
        <v>44.862481320454</v>
      </c>
      <c r="E534" s="17">
        <v>-93.33219483603</v>
      </c>
      <c r="F534" s="16" t="s">
        <v>16</v>
      </c>
      <c r="G534" s="16" t="s">
        <v>17</v>
      </c>
      <c r="H534" s="18" t="s">
        <v>771</v>
      </c>
      <c r="I534" s="19">
        <v>15009.0</v>
      </c>
      <c r="J534" s="39"/>
      <c r="K534" s="11" t="str">
        <f>IFERROR(__xludf.DUMMYFUNCTION("IF(AND(REGEXMATCH($H534,""50( ?['fF]([oO]{2})?[tT]?)?( ?[eE][rR]{2}[oO][rR])"")=FALSE,$H534&lt;&gt;"""",$I534&lt;&gt;""""),HYPERLINK(""https://www.munzee.com/m/""&amp;$H534&amp;""/""&amp;$I534&amp;""/map/?lat=""&amp;$D534&amp;""&amp;lon=""&amp;$E534&amp;""&amp;type=""&amp;$G534&amp;""&amp;name=""&amp;SUBSTITUTE($A534,""#"&amp;""",""%23""),$H534&amp;""/""&amp;$I534),IF($H534&lt;&gt;"""",IF(REGEXMATCH($H534,""50( ?['fF]([oO]{2})?[tT]?)?( ?[eE][rR]{2}[oO][rR])""),HYPERLINK(""https://www.munzee.com/map/?sandbox=1&amp;lat=""&amp;$D534&amp;""&amp;lon=""&amp;$E534&amp;""&amp;name=""&amp;SUBSTITUTE($A534,""#"",""%23""),""SANDBOX"""&amp;"),HYPERLINK(""https://www.munzee.com/m/""&amp;$H534&amp;""/deploys/0/type/""&amp;IFNA(VLOOKUP($G534,IMPORTRANGE(""https://docs.google.com/spreadsheets/d/1DliIGyDywdzxhd4svtjaewR0p9Y5UBTMNMQ2PcXsqss"",""type data!E2:F""),2,FALSE),$G534)&amp;""/"",$H534)),""""))"),"jafo43/15009")</f>
        <v>jafo43/15009</v>
      </c>
      <c r="L534" s="19" t="b">
        <v>1</v>
      </c>
      <c r="M534" s="12">
        <f t="shared" si="1"/>
        <v>1</v>
      </c>
      <c r="N534" s="13"/>
      <c r="O534" s="13"/>
      <c r="P534" s="29"/>
    </row>
    <row r="535">
      <c r="A535" s="15" t="s">
        <v>772</v>
      </c>
      <c r="B535" s="16">
        <v>26.0</v>
      </c>
      <c r="C535" s="16">
        <v>25.0</v>
      </c>
      <c r="D535" s="17">
        <v>44.862481320274</v>
      </c>
      <c r="E535" s="17">
        <v>-93.331992056602</v>
      </c>
      <c r="F535" s="16" t="s">
        <v>16</v>
      </c>
      <c r="G535" s="16" t="s">
        <v>17</v>
      </c>
      <c r="H535" s="18" t="s">
        <v>708</v>
      </c>
      <c r="I535" s="19">
        <v>5927.0</v>
      </c>
      <c r="J535" s="20"/>
      <c r="K535" s="11" t="str">
        <f>IFERROR(__xludf.DUMMYFUNCTION("IF(AND(REGEXMATCH($H535,""50( ?['fF]([oO]{2})?[tT]?)?( ?[eE][rR]{2}[oO][rR])"")=FALSE,$H535&lt;&gt;"""",$I535&lt;&gt;""""),HYPERLINK(""https://www.munzee.com/m/""&amp;$H535&amp;""/""&amp;$I535&amp;""/map/?lat=""&amp;$D535&amp;""&amp;lon=""&amp;$E535&amp;""&amp;type=""&amp;$G535&amp;""&amp;name=""&amp;SUBSTITUTE($A535,""#"&amp;""",""%23""),$H535&amp;""/""&amp;$I535),IF($H535&lt;&gt;"""",IF(REGEXMATCH($H535,""50( ?['fF]([oO]{2})?[tT]?)?( ?[eE][rR]{2}[oO][rR])""),HYPERLINK(""https://www.munzee.com/map/?sandbox=1&amp;lat=""&amp;$D535&amp;""&amp;lon=""&amp;$E535&amp;""&amp;name=""&amp;SUBSTITUTE($A535,""#"",""%23""),""SANDBOX"""&amp;"),HYPERLINK(""https://www.munzee.com/m/""&amp;$H535&amp;""/deploys/0/type/""&amp;IFNA(VLOOKUP($G535,IMPORTRANGE(""https://docs.google.com/spreadsheets/d/1DliIGyDywdzxhd4svtjaewR0p9Y5UBTMNMQ2PcXsqss"",""type data!E2:F""),2,FALSE),$G535)&amp;""/"",$H535)),""""))"),"mrsg9064/5927")</f>
        <v>mrsg9064/5927</v>
      </c>
      <c r="L535" s="19" t="b">
        <v>1</v>
      </c>
      <c r="M535" s="12">
        <f t="shared" si="1"/>
        <v>2</v>
      </c>
      <c r="N535" s="13"/>
      <c r="O535" s="13"/>
      <c r="P535" s="29"/>
    </row>
    <row r="536">
      <c r="A536" s="15" t="s">
        <v>773</v>
      </c>
      <c r="B536" s="16">
        <v>26.0</v>
      </c>
      <c r="C536" s="16">
        <v>26.0</v>
      </c>
      <c r="D536" s="17">
        <v>44.862481320095</v>
      </c>
      <c r="E536" s="17">
        <v>-93.331789277174</v>
      </c>
      <c r="F536" s="16" t="s">
        <v>16</v>
      </c>
      <c r="G536" s="16" t="s">
        <v>17</v>
      </c>
      <c r="H536" s="18" t="s">
        <v>774</v>
      </c>
      <c r="I536" s="19">
        <v>1383.0</v>
      </c>
      <c r="J536" s="20"/>
      <c r="K536" s="11" t="str">
        <f>IFERROR(__xludf.DUMMYFUNCTION("IF(AND(REGEXMATCH($H536,""50( ?['fF]([oO]{2})?[tT]?)?( ?[eE][rR]{2}[oO][rR])"")=FALSE,$H536&lt;&gt;"""",$I536&lt;&gt;""""),HYPERLINK(""https://www.munzee.com/m/""&amp;$H536&amp;""/""&amp;$I536&amp;""/map/?lat=""&amp;$D536&amp;""&amp;lon=""&amp;$E536&amp;""&amp;type=""&amp;$G536&amp;""&amp;name=""&amp;SUBSTITUTE($A536,""#"&amp;""",""%23""),$H536&amp;""/""&amp;$I536),IF($H536&lt;&gt;"""",IF(REGEXMATCH($H536,""50( ?['fF]([oO]{2})?[tT]?)?( ?[eE][rR]{2}[oO][rR])""),HYPERLINK(""https://www.munzee.com/map/?sandbox=1&amp;lat=""&amp;$D536&amp;""&amp;lon=""&amp;$E536&amp;""&amp;name=""&amp;SUBSTITUTE($A536,""#"",""%23""),""SANDBOX"""&amp;"),HYPERLINK(""https://www.munzee.com/m/""&amp;$H536&amp;""/deploys/0/type/""&amp;IFNA(VLOOKUP($G536,IMPORTRANGE(""https://docs.google.com/spreadsheets/d/1DliIGyDywdzxhd4svtjaewR0p9Y5UBTMNMQ2PcXsqss"",""type data!E2:F""),2,FALSE),$G536)&amp;""/"",$H536)),""""))"),"Wildflower82/1383")</f>
        <v>Wildflower82/1383</v>
      </c>
      <c r="L536" s="19" t="b">
        <v>1</v>
      </c>
      <c r="M536" s="12">
        <f t="shared" si="1"/>
        <v>2</v>
      </c>
      <c r="N536" s="13"/>
      <c r="O536" s="13"/>
      <c r="P536" s="29"/>
    </row>
    <row r="537">
      <c r="A537" s="15" t="s">
        <v>775</v>
      </c>
      <c r="B537" s="16">
        <v>26.0</v>
      </c>
      <c r="C537" s="16">
        <v>27.0</v>
      </c>
      <c r="D537" s="17">
        <v>44.862481319915</v>
      </c>
      <c r="E537" s="17">
        <v>-93.331586497746</v>
      </c>
      <c r="F537" s="16" t="s">
        <v>16</v>
      </c>
      <c r="G537" s="16" t="s">
        <v>17</v>
      </c>
      <c r="H537" s="18" t="s">
        <v>494</v>
      </c>
      <c r="I537" s="19">
        <v>708.0</v>
      </c>
      <c r="J537" s="21"/>
      <c r="K537" s="11" t="str">
        <f>IFERROR(__xludf.DUMMYFUNCTION("IF(AND(REGEXMATCH($H537,""50( ?['fF]([oO]{2})?[tT]?)?( ?[eE][rR]{2}[oO][rR])"")=FALSE,$H537&lt;&gt;"""",$I537&lt;&gt;""""),HYPERLINK(""https://www.munzee.com/m/""&amp;$H537&amp;""/""&amp;$I537&amp;""/map/?lat=""&amp;$D537&amp;""&amp;lon=""&amp;$E537&amp;""&amp;type=""&amp;$G537&amp;""&amp;name=""&amp;SUBSTITUTE($A537,""#"&amp;""",""%23""),$H537&amp;""/""&amp;$I537),IF($H537&lt;&gt;"""",IF(REGEXMATCH($H537,""50( ?['fF]([oO]{2})?[tT]?)?( ?[eE][rR]{2}[oO][rR])""),HYPERLINK(""https://www.munzee.com/map/?sandbox=1&amp;lat=""&amp;$D537&amp;""&amp;lon=""&amp;$E537&amp;""&amp;name=""&amp;SUBSTITUTE($A537,""#"",""%23""),""SANDBOX"""&amp;"),HYPERLINK(""https://www.munzee.com/m/""&amp;$H537&amp;""/deploys/0/type/""&amp;IFNA(VLOOKUP($G537,IMPORTRANGE(""https://docs.google.com/spreadsheets/d/1DliIGyDywdzxhd4svtjaewR0p9Y5UBTMNMQ2PcXsqss"",""type data!E2:F""),2,FALSE),$G537)&amp;""/"",$H537)),""""))"),"BarbMitchell/708")</f>
        <v>BarbMitchell/708</v>
      </c>
      <c r="L537" s="19" t="b">
        <v>1</v>
      </c>
      <c r="M537" s="12">
        <f t="shared" si="1"/>
        <v>10</v>
      </c>
      <c r="N537" s="13"/>
      <c r="O537" s="13"/>
      <c r="P537" s="15"/>
    </row>
    <row r="538">
      <c r="A538" s="15" t="s">
        <v>776</v>
      </c>
      <c r="B538" s="16">
        <v>27.0</v>
      </c>
      <c r="C538" s="16">
        <v>7.0</v>
      </c>
      <c r="D538" s="17">
        <v>44.862337593058</v>
      </c>
      <c r="E538" s="17">
        <v>-93.335642097444</v>
      </c>
      <c r="F538" s="16" t="s">
        <v>16</v>
      </c>
      <c r="G538" s="16" t="s">
        <v>17</v>
      </c>
      <c r="H538" s="18" t="s">
        <v>324</v>
      </c>
      <c r="I538" s="19">
        <v>845.0</v>
      </c>
      <c r="J538" s="21"/>
      <c r="K538" s="11" t="str">
        <f>IFERROR(__xludf.DUMMYFUNCTION("IF(AND(REGEXMATCH($H538,""50( ?['fF]([oO]{2})?[tT]?)?( ?[eE][rR]{2}[oO][rR])"")=FALSE,$H538&lt;&gt;"""",$I538&lt;&gt;""""),HYPERLINK(""https://www.munzee.com/m/""&amp;$H538&amp;""/""&amp;$I538&amp;""/map/?lat=""&amp;$D538&amp;""&amp;lon=""&amp;$E538&amp;""&amp;type=""&amp;$G538&amp;""&amp;name=""&amp;SUBSTITUTE($A538,""#"&amp;""",""%23""),$H538&amp;""/""&amp;$I538),IF($H538&lt;&gt;"""",IF(REGEXMATCH($H538,""50( ?['fF]([oO]{2})?[tT]?)?( ?[eE][rR]{2}[oO][rR])""),HYPERLINK(""https://www.munzee.com/map/?sandbox=1&amp;lat=""&amp;$D538&amp;""&amp;lon=""&amp;$E538&amp;""&amp;name=""&amp;SUBSTITUTE($A538,""#"",""%23""),""SANDBOX"""&amp;"),HYPERLINK(""https://www.munzee.com/m/""&amp;$H538&amp;""/deploys/0/type/""&amp;IFNA(VLOOKUP($G538,IMPORTRANGE(""https://docs.google.com/spreadsheets/d/1DliIGyDywdzxhd4svtjaewR0p9Y5UBTMNMQ2PcXsqss"",""type data!E2:F""),2,FALSE),$G538)&amp;""/"",$H538)),""""))"),"Noisette/845")</f>
        <v>Noisette/845</v>
      </c>
      <c r="L538" s="19" t="b">
        <v>1</v>
      </c>
      <c r="M538" s="12">
        <f t="shared" si="1"/>
        <v>3</v>
      </c>
      <c r="N538" s="13"/>
      <c r="O538" s="13"/>
      <c r="P538" s="29"/>
    </row>
    <row r="539">
      <c r="A539" s="15" t="s">
        <v>777</v>
      </c>
      <c r="B539" s="16">
        <v>27.0</v>
      </c>
      <c r="C539" s="16">
        <v>8.0</v>
      </c>
      <c r="D539" s="17">
        <v>44.862337592879</v>
      </c>
      <c r="E539" s="17">
        <v>-93.335439318522</v>
      </c>
      <c r="F539" s="16" t="s">
        <v>41</v>
      </c>
      <c r="G539" s="16" t="s">
        <v>17</v>
      </c>
      <c r="H539" s="18" t="s">
        <v>778</v>
      </c>
      <c r="I539" s="19">
        <v>4418.0</v>
      </c>
      <c r="J539" s="39"/>
      <c r="K539" s="11" t="str">
        <f>IFERROR(__xludf.DUMMYFUNCTION("IF(AND(REGEXMATCH($H539,""50( ?['fF]([oO]{2})?[tT]?)?( ?[eE][rR]{2}[oO][rR])"")=FALSE,$H539&lt;&gt;"""",$I539&lt;&gt;""""),HYPERLINK(""https://www.munzee.com/m/""&amp;$H539&amp;""/""&amp;$I539&amp;""/map/?lat=""&amp;$D539&amp;""&amp;lon=""&amp;$E539&amp;""&amp;type=""&amp;$G539&amp;""&amp;name=""&amp;SUBSTITUTE($A539,""#"&amp;""",""%23""),$H539&amp;""/""&amp;$I539),IF($H539&lt;&gt;"""",IF(REGEXMATCH($H539,""50( ?['fF]([oO]{2})?[tT]?)?( ?[eE][rR]{2}[oO][rR])""),HYPERLINK(""https://www.munzee.com/map/?sandbox=1&amp;lat=""&amp;$D539&amp;""&amp;lon=""&amp;$E539&amp;""&amp;name=""&amp;SUBSTITUTE($A539,""#"",""%23""),""SANDBOX"""&amp;"),HYPERLINK(""https://www.munzee.com/m/""&amp;$H539&amp;""/deploys/0/type/""&amp;IFNA(VLOOKUP($G539,IMPORTRANGE(""https://docs.google.com/spreadsheets/d/1DliIGyDywdzxhd4svtjaewR0p9Y5UBTMNMQ2PcXsqss"",""type data!E2:F""),2,FALSE),$G539)&amp;""/"",$H539)),""""))"),"Westies/4418")</f>
        <v>Westies/4418</v>
      </c>
      <c r="L539" s="19" t="b">
        <v>1</v>
      </c>
      <c r="M539" s="12">
        <f t="shared" si="1"/>
        <v>1</v>
      </c>
      <c r="N539" s="13"/>
      <c r="O539" s="13"/>
      <c r="P539" s="29"/>
    </row>
    <row r="540">
      <c r="A540" s="15" t="s">
        <v>779</v>
      </c>
      <c r="B540" s="16">
        <v>27.0</v>
      </c>
      <c r="C540" s="16">
        <v>9.0</v>
      </c>
      <c r="D540" s="17">
        <v>44.8623375927</v>
      </c>
      <c r="E540" s="17">
        <v>-93.3352365396</v>
      </c>
      <c r="F540" s="16" t="s">
        <v>41</v>
      </c>
      <c r="G540" s="16" t="s">
        <v>17</v>
      </c>
      <c r="H540" s="18" t="s">
        <v>780</v>
      </c>
      <c r="I540" s="19">
        <v>4052.0</v>
      </c>
      <c r="J540" s="39"/>
      <c r="K540" s="11" t="str">
        <f>IFERROR(__xludf.DUMMYFUNCTION("IF(AND(REGEXMATCH($H540,""50( ?['fF]([oO]{2})?[tT]?)?( ?[eE][rR]{2}[oO][rR])"")=FALSE,$H540&lt;&gt;"""",$I540&lt;&gt;""""),HYPERLINK(""https://www.munzee.com/m/""&amp;$H540&amp;""/""&amp;$I540&amp;""/map/?lat=""&amp;$D540&amp;""&amp;lon=""&amp;$E540&amp;""&amp;type=""&amp;$G540&amp;""&amp;name=""&amp;SUBSTITUTE($A540,""#"&amp;""",""%23""),$H540&amp;""/""&amp;$I540),IF($H540&lt;&gt;"""",IF(REGEXMATCH($H540,""50( ?['fF]([oO]{2})?[tT]?)?( ?[eE][rR]{2}[oO][rR])""),HYPERLINK(""https://www.munzee.com/map/?sandbox=1&amp;lat=""&amp;$D540&amp;""&amp;lon=""&amp;$E540&amp;""&amp;name=""&amp;SUBSTITUTE($A540,""#"",""%23""),""SANDBOX"""&amp;"),HYPERLINK(""https://www.munzee.com/m/""&amp;$H540&amp;""/deploys/0/type/""&amp;IFNA(VLOOKUP($G540,IMPORTRANGE(""https://docs.google.com/spreadsheets/d/1DliIGyDywdzxhd4svtjaewR0p9Y5UBTMNMQ2PcXsqss"",""type data!E2:F""),2,FALSE),$G540)&amp;""/"",$H540)),""""))"),"sickman/4052")</f>
        <v>sickman/4052</v>
      </c>
      <c r="L540" s="19" t="b">
        <v>1</v>
      </c>
      <c r="M540" s="12">
        <f t="shared" si="1"/>
        <v>1</v>
      </c>
      <c r="N540" s="13"/>
      <c r="O540" s="13"/>
      <c r="P540" s="15"/>
    </row>
    <row r="541">
      <c r="A541" s="15" t="s">
        <v>781</v>
      </c>
      <c r="B541" s="16">
        <v>27.0</v>
      </c>
      <c r="C541" s="16">
        <v>10.0</v>
      </c>
      <c r="D541" s="17">
        <v>44.86233759252</v>
      </c>
      <c r="E541" s="17">
        <v>-93.335033760679</v>
      </c>
      <c r="F541" s="16" t="s">
        <v>41</v>
      </c>
      <c r="G541" s="16" t="s">
        <v>17</v>
      </c>
      <c r="H541" s="18" t="s">
        <v>764</v>
      </c>
      <c r="I541" s="19">
        <v>2988.0</v>
      </c>
      <c r="J541" s="21"/>
      <c r="K541" s="11" t="str">
        <f>IFERROR(__xludf.DUMMYFUNCTION("IF(AND(REGEXMATCH($H541,""50( ?['fF]([oO]{2})?[tT]?)?( ?[eE][rR]{2}[oO][rR])"")=FALSE,$H541&lt;&gt;"""",$I541&lt;&gt;""""),HYPERLINK(""https://www.munzee.com/m/""&amp;$H541&amp;""/""&amp;$I541&amp;""/map/?lat=""&amp;$D541&amp;""&amp;lon=""&amp;$E541&amp;""&amp;type=""&amp;$G541&amp;""&amp;name=""&amp;SUBSTITUTE($A541,""#"&amp;""",""%23""),$H541&amp;""/""&amp;$I541),IF($H541&lt;&gt;"""",IF(REGEXMATCH($H541,""50( ?['fF]([oO]{2})?[tT]?)?( ?[eE][rR]{2}[oO][rR])""),HYPERLINK(""https://www.munzee.com/map/?sandbox=1&amp;lat=""&amp;$D541&amp;""&amp;lon=""&amp;$E541&amp;""&amp;name=""&amp;SUBSTITUTE($A541,""#"",""%23""),""SANDBOX"""&amp;"),HYPERLINK(""https://www.munzee.com/m/""&amp;$H541&amp;""/deploys/0/type/""&amp;IFNA(VLOOKUP($G541,IMPORTRANGE(""https://docs.google.com/spreadsheets/d/1DliIGyDywdzxhd4svtjaewR0p9Y5UBTMNMQ2PcXsqss"",""type data!E2:F""),2,FALSE),$G541)&amp;""/"",$H541)),""""))"),"paulus2012/2988")</f>
        <v>paulus2012/2988</v>
      </c>
      <c r="L541" s="19" t="b">
        <v>1</v>
      </c>
      <c r="M541" s="12">
        <f t="shared" si="1"/>
        <v>2</v>
      </c>
      <c r="N541" s="13"/>
      <c r="O541" s="13"/>
      <c r="P541" s="29"/>
    </row>
    <row r="542">
      <c r="A542" s="15" t="s">
        <v>782</v>
      </c>
      <c r="B542" s="16">
        <v>27.0</v>
      </c>
      <c r="C542" s="16">
        <v>11.0</v>
      </c>
      <c r="D542" s="17">
        <v>44.862337592341</v>
      </c>
      <c r="E542" s="17">
        <v>-93.334830981757</v>
      </c>
      <c r="F542" s="16" t="s">
        <v>41</v>
      </c>
      <c r="G542" s="16" t="s">
        <v>17</v>
      </c>
      <c r="H542" s="18" t="s">
        <v>783</v>
      </c>
      <c r="I542" s="19">
        <v>3540.0</v>
      </c>
      <c r="J542" s="21"/>
      <c r="K542" s="11" t="str">
        <f>IFERROR(__xludf.DUMMYFUNCTION("IF(AND(REGEXMATCH($H542,""50( ?['fF]([oO]{2})?[tT]?)?( ?[eE][rR]{2}[oO][rR])"")=FALSE,$H542&lt;&gt;"""",$I542&lt;&gt;""""),HYPERLINK(""https://www.munzee.com/m/""&amp;$H542&amp;""/""&amp;$I542&amp;""/map/?lat=""&amp;$D542&amp;""&amp;lon=""&amp;$E542&amp;""&amp;type=""&amp;$G542&amp;""&amp;name=""&amp;SUBSTITUTE($A542,""#"&amp;""",""%23""),$H542&amp;""/""&amp;$I542),IF($H542&lt;&gt;"""",IF(REGEXMATCH($H542,""50( ?['fF]([oO]{2})?[tT]?)?( ?[eE][rR]{2}[oO][rR])""),HYPERLINK(""https://www.munzee.com/map/?sandbox=1&amp;lat=""&amp;$D542&amp;""&amp;lon=""&amp;$E542&amp;""&amp;name=""&amp;SUBSTITUTE($A542,""#"",""%23""),""SANDBOX"""&amp;"),HYPERLINK(""https://www.munzee.com/m/""&amp;$H542&amp;""/deploys/0/type/""&amp;IFNA(VLOOKUP($G542,IMPORTRANGE(""https://docs.google.com/spreadsheets/d/1DliIGyDywdzxhd4svtjaewR0p9Y5UBTMNMQ2PcXsqss"",""type data!E2:F""),2,FALSE),$G542)&amp;""/"",$H542)),""""))"),"cachaholic/3540")</f>
        <v>cachaholic/3540</v>
      </c>
      <c r="L542" s="19" t="b">
        <v>1</v>
      </c>
      <c r="M542" s="12">
        <f t="shared" si="1"/>
        <v>2</v>
      </c>
      <c r="N542" s="13"/>
      <c r="O542" s="13"/>
      <c r="P542" s="29"/>
    </row>
    <row r="543">
      <c r="A543" s="15" t="s">
        <v>784</v>
      </c>
      <c r="B543" s="16">
        <v>27.0</v>
      </c>
      <c r="C543" s="16">
        <v>12.0</v>
      </c>
      <c r="D543" s="17">
        <v>44.862337592161</v>
      </c>
      <c r="E543" s="17">
        <v>-93.334628202835</v>
      </c>
      <c r="F543" s="16" t="s">
        <v>41</v>
      </c>
      <c r="G543" s="16" t="s">
        <v>17</v>
      </c>
      <c r="H543" s="18" t="s">
        <v>204</v>
      </c>
      <c r="I543" s="19">
        <v>9455.0</v>
      </c>
      <c r="J543" s="21"/>
      <c r="K543" s="11" t="str">
        <f>IFERROR(__xludf.DUMMYFUNCTION("IF(AND(REGEXMATCH($H543,""50( ?['fF]([oO]{2})?[tT]?)?( ?[eE][rR]{2}[oO][rR])"")=FALSE,$H543&lt;&gt;"""",$I543&lt;&gt;""""),HYPERLINK(""https://www.munzee.com/m/""&amp;$H543&amp;""/""&amp;$I543&amp;""/map/?lat=""&amp;$D543&amp;""&amp;lon=""&amp;$E543&amp;""&amp;type=""&amp;$G543&amp;""&amp;name=""&amp;SUBSTITUTE($A543,""#"&amp;""",""%23""),$H543&amp;""/""&amp;$I543),IF($H543&lt;&gt;"""",IF(REGEXMATCH($H543,""50( ?['fF]([oO]{2})?[tT]?)?( ?[eE][rR]{2}[oO][rR])""),HYPERLINK(""https://www.munzee.com/map/?sandbox=1&amp;lat=""&amp;$D543&amp;""&amp;lon=""&amp;$E543&amp;""&amp;name=""&amp;SUBSTITUTE($A543,""#"",""%23""),""SANDBOX"""&amp;"),HYPERLINK(""https://www.munzee.com/m/""&amp;$H543&amp;""/deploys/0/type/""&amp;IFNA(VLOOKUP($G543,IMPORTRANGE(""https://docs.google.com/spreadsheets/d/1DliIGyDywdzxhd4svtjaewR0p9Y5UBTMNMQ2PcXsqss"",""type data!E2:F""),2,FALSE),$G543)&amp;""/"",$H543)),""""))"),"prmarks1391/9455")</f>
        <v>prmarks1391/9455</v>
      </c>
      <c r="L543" s="19" t="b">
        <v>1</v>
      </c>
      <c r="M543" s="12">
        <f t="shared" si="1"/>
        <v>2</v>
      </c>
      <c r="N543" s="13"/>
      <c r="O543" s="13"/>
      <c r="P543" s="15"/>
    </row>
    <row r="544">
      <c r="A544" s="15" t="s">
        <v>785</v>
      </c>
      <c r="B544" s="16">
        <v>27.0</v>
      </c>
      <c r="C544" s="16">
        <v>13.0</v>
      </c>
      <c r="D544" s="17">
        <v>44.862337591982</v>
      </c>
      <c r="E544" s="17">
        <v>-93.334425423913</v>
      </c>
      <c r="F544" s="16" t="s">
        <v>41</v>
      </c>
      <c r="G544" s="16" t="s">
        <v>17</v>
      </c>
      <c r="H544" s="18" t="s">
        <v>786</v>
      </c>
      <c r="I544" s="19">
        <v>7749.0</v>
      </c>
      <c r="J544" s="28"/>
      <c r="K544" s="11" t="str">
        <f>IFERROR(__xludf.DUMMYFUNCTION("IF(AND(REGEXMATCH($H544,""50( ?['fF]([oO]{2})?[tT]?)?( ?[eE][rR]{2}[oO][rR])"")=FALSE,$H544&lt;&gt;"""",$I544&lt;&gt;""""),HYPERLINK(""https://www.munzee.com/m/""&amp;$H544&amp;""/""&amp;$I544&amp;""/map/?lat=""&amp;$D544&amp;""&amp;lon=""&amp;$E544&amp;""&amp;type=""&amp;$G544&amp;""&amp;name=""&amp;SUBSTITUTE($A544,""#"&amp;""",""%23""),$H544&amp;""/""&amp;$I544),IF($H544&lt;&gt;"""",IF(REGEXMATCH($H544,""50( ?['fF]([oO]{2})?[tT]?)?( ?[eE][rR]{2}[oO][rR])""),HYPERLINK(""https://www.munzee.com/map/?sandbox=1&amp;lat=""&amp;$D544&amp;""&amp;lon=""&amp;$E544&amp;""&amp;name=""&amp;SUBSTITUTE($A544,""#"",""%23""),""SANDBOX"""&amp;"),HYPERLINK(""https://www.munzee.com/m/""&amp;$H544&amp;""/deploys/0/type/""&amp;IFNA(VLOOKUP($G544,IMPORTRANGE(""https://docs.google.com/spreadsheets/d/1DliIGyDywdzxhd4svtjaewR0p9Y5UBTMNMQ2PcXsqss"",""type data!E2:F""),2,FALSE),$G544)&amp;""/"",$H544)),""""))"),"SpaceCoastGeoStore/7749")</f>
        <v>SpaceCoastGeoStore/7749</v>
      </c>
      <c r="L544" s="19" t="b">
        <v>1</v>
      </c>
      <c r="M544" s="12">
        <f t="shared" si="1"/>
        <v>3</v>
      </c>
      <c r="N544" s="13"/>
      <c r="O544" s="13"/>
      <c r="P544" s="15"/>
    </row>
    <row r="545">
      <c r="A545" s="15" t="s">
        <v>787</v>
      </c>
      <c r="B545" s="16">
        <v>27.0</v>
      </c>
      <c r="C545" s="16">
        <v>14.0</v>
      </c>
      <c r="D545" s="17">
        <v>44.862337591802</v>
      </c>
      <c r="E545" s="17">
        <v>-93.334222644991</v>
      </c>
      <c r="F545" s="16" t="s">
        <v>757</v>
      </c>
      <c r="G545" s="16" t="s">
        <v>17</v>
      </c>
      <c r="H545" s="18" t="s">
        <v>42</v>
      </c>
      <c r="I545" s="19">
        <v>2449.0</v>
      </c>
      <c r="J545" s="20"/>
      <c r="K545" s="11" t="str">
        <f>IFERROR(__xludf.DUMMYFUNCTION("IF(AND(REGEXMATCH($H545,""50( ?['fF]([oO]{2})?[tT]?)?( ?[eE][rR]{2}[oO][rR])"")=FALSE,$H545&lt;&gt;"""",$I545&lt;&gt;""""),HYPERLINK(""https://www.munzee.com/m/""&amp;$H545&amp;""/""&amp;$I545&amp;""/map/?lat=""&amp;$D545&amp;""&amp;lon=""&amp;$E545&amp;""&amp;type=""&amp;$G545&amp;""&amp;name=""&amp;SUBSTITUTE($A545,""#"&amp;""",""%23""),$H545&amp;""/""&amp;$I545),IF($H545&lt;&gt;"""",IF(REGEXMATCH($H545,""50( ?['fF]([oO]{2})?[tT]?)?( ?[eE][rR]{2}[oO][rR])""),HYPERLINK(""https://www.munzee.com/map/?sandbox=1&amp;lat=""&amp;$D545&amp;""&amp;lon=""&amp;$E545&amp;""&amp;name=""&amp;SUBSTITUTE($A545,""#"",""%23""),""SANDBOX"""&amp;"),HYPERLINK(""https://www.munzee.com/m/""&amp;$H545&amp;""/deploys/0/type/""&amp;IFNA(VLOOKUP($G545,IMPORTRANGE(""https://docs.google.com/spreadsheets/d/1DliIGyDywdzxhd4svtjaewR0p9Y5UBTMNMQ2PcXsqss"",""type data!E2:F""),2,FALSE),$G545)&amp;""/"",$H545)),""""))"),"snakelips/2449")</f>
        <v>snakelips/2449</v>
      </c>
      <c r="L545" s="19" t="b">
        <v>1</v>
      </c>
      <c r="M545" s="12">
        <f t="shared" si="1"/>
        <v>7</v>
      </c>
      <c r="N545" s="13"/>
      <c r="O545" s="13"/>
      <c r="P545" s="15"/>
    </row>
    <row r="546">
      <c r="A546" s="15" t="s">
        <v>788</v>
      </c>
      <c r="B546" s="16">
        <v>27.0</v>
      </c>
      <c r="C546" s="16">
        <v>15.0</v>
      </c>
      <c r="D546" s="17">
        <v>44.862337591623</v>
      </c>
      <c r="E546" s="17">
        <v>-93.33401986607</v>
      </c>
      <c r="F546" s="16" t="s">
        <v>757</v>
      </c>
      <c r="G546" s="16" t="s">
        <v>17</v>
      </c>
      <c r="H546" s="33" t="s">
        <v>194</v>
      </c>
      <c r="I546" s="19">
        <v>8614.0</v>
      </c>
      <c r="J546" s="20"/>
      <c r="K546" s="11" t="str">
        <f>IFERROR(__xludf.DUMMYFUNCTION("IF(AND(REGEXMATCH($H546,""50( ?['fF]([oO]{2})?[tT]?)?( ?[eE][rR]{2}[oO][rR])"")=FALSE,$H546&lt;&gt;"""",$I546&lt;&gt;""""),HYPERLINK(""https://www.munzee.com/m/""&amp;$H546&amp;""/""&amp;$I546&amp;""/map/?lat=""&amp;$D546&amp;""&amp;lon=""&amp;$E546&amp;""&amp;type=""&amp;$G546&amp;""&amp;name=""&amp;SUBSTITUTE($A546,""#"&amp;""",""%23""),$H546&amp;""/""&amp;$I546),IF($H546&lt;&gt;"""",IF(REGEXMATCH($H546,""50( ?['fF]([oO]{2})?[tT]?)?( ?[eE][rR]{2}[oO][rR])""),HYPERLINK(""https://www.munzee.com/map/?sandbox=1&amp;lat=""&amp;$D546&amp;""&amp;lon=""&amp;$E546&amp;""&amp;name=""&amp;SUBSTITUTE($A546,""#"",""%23""),""SANDBOX"""&amp;"),HYPERLINK(""https://www.munzee.com/m/""&amp;$H546&amp;""/deploys/0/type/""&amp;IFNA(VLOOKUP($G546,IMPORTRANGE(""https://docs.google.com/spreadsheets/d/1DliIGyDywdzxhd4svtjaewR0p9Y5UBTMNMQ2PcXsqss"",""type data!E2:F""),2,FALSE),$G546)&amp;""/"",$H546)),""""))"),"warped6/8614")</f>
        <v>warped6/8614</v>
      </c>
      <c r="L546" s="19" t="b">
        <v>1</v>
      </c>
      <c r="M546" s="12">
        <f t="shared" si="1"/>
        <v>24</v>
      </c>
      <c r="N546" s="13"/>
      <c r="O546" s="13"/>
      <c r="P546" s="29"/>
    </row>
    <row r="547">
      <c r="A547" s="15" t="s">
        <v>789</v>
      </c>
      <c r="B547" s="16">
        <v>27.0</v>
      </c>
      <c r="C547" s="16">
        <v>16.0</v>
      </c>
      <c r="D547" s="17">
        <v>44.862337591444</v>
      </c>
      <c r="E547" s="17">
        <v>-93.333817087148</v>
      </c>
      <c r="F547" s="16" t="s">
        <v>41</v>
      </c>
      <c r="G547" s="16" t="s">
        <v>17</v>
      </c>
      <c r="H547" s="18" t="s">
        <v>109</v>
      </c>
      <c r="I547" s="19">
        <v>16388.0</v>
      </c>
      <c r="J547" s="21"/>
      <c r="K547" s="11" t="str">
        <f>IFERROR(__xludf.DUMMYFUNCTION("IF(AND(REGEXMATCH($H547,""50( ?['fF]([oO]{2})?[tT]?)?( ?[eE][rR]{2}[oO][rR])"")=FALSE,$H547&lt;&gt;"""",$I547&lt;&gt;""""),HYPERLINK(""https://www.munzee.com/m/""&amp;$H547&amp;""/""&amp;$I547&amp;""/map/?lat=""&amp;$D547&amp;""&amp;lon=""&amp;$E547&amp;""&amp;type=""&amp;$G547&amp;""&amp;name=""&amp;SUBSTITUTE($A547,""#"&amp;""",""%23""),$H547&amp;""/""&amp;$I547),IF($H547&lt;&gt;"""",IF(REGEXMATCH($H547,""50( ?['fF]([oO]{2})?[tT]?)?( ?[eE][rR]{2}[oO][rR])""),HYPERLINK(""https://www.munzee.com/map/?sandbox=1&amp;lat=""&amp;$D547&amp;""&amp;lon=""&amp;$E547&amp;""&amp;name=""&amp;SUBSTITUTE($A547,""#"",""%23""),""SANDBOX"""&amp;"),HYPERLINK(""https://www.munzee.com/m/""&amp;$H547&amp;""/deploys/0/type/""&amp;IFNA(VLOOKUP($G547,IMPORTRANGE(""https://docs.google.com/spreadsheets/d/1DliIGyDywdzxhd4svtjaewR0p9Y5UBTMNMQ2PcXsqss"",""type data!E2:F""),2,FALSE),$G547)&amp;""/"",$H547)),""""))"),"Whelen/16388")</f>
        <v>Whelen/16388</v>
      </c>
      <c r="L547" s="19" t="b">
        <v>1</v>
      </c>
      <c r="M547" s="12">
        <f t="shared" si="1"/>
        <v>22</v>
      </c>
      <c r="N547" s="13"/>
      <c r="O547" s="13"/>
      <c r="P547" s="29"/>
    </row>
    <row r="548">
      <c r="A548" s="15" t="s">
        <v>790</v>
      </c>
      <c r="B548" s="16">
        <v>27.0</v>
      </c>
      <c r="C548" s="16">
        <v>17.0</v>
      </c>
      <c r="D548" s="17">
        <v>44.862337591264</v>
      </c>
      <c r="E548" s="17">
        <v>-93.333614308226</v>
      </c>
      <c r="F548" s="16" t="s">
        <v>41</v>
      </c>
      <c r="G548" s="16" t="s">
        <v>17</v>
      </c>
      <c r="H548" s="18" t="s">
        <v>791</v>
      </c>
      <c r="I548" s="19">
        <v>13258.0</v>
      </c>
      <c r="J548" s="21"/>
      <c r="K548" s="11" t="str">
        <f>IFERROR(__xludf.DUMMYFUNCTION("IF(AND(REGEXMATCH($H548,""50( ?['fF]([oO]{2})?[tT]?)?( ?[eE][rR]{2}[oO][rR])"")=FALSE,$H548&lt;&gt;"""",$I548&lt;&gt;""""),HYPERLINK(""https://www.munzee.com/m/""&amp;$H548&amp;""/""&amp;$I548&amp;""/map/?lat=""&amp;$D548&amp;""&amp;lon=""&amp;$E548&amp;""&amp;type=""&amp;$G548&amp;""&amp;name=""&amp;SUBSTITUTE($A548,""#"&amp;""",""%23""),$H548&amp;""/""&amp;$I548),IF($H548&lt;&gt;"""",IF(REGEXMATCH($H548,""50( ?['fF]([oO]{2})?[tT]?)?( ?[eE][rR]{2}[oO][rR])""),HYPERLINK(""https://www.munzee.com/map/?sandbox=1&amp;lat=""&amp;$D548&amp;""&amp;lon=""&amp;$E548&amp;""&amp;name=""&amp;SUBSTITUTE($A548,""#"",""%23""),""SANDBOX"""&amp;"),HYPERLINK(""https://www.munzee.com/m/""&amp;$H548&amp;""/deploys/0/type/""&amp;IFNA(VLOOKUP($G548,IMPORTRANGE(""https://docs.google.com/spreadsheets/d/1DliIGyDywdzxhd4svtjaewR0p9Y5UBTMNMQ2PcXsqss"",""type data!E2:F""),2,FALSE),$G548)&amp;""/"",$H548)),""""))"),"MeanderingMonkeys/13258")</f>
        <v>MeanderingMonkeys/13258</v>
      </c>
      <c r="L548" s="19" t="b">
        <v>1</v>
      </c>
      <c r="M548" s="12">
        <f t="shared" si="1"/>
        <v>1</v>
      </c>
      <c r="N548" s="13"/>
      <c r="O548" s="13"/>
      <c r="P548" s="29"/>
    </row>
    <row r="549">
      <c r="A549" s="15" t="s">
        <v>792</v>
      </c>
      <c r="B549" s="16">
        <v>27.0</v>
      </c>
      <c r="C549" s="16">
        <v>18.0</v>
      </c>
      <c r="D549" s="17">
        <v>44.862337591085</v>
      </c>
      <c r="E549" s="17">
        <v>-93.333411529304</v>
      </c>
      <c r="F549" s="16" t="s">
        <v>41</v>
      </c>
      <c r="G549" s="16" t="s">
        <v>17</v>
      </c>
      <c r="H549" s="18" t="s">
        <v>793</v>
      </c>
      <c r="I549" s="19">
        <v>3758.0</v>
      </c>
      <c r="J549" s="20"/>
      <c r="K549" s="11" t="str">
        <f>IFERROR(__xludf.DUMMYFUNCTION("IF(AND(REGEXMATCH($H549,""50( ?['fF]([oO]{2})?[tT]?)?( ?[eE][rR]{2}[oO][rR])"")=FALSE,$H549&lt;&gt;"""",$I549&lt;&gt;""""),HYPERLINK(""https://www.munzee.com/m/""&amp;$H549&amp;""/""&amp;$I549&amp;""/map/?lat=""&amp;$D549&amp;""&amp;lon=""&amp;$E549&amp;""&amp;type=""&amp;$G549&amp;""&amp;name=""&amp;SUBSTITUTE($A549,""#"&amp;""",""%23""),$H549&amp;""/""&amp;$I549),IF($H549&lt;&gt;"""",IF(REGEXMATCH($H549,""50( ?['fF]([oO]{2})?[tT]?)?( ?[eE][rR]{2}[oO][rR])""),HYPERLINK(""https://www.munzee.com/map/?sandbox=1&amp;lat=""&amp;$D549&amp;""&amp;lon=""&amp;$E549&amp;""&amp;name=""&amp;SUBSTITUTE($A549,""#"",""%23""),""SANDBOX"""&amp;"),HYPERLINK(""https://www.munzee.com/m/""&amp;$H549&amp;""/deploys/0/type/""&amp;IFNA(VLOOKUP($G549,IMPORTRANGE(""https://docs.google.com/spreadsheets/d/1DliIGyDywdzxhd4svtjaewR0p9Y5UBTMNMQ2PcXsqss"",""type data!E2:F""),2,FALSE),$G549)&amp;""/"",$H549)),""""))"),"mtbiker64/3758")</f>
        <v>mtbiker64/3758</v>
      </c>
      <c r="L549" s="19" t="b">
        <v>1</v>
      </c>
      <c r="M549" s="12">
        <f t="shared" si="1"/>
        <v>1</v>
      </c>
      <c r="N549" s="13"/>
      <c r="O549" s="13"/>
      <c r="P549" s="29"/>
    </row>
    <row r="550">
      <c r="A550" s="15" t="s">
        <v>794</v>
      </c>
      <c r="B550" s="16">
        <v>27.0</v>
      </c>
      <c r="C550" s="16">
        <v>19.0</v>
      </c>
      <c r="D550" s="17">
        <v>44.862337590905</v>
      </c>
      <c r="E550" s="17">
        <v>-93.333208750382</v>
      </c>
      <c r="F550" s="16" t="s">
        <v>41</v>
      </c>
      <c r="G550" s="16" t="s">
        <v>17</v>
      </c>
      <c r="H550" s="18" t="s">
        <v>795</v>
      </c>
      <c r="I550" s="19">
        <v>12817.0</v>
      </c>
      <c r="J550" s="21"/>
      <c r="K550" s="11" t="str">
        <f>IFERROR(__xludf.DUMMYFUNCTION("IF(AND(REGEXMATCH($H550,""50( ?['fF]([oO]{2})?[tT]?)?( ?[eE][rR]{2}[oO][rR])"")=FALSE,$H550&lt;&gt;"""",$I550&lt;&gt;""""),HYPERLINK(""https://www.munzee.com/m/""&amp;$H550&amp;""/""&amp;$I550&amp;""/map/?lat=""&amp;$D550&amp;""&amp;lon=""&amp;$E550&amp;""&amp;type=""&amp;$G550&amp;""&amp;name=""&amp;SUBSTITUTE($A550,""#"&amp;""",""%23""),$H550&amp;""/""&amp;$I550),IF($H550&lt;&gt;"""",IF(REGEXMATCH($H550,""50( ?['fF]([oO]{2})?[tT]?)?( ?[eE][rR]{2}[oO][rR])""),HYPERLINK(""https://www.munzee.com/map/?sandbox=1&amp;lat=""&amp;$D550&amp;""&amp;lon=""&amp;$E550&amp;""&amp;name=""&amp;SUBSTITUTE($A550,""#"",""%23""),""SANDBOX"""&amp;"),HYPERLINK(""https://www.munzee.com/m/""&amp;$H550&amp;""/deploys/0/type/""&amp;IFNA(VLOOKUP($G550,IMPORTRANGE(""https://docs.google.com/spreadsheets/d/1DliIGyDywdzxhd4svtjaewR0p9Y5UBTMNMQ2PcXsqss"",""type data!E2:F""),2,FALSE),$G550)&amp;""/"",$H550)),""""))"),"justforfun33/12817")</f>
        <v>justforfun33/12817</v>
      </c>
      <c r="L550" s="19" t="b">
        <v>1</v>
      </c>
      <c r="M550" s="12">
        <f t="shared" si="1"/>
        <v>1</v>
      </c>
      <c r="N550" s="13"/>
      <c r="O550" s="13"/>
      <c r="P550" s="15"/>
    </row>
    <row r="551">
      <c r="A551" s="15" t="s">
        <v>796</v>
      </c>
      <c r="B551" s="16">
        <v>27.0</v>
      </c>
      <c r="C551" s="16">
        <v>20.0</v>
      </c>
      <c r="D551" s="17">
        <v>44.862337590726</v>
      </c>
      <c r="E551" s="17">
        <v>-93.333005971461</v>
      </c>
      <c r="F551" s="16" t="s">
        <v>41</v>
      </c>
      <c r="G551" s="16" t="s">
        <v>17</v>
      </c>
      <c r="H551" s="18" t="s">
        <v>174</v>
      </c>
      <c r="I551" s="19">
        <v>1818.0</v>
      </c>
      <c r="J551" s="21"/>
      <c r="K551" s="11" t="str">
        <f>IFERROR(__xludf.DUMMYFUNCTION("IF(AND(REGEXMATCH($H551,""50( ?['fF]([oO]{2})?[tT]?)?( ?[eE][rR]{2}[oO][rR])"")=FALSE,$H551&lt;&gt;"""",$I551&lt;&gt;""""),HYPERLINK(""https://www.munzee.com/m/""&amp;$H551&amp;""/""&amp;$I551&amp;""/map/?lat=""&amp;$D551&amp;""&amp;lon=""&amp;$E551&amp;""&amp;type=""&amp;$G551&amp;""&amp;name=""&amp;SUBSTITUTE($A551,""#"&amp;""",""%23""),$H551&amp;""/""&amp;$I551),IF($H551&lt;&gt;"""",IF(REGEXMATCH($H551,""50( ?['fF]([oO]{2})?[tT]?)?( ?[eE][rR]{2}[oO][rR])""),HYPERLINK(""https://www.munzee.com/map/?sandbox=1&amp;lat=""&amp;$D551&amp;""&amp;lon=""&amp;$E551&amp;""&amp;name=""&amp;SUBSTITUTE($A551,""#"",""%23""),""SANDBOX"""&amp;"),HYPERLINK(""https://www.munzee.com/m/""&amp;$H551&amp;""/deploys/0/type/""&amp;IFNA(VLOOKUP($G551,IMPORTRANGE(""https://docs.google.com/spreadsheets/d/1DliIGyDywdzxhd4svtjaewR0p9Y5UBTMNMQ2PcXsqss"",""type data!E2:F""),2,FALSE),$G551)&amp;""/"",$H551)),""""))"),"guido/1818")</f>
        <v>guido/1818</v>
      </c>
      <c r="L551" s="19" t="b">
        <v>1</v>
      </c>
      <c r="M551" s="12">
        <f t="shared" si="1"/>
        <v>4</v>
      </c>
      <c r="N551" s="13"/>
      <c r="O551" s="13"/>
      <c r="P551" s="15"/>
    </row>
    <row r="552">
      <c r="A552" s="15" t="s">
        <v>797</v>
      </c>
      <c r="B552" s="16">
        <v>27.0</v>
      </c>
      <c r="C552" s="16">
        <v>21.0</v>
      </c>
      <c r="D552" s="17">
        <v>44.862337590547</v>
      </c>
      <c r="E552" s="17">
        <v>-93.332803192539</v>
      </c>
      <c r="F552" s="16" t="s">
        <v>16</v>
      </c>
      <c r="G552" s="16" t="s">
        <v>17</v>
      </c>
      <c r="H552" s="18" t="s">
        <v>472</v>
      </c>
      <c r="I552" s="19">
        <v>1229.0</v>
      </c>
      <c r="J552" s="27"/>
      <c r="K552" s="11" t="str">
        <f>IFERROR(__xludf.DUMMYFUNCTION("IF(AND(REGEXMATCH($H552,""50( ?['fF]([oO]{2})?[tT]?)?( ?[eE][rR]{2}[oO][rR])"")=FALSE,$H552&lt;&gt;"""",$I552&lt;&gt;""""),HYPERLINK(""https://www.munzee.com/m/""&amp;$H552&amp;""/""&amp;$I552&amp;""/map/?lat=""&amp;$D552&amp;""&amp;lon=""&amp;$E552&amp;""&amp;type=""&amp;$G552&amp;""&amp;name=""&amp;SUBSTITUTE($A552,""#"&amp;""",""%23""),$H552&amp;""/""&amp;$I552),IF($H552&lt;&gt;"""",IF(REGEXMATCH($H552,""50( ?['fF]([oO]{2})?[tT]?)?( ?[eE][rR]{2}[oO][rR])""),HYPERLINK(""https://www.munzee.com/map/?sandbox=1&amp;lat=""&amp;$D552&amp;""&amp;lon=""&amp;$E552&amp;""&amp;name=""&amp;SUBSTITUTE($A552,""#"",""%23""),""SANDBOX"""&amp;"),HYPERLINK(""https://www.munzee.com/m/""&amp;$H552&amp;""/deploys/0/type/""&amp;IFNA(VLOOKUP($G552,IMPORTRANGE(""https://docs.google.com/spreadsheets/d/1DliIGyDywdzxhd4svtjaewR0p9Y5UBTMNMQ2PcXsqss"",""type data!E2:F""),2,FALSE),$G552)&amp;""/"",$H552)),""""))"),"Fluffystuff74/1229")</f>
        <v>Fluffystuff74/1229</v>
      </c>
      <c r="L552" s="19" t="b">
        <v>1</v>
      </c>
      <c r="M552" s="12">
        <f t="shared" si="1"/>
        <v>5</v>
      </c>
      <c r="N552" s="13"/>
      <c r="O552" s="13"/>
      <c r="P552" s="15"/>
    </row>
    <row r="553">
      <c r="A553" s="15" t="s">
        <v>798</v>
      </c>
      <c r="B553" s="16">
        <v>28.0</v>
      </c>
      <c r="C553" s="16">
        <v>6.0</v>
      </c>
      <c r="D553" s="17">
        <v>44.862193862792</v>
      </c>
      <c r="E553" s="17">
        <v>-93.335844886997</v>
      </c>
      <c r="F553" s="16" t="s">
        <v>16</v>
      </c>
      <c r="G553" s="16" t="s">
        <v>17</v>
      </c>
      <c r="H553" s="18" t="s">
        <v>14</v>
      </c>
      <c r="I553" s="19">
        <v>2281.0</v>
      </c>
      <c r="J553" s="20"/>
      <c r="K553" s="11" t="str">
        <f>IFERROR(__xludf.DUMMYFUNCTION("IF(AND(REGEXMATCH($H553,""50( ?['fF]([oO]{2})?[tT]?)?( ?[eE][rR]{2}[oO][rR])"")=FALSE,$H553&lt;&gt;"""",$I553&lt;&gt;""""),HYPERLINK(""https://www.munzee.com/m/""&amp;$H553&amp;""/""&amp;$I553&amp;""/map/?lat=""&amp;$D553&amp;""&amp;lon=""&amp;$E553&amp;""&amp;type=""&amp;$G553&amp;""&amp;name=""&amp;SUBSTITUTE($A553,""#"&amp;""",""%23""),$H553&amp;""/""&amp;$I553),IF($H553&lt;&gt;"""",IF(REGEXMATCH($H553,""50( ?['fF]([oO]{2})?[tT]?)?( ?[eE][rR]{2}[oO][rR])""),HYPERLINK(""https://www.munzee.com/map/?sandbox=1&amp;lat=""&amp;$D553&amp;""&amp;lon=""&amp;$E553&amp;""&amp;name=""&amp;SUBSTITUTE($A553,""#"",""%23""),""SANDBOX"""&amp;"),HYPERLINK(""https://www.munzee.com/m/""&amp;$H553&amp;""/deploys/0/type/""&amp;IFNA(VLOOKUP($G553,IMPORTRANGE(""https://docs.google.com/spreadsheets/d/1DliIGyDywdzxhd4svtjaewR0p9Y5UBTMNMQ2PcXsqss"",""type data!E2:F""),2,FALSE),$G553)&amp;""/"",$H553)),""""))"),"JABIE28/2281")</f>
        <v>JABIE28/2281</v>
      </c>
      <c r="L553" s="19" t="b">
        <v>1</v>
      </c>
      <c r="M553" s="12">
        <f t="shared" si="1"/>
        <v>85</v>
      </c>
      <c r="N553" s="13"/>
      <c r="O553" s="13"/>
      <c r="P553" s="15"/>
    </row>
    <row r="554">
      <c r="A554" s="15" t="s">
        <v>799</v>
      </c>
      <c r="B554" s="16">
        <v>28.0</v>
      </c>
      <c r="C554" s="16">
        <v>7.0</v>
      </c>
      <c r="D554" s="17">
        <v>44.862193862613</v>
      </c>
      <c r="E554" s="17">
        <v>-93.335642108581</v>
      </c>
      <c r="F554" s="16" t="s">
        <v>16</v>
      </c>
      <c r="G554" s="16" t="s">
        <v>17</v>
      </c>
      <c r="H554" s="18" t="s">
        <v>379</v>
      </c>
      <c r="I554" s="19">
        <v>1137.0</v>
      </c>
      <c r="J554" s="21"/>
      <c r="K554" s="11" t="str">
        <f>IFERROR(__xludf.DUMMYFUNCTION("IF(AND(REGEXMATCH($H554,""50( ?['fF]([oO]{2})?[tT]?)?( ?[eE][rR]{2}[oO][rR])"")=FALSE,$H554&lt;&gt;"""",$I554&lt;&gt;""""),HYPERLINK(""https://www.munzee.com/m/""&amp;$H554&amp;""/""&amp;$I554&amp;""/map/?lat=""&amp;$D554&amp;""&amp;lon=""&amp;$E554&amp;""&amp;type=""&amp;$G554&amp;""&amp;name=""&amp;SUBSTITUTE($A554,""#"&amp;""",""%23""),$H554&amp;""/""&amp;$I554),IF($H554&lt;&gt;"""",IF(REGEXMATCH($H554,""50( ?['fF]([oO]{2})?[tT]?)?( ?[eE][rR]{2}[oO][rR])""),HYPERLINK(""https://www.munzee.com/map/?sandbox=1&amp;lat=""&amp;$D554&amp;""&amp;lon=""&amp;$E554&amp;""&amp;name=""&amp;SUBSTITUTE($A554,""#"",""%23""),""SANDBOX"""&amp;"),HYPERLINK(""https://www.munzee.com/m/""&amp;$H554&amp;""/deploys/0/type/""&amp;IFNA(VLOOKUP($G554,IMPORTRANGE(""https://docs.google.com/spreadsheets/d/1DliIGyDywdzxhd4svtjaewR0p9Y5UBTMNMQ2PcXsqss"",""type data!E2:F""),2,FALSE),$G554)&amp;""/"",$H554)),""""))"),"rohdej/1137")</f>
        <v>rohdej/1137</v>
      </c>
      <c r="L554" s="19" t="b">
        <v>1</v>
      </c>
      <c r="M554" s="12">
        <f t="shared" si="1"/>
        <v>10</v>
      </c>
      <c r="N554" s="13"/>
      <c r="O554" s="13"/>
      <c r="P554" s="15"/>
    </row>
    <row r="555">
      <c r="A555" s="15" t="s">
        <v>800</v>
      </c>
      <c r="B555" s="16">
        <v>28.0</v>
      </c>
      <c r="C555" s="16">
        <v>8.0</v>
      </c>
      <c r="D555" s="17">
        <v>44.862193862434</v>
      </c>
      <c r="E555" s="17">
        <v>-93.335439330166</v>
      </c>
      <c r="F555" s="16" t="s">
        <v>41</v>
      </c>
      <c r="G555" s="16" t="s">
        <v>17</v>
      </c>
      <c r="H555" s="18" t="s">
        <v>801</v>
      </c>
      <c r="I555" s="19">
        <v>2457.0</v>
      </c>
      <c r="J555" s="21"/>
      <c r="K555" s="11" t="str">
        <f>IFERROR(__xludf.DUMMYFUNCTION("IF(AND(REGEXMATCH($H555,""50( ?['fF]([oO]{2})?[tT]?)?( ?[eE][rR]{2}[oO][rR])"")=FALSE,$H555&lt;&gt;"""",$I555&lt;&gt;""""),HYPERLINK(""https://www.munzee.com/m/""&amp;$H555&amp;""/""&amp;$I555&amp;""/map/?lat=""&amp;$D555&amp;""&amp;lon=""&amp;$E555&amp;""&amp;type=""&amp;$G555&amp;""&amp;name=""&amp;SUBSTITUTE($A555,""#"&amp;""",""%23""),$H555&amp;""/""&amp;$I555),IF($H555&lt;&gt;"""",IF(REGEXMATCH($H555,""50( ?['fF]([oO]{2})?[tT]?)?( ?[eE][rR]{2}[oO][rR])""),HYPERLINK(""https://www.munzee.com/map/?sandbox=1&amp;lat=""&amp;$D555&amp;""&amp;lon=""&amp;$E555&amp;""&amp;name=""&amp;SUBSTITUTE($A555,""#"",""%23""),""SANDBOX"""&amp;"),HYPERLINK(""https://www.munzee.com/m/""&amp;$H555&amp;""/deploys/0/type/""&amp;IFNA(VLOOKUP($G555,IMPORTRANGE(""https://docs.google.com/spreadsheets/d/1DliIGyDywdzxhd4svtjaewR0p9Y5UBTMNMQ2PcXsqss"",""type data!E2:F""),2,FALSE),$G555)&amp;""/"",$H555)),""""))"),"rita85gto/2457")</f>
        <v>rita85gto/2457</v>
      </c>
      <c r="L555" s="19" t="b">
        <v>1</v>
      </c>
      <c r="M555" s="12">
        <f t="shared" si="1"/>
        <v>1</v>
      </c>
      <c r="N555" s="13"/>
      <c r="O555" s="13"/>
      <c r="P555" s="15"/>
    </row>
    <row r="556">
      <c r="A556" s="15" t="s">
        <v>802</v>
      </c>
      <c r="B556" s="16">
        <v>28.0</v>
      </c>
      <c r="C556" s="16">
        <v>9.0</v>
      </c>
      <c r="D556" s="17">
        <v>44.862193862254</v>
      </c>
      <c r="E556" s="17">
        <v>-93.33523655175</v>
      </c>
      <c r="F556" s="16" t="s">
        <v>41</v>
      </c>
      <c r="G556" s="16" t="s">
        <v>17</v>
      </c>
      <c r="H556" s="18" t="s">
        <v>14</v>
      </c>
      <c r="I556" s="19">
        <v>2278.0</v>
      </c>
      <c r="J556" s="20"/>
      <c r="K556" s="11" t="str">
        <f>IFERROR(__xludf.DUMMYFUNCTION("IF(AND(REGEXMATCH($H556,""50( ?['fF]([oO]{2})?[tT]?)?( ?[eE][rR]{2}[oO][rR])"")=FALSE,$H556&lt;&gt;"""",$I556&lt;&gt;""""),HYPERLINK(""https://www.munzee.com/m/""&amp;$H556&amp;""/""&amp;$I556&amp;""/map/?lat=""&amp;$D556&amp;""&amp;lon=""&amp;$E556&amp;""&amp;type=""&amp;$G556&amp;""&amp;name=""&amp;SUBSTITUTE($A556,""#"&amp;""",""%23""),$H556&amp;""/""&amp;$I556),IF($H556&lt;&gt;"""",IF(REGEXMATCH($H556,""50( ?['fF]([oO]{2})?[tT]?)?( ?[eE][rR]{2}[oO][rR])""),HYPERLINK(""https://www.munzee.com/map/?sandbox=1&amp;lat=""&amp;$D556&amp;""&amp;lon=""&amp;$E556&amp;""&amp;name=""&amp;SUBSTITUTE($A556,""#"",""%23""),""SANDBOX"""&amp;"),HYPERLINK(""https://www.munzee.com/m/""&amp;$H556&amp;""/deploys/0/type/""&amp;IFNA(VLOOKUP($G556,IMPORTRANGE(""https://docs.google.com/spreadsheets/d/1DliIGyDywdzxhd4svtjaewR0p9Y5UBTMNMQ2PcXsqss"",""type data!E2:F""),2,FALSE),$G556)&amp;""/"",$H556)),""""))"),"JABIE28/2278")</f>
        <v>JABIE28/2278</v>
      </c>
      <c r="L556" s="19" t="b">
        <v>1</v>
      </c>
      <c r="M556" s="12">
        <f t="shared" si="1"/>
        <v>85</v>
      </c>
      <c r="N556" s="13"/>
      <c r="O556" s="13"/>
      <c r="P556" s="29"/>
    </row>
    <row r="557">
      <c r="A557" s="15" t="s">
        <v>803</v>
      </c>
      <c r="B557" s="16">
        <v>28.0</v>
      </c>
      <c r="C557" s="16">
        <v>10.0</v>
      </c>
      <c r="D557" s="17">
        <v>44.862193862075</v>
      </c>
      <c r="E557" s="17">
        <v>-93.335033773335</v>
      </c>
      <c r="F557" s="16" t="s">
        <v>41</v>
      </c>
      <c r="G557" s="16" t="s">
        <v>17</v>
      </c>
      <c r="H557" s="18" t="s">
        <v>804</v>
      </c>
      <c r="I557" s="19">
        <v>307.0</v>
      </c>
      <c r="J557" s="39"/>
      <c r="K557" s="11" t="str">
        <f>IFERROR(__xludf.DUMMYFUNCTION("IF(AND(REGEXMATCH($H557,""50( ?['fF]([oO]{2})?[tT]?)?( ?[eE][rR]{2}[oO][rR])"")=FALSE,$H557&lt;&gt;"""",$I557&lt;&gt;""""),HYPERLINK(""https://www.munzee.com/m/""&amp;$H557&amp;""/""&amp;$I557&amp;""/map/?lat=""&amp;$D557&amp;""&amp;lon=""&amp;$E557&amp;""&amp;type=""&amp;$G557&amp;""&amp;name=""&amp;SUBSTITUTE($A557,""#"&amp;""",""%23""),$H557&amp;""/""&amp;$I557),IF($H557&lt;&gt;"""",IF(REGEXMATCH($H557,""50( ?['fF]([oO]{2})?[tT]?)?( ?[eE][rR]{2}[oO][rR])""),HYPERLINK(""https://www.munzee.com/map/?sandbox=1&amp;lat=""&amp;$D557&amp;""&amp;lon=""&amp;$E557&amp;""&amp;name=""&amp;SUBSTITUTE($A557,""#"",""%23""),""SANDBOX"""&amp;"),HYPERLINK(""https://www.munzee.com/m/""&amp;$H557&amp;""/deploys/0/type/""&amp;IFNA(VLOOKUP($G557,IMPORTRANGE(""https://docs.google.com/spreadsheets/d/1DliIGyDywdzxhd4svtjaewR0p9Y5UBTMNMQ2PcXsqss"",""type data!E2:F""),2,FALSE),$G557)&amp;""/"",$H557)),""""))"),"BlueIce/307")</f>
        <v>BlueIce/307</v>
      </c>
      <c r="L557" s="19" t="b">
        <v>1</v>
      </c>
      <c r="M557" s="12">
        <f t="shared" si="1"/>
        <v>1</v>
      </c>
      <c r="N557" s="13"/>
      <c r="O557" s="13"/>
      <c r="P557" s="15"/>
    </row>
    <row r="558">
      <c r="A558" s="15" t="s">
        <v>805</v>
      </c>
      <c r="B558" s="16">
        <v>28.0</v>
      </c>
      <c r="C558" s="16">
        <v>11.0</v>
      </c>
      <c r="D558" s="17">
        <v>44.862193861895</v>
      </c>
      <c r="E558" s="17">
        <v>-93.334830994919</v>
      </c>
      <c r="F558" s="16" t="s">
        <v>41</v>
      </c>
      <c r="G558" s="16" t="s">
        <v>17</v>
      </c>
      <c r="H558" s="18" t="s">
        <v>806</v>
      </c>
      <c r="I558" s="19">
        <v>6325.0</v>
      </c>
      <c r="J558" s="21"/>
      <c r="K558" s="11" t="str">
        <f>IFERROR(__xludf.DUMMYFUNCTION("IF(AND(REGEXMATCH($H558,""50( ?['fF]([oO]{2})?[tT]?)?( ?[eE][rR]{2}[oO][rR])"")=FALSE,$H558&lt;&gt;"""",$I558&lt;&gt;""""),HYPERLINK(""https://www.munzee.com/m/""&amp;$H558&amp;""/""&amp;$I558&amp;""/map/?lat=""&amp;$D558&amp;""&amp;lon=""&amp;$E558&amp;""&amp;type=""&amp;$G558&amp;""&amp;name=""&amp;SUBSTITUTE($A558,""#"&amp;""",""%23""),$H558&amp;""/""&amp;$I558),IF($H558&lt;&gt;"""",IF(REGEXMATCH($H558,""50( ?['fF]([oO]{2})?[tT]?)?( ?[eE][rR]{2}[oO][rR])""),HYPERLINK(""https://www.munzee.com/map/?sandbox=1&amp;lat=""&amp;$D558&amp;""&amp;lon=""&amp;$E558&amp;""&amp;name=""&amp;SUBSTITUTE($A558,""#"",""%23""),""SANDBOX"""&amp;"),HYPERLINK(""https://www.munzee.com/m/""&amp;$H558&amp;""/deploys/0/type/""&amp;IFNA(VLOOKUP($G558,IMPORTRANGE(""https://docs.google.com/spreadsheets/d/1DliIGyDywdzxhd4svtjaewR0p9Y5UBTMNMQ2PcXsqss"",""type data!E2:F""),2,FALSE),$G558)&amp;""/"",$H558)),""""))"),"ponu/6325")</f>
        <v>ponu/6325</v>
      </c>
      <c r="L558" s="19" t="b">
        <v>1</v>
      </c>
      <c r="M558" s="12">
        <f t="shared" si="1"/>
        <v>1</v>
      </c>
      <c r="N558" s="13"/>
      <c r="O558" s="13"/>
      <c r="P558" s="15"/>
    </row>
    <row r="559">
      <c r="A559" s="15" t="s">
        <v>807</v>
      </c>
      <c r="B559" s="16">
        <v>28.0</v>
      </c>
      <c r="C559" s="16">
        <v>12.0</v>
      </c>
      <c r="D559" s="17">
        <v>44.862193861716</v>
      </c>
      <c r="E559" s="17">
        <v>-93.334628216504</v>
      </c>
      <c r="F559" s="16" t="s">
        <v>41</v>
      </c>
      <c r="G559" s="16" t="s">
        <v>17</v>
      </c>
      <c r="H559" s="18" t="s">
        <v>14</v>
      </c>
      <c r="I559" s="19">
        <v>2500.0</v>
      </c>
      <c r="J559" s="39"/>
      <c r="K559" s="11" t="str">
        <f>IFERROR(__xludf.DUMMYFUNCTION("IF(AND(REGEXMATCH($H559,""50( ?['fF]([oO]{2})?[tT]?)?( ?[eE][rR]{2}[oO][rR])"")=FALSE,$H559&lt;&gt;"""",$I559&lt;&gt;""""),HYPERLINK(""https://www.munzee.com/m/""&amp;$H559&amp;""/""&amp;$I559&amp;""/map/?lat=""&amp;$D559&amp;""&amp;lon=""&amp;$E559&amp;""&amp;type=""&amp;$G559&amp;""&amp;name=""&amp;SUBSTITUTE($A559,""#"&amp;""",""%23""),$H559&amp;""/""&amp;$I559),IF($H559&lt;&gt;"""",IF(REGEXMATCH($H559,""50( ?['fF]([oO]{2})?[tT]?)?( ?[eE][rR]{2}[oO][rR])""),HYPERLINK(""https://www.munzee.com/map/?sandbox=1&amp;lat=""&amp;$D559&amp;""&amp;lon=""&amp;$E559&amp;""&amp;name=""&amp;SUBSTITUTE($A559,""#"",""%23""),""SANDBOX"""&amp;"),HYPERLINK(""https://www.munzee.com/m/""&amp;$H559&amp;""/deploys/0/type/""&amp;IFNA(VLOOKUP($G559,IMPORTRANGE(""https://docs.google.com/spreadsheets/d/1DliIGyDywdzxhd4svtjaewR0p9Y5UBTMNMQ2PcXsqss"",""type data!E2:F""),2,FALSE),$G559)&amp;""/"",$H559)),""""))"),"JABIE28/2500")</f>
        <v>JABIE28/2500</v>
      </c>
      <c r="L559" s="19" t="b">
        <v>1</v>
      </c>
      <c r="M559" s="12">
        <f t="shared" si="1"/>
        <v>85</v>
      </c>
      <c r="N559" s="13"/>
      <c r="O559" s="13"/>
      <c r="P559" s="15"/>
    </row>
    <row r="560">
      <c r="A560" s="15" t="s">
        <v>808</v>
      </c>
      <c r="B560" s="16">
        <v>28.0</v>
      </c>
      <c r="C560" s="16">
        <v>13.0</v>
      </c>
      <c r="D560" s="17">
        <v>44.862193861536</v>
      </c>
      <c r="E560" s="17">
        <v>-93.334425438088</v>
      </c>
      <c r="F560" s="16" t="s">
        <v>41</v>
      </c>
      <c r="G560" s="16" t="s">
        <v>17</v>
      </c>
      <c r="H560" s="18" t="s">
        <v>809</v>
      </c>
      <c r="I560" s="19">
        <v>7083.0</v>
      </c>
      <c r="J560" s="21"/>
      <c r="K560" s="11" t="str">
        <f>IFERROR(__xludf.DUMMYFUNCTION("IF(AND(REGEXMATCH($H560,""50( ?['fF]([oO]{2})?[tT]?)?( ?[eE][rR]{2}[oO][rR])"")=FALSE,$H560&lt;&gt;"""",$I560&lt;&gt;""""),HYPERLINK(""https://www.munzee.com/m/""&amp;$H560&amp;""/""&amp;$I560&amp;""/map/?lat=""&amp;$D560&amp;""&amp;lon=""&amp;$E560&amp;""&amp;type=""&amp;$G560&amp;""&amp;name=""&amp;SUBSTITUTE($A560,""#"&amp;""",""%23""),$H560&amp;""/""&amp;$I560),IF($H560&lt;&gt;"""",IF(REGEXMATCH($H560,""50( ?['fF]([oO]{2})?[tT]?)?( ?[eE][rR]{2}[oO][rR])""),HYPERLINK(""https://www.munzee.com/map/?sandbox=1&amp;lat=""&amp;$D560&amp;""&amp;lon=""&amp;$E560&amp;""&amp;name=""&amp;SUBSTITUTE($A560,""#"",""%23""),""SANDBOX"""&amp;"),HYPERLINK(""https://www.munzee.com/m/""&amp;$H560&amp;""/deploys/0/type/""&amp;IFNA(VLOOKUP($G560,IMPORTRANGE(""https://docs.google.com/spreadsheets/d/1DliIGyDywdzxhd4svtjaewR0p9Y5UBTMNMQ2PcXsqss"",""type data!E2:F""),2,FALSE),$G560)&amp;""/"",$H560)),""""))"),"Debolicious 
/7083")</f>
        <v>Debolicious 
/7083</v>
      </c>
      <c r="L560" s="19" t="b">
        <v>1</v>
      </c>
      <c r="M560" s="12">
        <f t="shared" si="1"/>
        <v>1</v>
      </c>
      <c r="N560" s="13"/>
      <c r="O560" s="13"/>
      <c r="P560" s="29"/>
    </row>
    <row r="561">
      <c r="A561" s="15" t="s">
        <v>810</v>
      </c>
      <c r="B561" s="16">
        <v>28.0</v>
      </c>
      <c r="C561" s="16">
        <v>14.0</v>
      </c>
      <c r="D561" s="17">
        <v>44.862193861357</v>
      </c>
      <c r="E561" s="17">
        <v>-93.334222659673</v>
      </c>
      <c r="F561" s="16" t="s">
        <v>41</v>
      </c>
      <c r="G561" s="16" t="s">
        <v>17</v>
      </c>
      <c r="H561" s="18" t="s">
        <v>653</v>
      </c>
      <c r="I561" s="19">
        <v>8579.0</v>
      </c>
      <c r="J561" s="21"/>
      <c r="K561" s="11" t="str">
        <f>IFERROR(__xludf.DUMMYFUNCTION("IF(AND(REGEXMATCH($H561,""50( ?['fF]([oO]{2})?[tT]?)?( ?[eE][rR]{2}[oO][rR])"")=FALSE,$H561&lt;&gt;"""",$I561&lt;&gt;""""),HYPERLINK(""https://www.munzee.com/m/""&amp;$H561&amp;""/""&amp;$I561&amp;""/map/?lat=""&amp;$D561&amp;""&amp;lon=""&amp;$E561&amp;""&amp;type=""&amp;$G561&amp;""&amp;name=""&amp;SUBSTITUTE($A561,""#"&amp;""",""%23""),$H561&amp;""/""&amp;$I561),IF($H561&lt;&gt;"""",IF(REGEXMATCH($H561,""50( ?['fF]([oO]{2})?[tT]?)?( ?[eE][rR]{2}[oO][rR])""),HYPERLINK(""https://www.munzee.com/map/?sandbox=1&amp;lat=""&amp;$D561&amp;""&amp;lon=""&amp;$E561&amp;""&amp;name=""&amp;SUBSTITUTE($A561,""#"",""%23""),""SANDBOX"""&amp;"),HYPERLINK(""https://www.munzee.com/m/""&amp;$H561&amp;""/deploys/0/type/""&amp;IFNA(VLOOKUP($G561,IMPORTRANGE(""https://docs.google.com/spreadsheets/d/1DliIGyDywdzxhd4svtjaewR0p9Y5UBTMNMQ2PcXsqss"",""type data!E2:F""),2,FALSE),$G561)&amp;""/"",$H561)),""""))"),"chickenrun/8579")</f>
        <v>chickenrun/8579</v>
      </c>
      <c r="L561" s="19" t="b">
        <v>1</v>
      </c>
      <c r="M561" s="12">
        <f t="shared" si="1"/>
        <v>5</v>
      </c>
      <c r="N561" s="13"/>
      <c r="O561" s="13"/>
      <c r="P561" s="29"/>
    </row>
    <row r="562">
      <c r="A562" s="15" t="s">
        <v>811</v>
      </c>
      <c r="B562" s="16">
        <v>28.0</v>
      </c>
      <c r="C562" s="16">
        <v>15.0</v>
      </c>
      <c r="D562" s="17">
        <v>44.862193861178</v>
      </c>
      <c r="E562" s="17">
        <v>-93.334019881257</v>
      </c>
      <c r="F562" s="16" t="s">
        <v>41</v>
      </c>
      <c r="G562" s="16" t="s">
        <v>17</v>
      </c>
      <c r="H562" s="18" t="s">
        <v>14</v>
      </c>
      <c r="I562" s="19">
        <v>2619.0</v>
      </c>
      <c r="J562" s="39"/>
      <c r="K562" s="11" t="str">
        <f>IFERROR(__xludf.DUMMYFUNCTION("IF(AND(REGEXMATCH($H562,""50( ?['fF]([oO]{2})?[tT]?)?( ?[eE][rR]{2}[oO][rR])"")=FALSE,$H562&lt;&gt;"""",$I562&lt;&gt;""""),HYPERLINK(""https://www.munzee.com/m/""&amp;$H562&amp;""/""&amp;$I562&amp;""/map/?lat=""&amp;$D562&amp;""&amp;lon=""&amp;$E562&amp;""&amp;type=""&amp;$G562&amp;""&amp;name=""&amp;SUBSTITUTE($A562,""#"&amp;""",""%23""),$H562&amp;""/""&amp;$I562),IF($H562&lt;&gt;"""",IF(REGEXMATCH($H562,""50( ?['fF]([oO]{2})?[tT]?)?( ?[eE][rR]{2}[oO][rR])""),HYPERLINK(""https://www.munzee.com/map/?sandbox=1&amp;lat=""&amp;$D562&amp;""&amp;lon=""&amp;$E562&amp;""&amp;name=""&amp;SUBSTITUTE($A562,""#"",""%23""),""SANDBOX"""&amp;"),HYPERLINK(""https://www.munzee.com/m/""&amp;$H562&amp;""/deploys/0/type/""&amp;IFNA(VLOOKUP($G562,IMPORTRANGE(""https://docs.google.com/spreadsheets/d/1DliIGyDywdzxhd4svtjaewR0p9Y5UBTMNMQ2PcXsqss"",""type data!E2:F""),2,FALSE),$G562)&amp;""/"",$H562)),""""))"),"JABIE28/2619")</f>
        <v>JABIE28/2619</v>
      </c>
      <c r="L562" s="19" t="b">
        <v>1</v>
      </c>
      <c r="M562" s="12">
        <f t="shared" si="1"/>
        <v>85</v>
      </c>
      <c r="N562" s="13"/>
      <c r="O562" s="13"/>
      <c r="P562" s="29"/>
    </row>
    <row r="563">
      <c r="A563" s="15" t="s">
        <v>812</v>
      </c>
      <c r="B563" s="16">
        <v>28.0</v>
      </c>
      <c r="C563" s="16">
        <v>16.0</v>
      </c>
      <c r="D563" s="17">
        <v>44.862193860998</v>
      </c>
      <c r="E563" s="17">
        <v>-93.333817102842</v>
      </c>
      <c r="F563" s="16" t="s">
        <v>41</v>
      </c>
      <c r="G563" s="16" t="s">
        <v>17</v>
      </c>
      <c r="H563" s="18" t="s">
        <v>813</v>
      </c>
      <c r="I563" s="19">
        <v>3717.0</v>
      </c>
      <c r="J563" s="20"/>
      <c r="K563" s="11" t="str">
        <f>IFERROR(__xludf.DUMMYFUNCTION("IF(AND(REGEXMATCH($H563,""50( ?['fF]([oO]{2})?[tT]?)?( ?[eE][rR]{2}[oO][rR])"")=FALSE,$H563&lt;&gt;"""",$I563&lt;&gt;""""),HYPERLINK(""https://www.munzee.com/m/""&amp;$H563&amp;""/""&amp;$I563&amp;""/map/?lat=""&amp;$D563&amp;""&amp;lon=""&amp;$E563&amp;""&amp;type=""&amp;$G563&amp;""&amp;name=""&amp;SUBSTITUTE($A563,""#"&amp;""",""%23""),$H563&amp;""/""&amp;$I563),IF($H563&lt;&gt;"""",IF(REGEXMATCH($H563,""50( ?['fF]([oO]{2})?[tT]?)?( ?[eE][rR]{2}[oO][rR])""),HYPERLINK(""https://www.munzee.com/map/?sandbox=1&amp;lat=""&amp;$D563&amp;""&amp;lon=""&amp;$E563&amp;""&amp;name=""&amp;SUBSTITUTE($A563,""#"",""%23""),""SANDBOX"""&amp;"),HYPERLINK(""https://www.munzee.com/m/""&amp;$H563&amp;""/deploys/0/type/""&amp;IFNA(VLOOKUP($G563,IMPORTRANGE(""https://docs.google.com/spreadsheets/d/1DliIGyDywdzxhd4svtjaewR0p9Y5UBTMNMQ2PcXsqss"",""type data!E2:F""),2,FALSE),$G563)&amp;""/"",$H563)),""""))"),"TexasBandits/3717")</f>
        <v>TexasBandits/3717</v>
      </c>
      <c r="L563" s="19" t="b">
        <v>1</v>
      </c>
      <c r="M563" s="12">
        <f t="shared" si="1"/>
        <v>2</v>
      </c>
      <c r="N563" s="13"/>
      <c r="O563" s="13"/>
      <c r="P563" s="29"/>
    </row>
    <row r="564">
      <c r="A564" s="15" t="s">
        <v>814</v>
      </c>
      <c r="B564" s="16">
        <v>28.0</v>
      </c>
      <c r="C564" s="16">
        <v>17.0</v>
      </c>
      <c r="D564" s="17">
        <v>44.862193860819</v>
      </c>
      <c r="E564" s="17">
        <v>-93.333614324426</v>
      </c>
      <c r="F564" s="16" t="s">
        <v>41</v>
      </c>
      <c r="G564" s="16" t="s">
        <v>17</v>
      </c>
      <c r="H564" s="18" t="s">
        <v>815</v>
      </c>
      <c r="I564" s="19">
        <v>5025.0</v>
      </c>
      <c r="J564" s="21"/>
      <c r="K564" s="11" t="str">
        <f>IFERROR(__xludf.DUMMYFUNCTION("IF(AND(REGEXMATCH($H564,""50( ?['fF]([oO]{2})?[tT]?)?( ?[eE][rR]{2}[oO][rR])"")=FALSE,$H564&lt;&gt;"""",$I564&lt;&gt;""""),HYPERLINK(""https://www.munzee.com/m/""&amp;$H564&amp;""/""&amp;$I564&amp;""/map/?lat=""&amp;$D564&amp;""&amp;lon=""&amp;$E564&amp;""&amp;type=""&amp;$G564&amp;""&amp;name=""&amp;SUBSTITUTE($A564,""#"&amp;""",""%23""),$H564&amp;""/""&amp;$I564),IF($H564&lt;&gt;"""",IF(REGEXMATCH($H564,""50( ?['fF]([oO]{2})?[tT]?)?( ?[eE][rR]{2}[oO][rR])""),HYPERLINK(""https://www.munzee.com/map/?sandbox=1&amp;lat=""&amp;$D564&amp;""&amp;lon=""&amp;$E564&amp;""&amp;name=""&amp;SUBSTITUTE($A564,""#"",""%23""),""SANDBOX"""&amp;"),HYPERLINK(""https://www.munzee.com/m/""&amp;$H564&amp;""/deploys/0/type/""&amp;IFNA(VLOOKUP($G564,IMPORTRANGE(""https://docs.google.com/spreadsheets/d/1DliIGyDywdzxhd4svtjaewR0p9Y5UBTMNMQ2PcXsqss"",""type data!E2:F""),2,FALSE),$G564)&amp;""/"",$H564)),""""))"),"Gamsci/5025")</f>
        <v>Gamsci/5025</v>
      </c>
      <c r="L564" s="19" t="b">
        <v>1</v>
      </c>
      <c r="M564" s="12">
        <f t="shared" si="1"/>
        <v>7</v>
      </c>
      <c r="N564" s="13"/>
      <c r="O564" s="13"/>
      <c r="P564" s="29"/>
    </row>
    <row r="565">
      <c r="A565" s="15" t="s">
        <v>816</v>
      </c>
      <c r="B565" s="16">
        <v>28.0</v>
      </c>
      <c r="C565" s="16">
        <v>18.0</v>
      </c>
      <c r="D565" s="17">
        <v>44.862193860639</v>
      </c>
      <c r="E565" s="17">
        <v>-93.33341154601</v>
      </c>
      <c r="F565" s="16" t="s">
        <v>41</v>
      </c>
      <c r="G565" s="16" t="s">
        <v>17</v>
      </c>
      <c r="H565" s="18" t="s">
        <v>14</v>
      </c>
      <c r="I565" s="19">
        <v>2557.0</v>
      </c>
      <c r="J565" s="39"/>
      <c r="K565" s="11" t="str">
        <f>IFERROR(__xludf.DUMMYFUNCTION("IF(AND(REGEXMATCH($H565,""50( ?['fF]([oO]{2})?[tT]?)?( ?[eE][rR]{2}[oO][rR])"")=FALSE,$H565&lt;&gt;"""",$I565&lt;&gt;""""),HYPERLINK(""https://www.munzee.com/m/""&amp;$H565&amp;""/""&amp;$I565&amp;""/map/?lat=""&amp;$D565&amp;""&amp;lon=""&amp;$E565&amp;""&amp;type=""&amp;$G565&amp;""&amp;name=""&amp;SUBSTITUTE($A565,""#"&amp;""",""%23""),$H565&amp;""/""&amp;$I565),IF($H565&lt;&gt;"""",IF(REGEXMATCH($H565,""50( ?['fF]([oO]{2})?[tT]?)?( ?[eE][rR]{2}[oO][rR])""),HYPERLINK(""https://www.munzee.com/map/?sandbox=1&amp;lat=""&amp;$D565&amp;""&amp;lon=""&amp;$E565&amp;""&amp;name=""&amp;SUBSTITUTE($A565,""#"",""%23""),""SANDBOX"""&amp;"),HYPERLINK(""https://www.munzee.com/m/""&amp;$H565&amp;""/deploys/0/type/""&amp;IFNA(VLOOKUP($G565,IMPORTRANGE(""https://docs.google.com/spreadsheets/d/1DliIGyDywdzxhd4svtjaewR0p9Y5UBTMNMQ2PcXsqss"",""type data!E2:F""),2,FALSE),$G565)&amp;""/"",$H565)),""""))"),"JABIE28/2557")</f>
        <v>JABIE28/2557</v>
      </c>
      <c r="L565" s="19" t="b">
        <v>1</v>
      </c>
      <c r="M565" s="12">
        <f t="shared" si="1"/>
        <v>85</v>
      </c>
      <c r="N565" s="13"/>
      <c r="O565" s="13"/>
      <c r="P565" s="15"/>
    </row>
    <row r="566">
      <c r="A566" s="15" t="s">
        <v>817</v>
      </c>
      <c r="B566" s="16">
        <v>28.0</v>
      </c>
      <c r="C566" s="16">
        <v>19.0</v>
      </c>
      <c r="D566" s="17">
        <v>44.86219386046</v>
      </c>
      <c r="E566" s="17">
        <v>-93.333208767595</v>
      </c>
      <c r="F566" s="16" t="s">
        <v>41</v>
      </c>
      <c r="G566" s="16" t="s">
        <v>17</v>
      </c>
      <c r="H566" s="18" t="s">
        <v>783</v>
      </c>
      <c r="I566" s="19">
        <v>3533.0</v>
      </c>
      <c r="J566" s="21"/>
      <c r="K566" s="11" t="str">
        <f>IFERROR(__xludf.DUMMYFUNCTION("IF(AND(REGEXMATCH($H566,""50( ?['fF]([oO]{2})?[tT]?)?( ?[eE][rR]{2}[oO][rR])"")=FALSE,$H566&lt;&gt;"""",$I566&lt;&gt;""""),HYPERLINK(""https://www.munzee.com/m/""&amp;$H566&amp;""/""&amp;$I566&amp;""/map/?lat=""&amp;$D566&amp;""&amp;lon=""&amp;$E566&amp;""&amp;type=""&amp;$G566&amp;""&amp;name=""&amp;SUBSTITUTE($A566,""#"&amp;""",""%23""),$H566&amp;""/""&amp;$I566),IF($H566&lt;&gt;"""",IF(REGEXMATCH($H566,""50( ?['fF]([oO]{2})?[tT]?)?( ?[eE][rR]{2}[oO][rR])""),HYPERLINK(""https://www.munzee.com/map/?sandbox=1&amp;lat=""&amp;$D566&amp;""&amp;lon=""&amp;$E566&amp;""&amp;name=""&amp;SUBSTITUTE($A566,""#"",""%23""),""SANDBOX"""&amp;"),HYPERLINK(""https://www.munzee.com/m/""&amp;$H566&amp;""/deploys/0/type/""&amp;IFNA(VLOOKUP($G566,IMPORTRANGE(""https://docs.google.com/spreadsheets/d/1DliIGyDywdzxhd4svtjaewR0p9Y5UBTMNMQ2PcXsqss"",""type data!E2:F""),2,FALSE),$G566)&amp;""/"",$H566)),""""))"),"cachaholic/3533")</f>
        <v>cachaholic/3533</v>
      </c>
      <c r="L566" s="19" t="b">
        <v>1</v>
      </c>
      <c r="M566" s="12">
        <f t="shared" si="1"/>
        <v>2</v>
      </c>
      <c r="N566" s="13"/>
      <c r="O566" s="13"/>
      <c r="P566" s="29"/>
    </row>
    <row r="567">
      <c r="A567" s="15" t="s">
        <v>818</v>
      </c>
      <c r="B567" s="16">
        <v>28.0</v>
      </c>
      <c r="C567" s="16">
        <v>20.0</v>
      </c>
      <c r="D567" s="17">
        <v>44.86219386028</v>
      </c>
      <c r="E567" s="17">
        <v>-93.333005989179</v>
      </c>
      <c r="F567" s="16" t="s">
        <v>41</v>
      </c>
      <c r="G567" s="16" t="s">
        <v>17</v>
      </c>
      <c r="H567" s="18" t="s">
        <v>815</v>
      </c>
      <c r="I567" s="19">
        <v>5024.0</v>
      </c>
      <c r="J567" s="21"/>
      <c r="K567" s="11" t="str">
        <f>IFERROR(__xludf.DUMMYFUNCTION("IF(AND(REGEXMATCH($H567,""50( ?['fF]([oO]{2})?[tT]?)?( ?[eE][rR]{2}[oO][rR])"")=FALSE,$H567&lt;&gt;"""",$I567&lt;&gt;""""),HYPERLINK(""https://www.munzee.com/m/""&amp;$H567&amp;""/""&amp;$I567&amp;""/map/?lat=""&amp;$D567&amp;""&amp;lon=""&amp;$E567&amp;""&amp;type=""&amp;$G567&amp;""&amp;name=""&amp;SUBSTITUTE($A567,""#"&amp;""",""%23""),$H567&amp;""/""&amp;$I567),IF($H567&lt;&gt;"""",IF(REGEXMATCH($H567,""50( ?['fF]([oO]{2})?[tT]?)?( ?[eE][rR]{2}[oO][rR])""),HYPERLINK(""https://www.munzee.com/map/?sandbox=1&amp;lat=""&amp;$D567&amp;""&amp;lon=""&amp;$E567&amp;""&amp;name=""&amp;SUBSTITUTE($A567,""#"",""%23""),""SANDBOX"""&amp;"),HYPERLINK(""https://www.munzee.com/m/""&amp;$H567&amp;""/deploys/0/type/""&amp;IFNA(VLOOKUP($G567,IMPORTRANGE(""https://docs.google.com/spreadsheets/d/1DliIGyDywdzxhd4svtjaewR0p9Y5UBTMNMQ2PcXsqss"",""type data!E2:F""),2,FALSE),$G567)&amp;""/"",$H567)),""""))"),"Gamsci/5024")</f>
        <v>Gamsci/5024</v>
      </c>
      <c r="L567" s="19" t="b">
        <v>1</v>
      </c>
      <c r="M567" s="12">
        <f t="shared" si="1"/>
        <v>7</v>
      </c>
      <c r="N567" s="13"/>
      <c r="O567" s="13"/>
      <c r="P567" s="29"/>
    </row>
    <row r="568">
      <c r="A568" s="15" t="s">
        <v>819</v>
      </c>
      <c r="B568" s="16">
        <v>28.0</v>
      </c>
      <c r="C568" s="16">
        <v>21.0</v>
      </c>
      <c r="D568" s="17">
        <v>44.862193860101</v>
      </c>
      <c r="E568" s="17">
        <v>-93.332803210764</v>
      </c>
      <c r="F568" s="16" t="s">
        <v>16</v>
      </c>
      <c r="G568" s="16" t="s">
        <v>17</v>
      </c>
      <c r="H568" s="18" t="s">
        <v>14</v>
      </c>
      <c r="I568" s="19">
        <v>2529.0</v>
      </c>
      <c r="J568" s="20"/>
      <c r="K568" s="11" t="str">
        <f>IFERROR(__xludf.DUMMYFUNCTION("IF(AND(REGEXMATCH($H568,""50( ?['fF]([oO]{2})?[tT]?)?( ?[eE][rR]{2}[oO][rR])"")=FALSE,$H568&lt;&gt;"""",$I568&lt;&gt;""""),HYPERLINK(""https://www.munzee.com/m/""&amp;$H568&amp;""/""&amp;$I568&amp;""/map/?lat=""&amp;$D568&amp;""&amp;lon=""&amp;$E568&amp;""&amp;type=""&amp;$G568&amp;""&amp;name=""&amp;SUBSTITUTE($A568,""#"&amp;""",""%23""),$H568&amp;""/""&amp;$I568),IF($H568&lt;&gt;"""",IF(REGEXMATCH($H568,""50( ?['fF]([oO]{2})?[tT]?)?( ?[eE][rR]{2}[oO][rR])""),HYPERLINK(""https://www.munzee.com/map/?sandbox=1&amp;lat=""&amp;$D568&amp;""&amp;lon=""&amp;$E568&amp;""&amp;name=""&amp;SUBSTITUTE($A568,""#"",""%23""),""SANDBOX"""&amp;"),HYPERLINK(""https://www.munzee.com/m/""&amp;$H568&amp;""/deploys/0/type/""&amp;IFNA(VLOOKUP($G568,IMPORTRANGE(""https://docs.google.com/spreadsheets/d/1DliIGyDywdzxhd4svtjaewR0p9Y5UBTMNMQ2PcXsqss"",""type data!E2:F""),2,FALSE),$G568)&amp;""/"",$H568)),""""))"),"JABIE28/2529")</f>
        <v>JABIE28/2529</v>
      </c>
      <c r="L568" s="19" t="b">
        <v>1</v>
      </c>
      <c r="M568" s="12">
        <f t="shared" si="1"/>
        <v>85</v>
      </c>
      <c r="N568" s="13"/>
      <c r="O568" s="13"/>
      <c r="P568" s="29"/>
    </row>
    <row r="569">
      <c r="A569" s="15" t="s">
        <v>820</v>
      </c>
      <c r="B569" s="16">
        <v>28.0</v>
      </c>
      <c r="C569" s="16">
        <v>22.0</v>
      </c>
      <c r="D569" s="17">
        <v>44.862193859922</v>
      </c>
      <c r="E569" s="17">
        <v>-93.332600432348</v>
      </c>
      <c r="F569" s="16" t="s">
        <v>16</v>
      </c>
      <c r="G569" s="16" t="s">
        <v>17</v>
      </c>
      <c r="H569" s="18" t="s">
        <v>821</v>
      </c>
      <c r="I569" s="19">
        <v>2214.0</v>
      </c>
      <c r="J569" s="20"/>
      <c r="K569" s="11" t="str">
        <f>IFERROR(__xludf.DUMMYFUNCTION("IF(AND(REGEXMATCH($H569,""50( ?['fF]([oO]{2})?[tT]?)?( ?[eE][rR]{2}[oO][rR])"")=FALSE,$H569&lt;&gt;"""",$I569&lt;&gt;""""),HYPERLINK(""https://www.munzee.com/m/""&amp;$H569&amp;""/""&amp;$I569&amp;""/map/?lat=""&amp;$D569&amp;""&amp;lon=""&amp;$E569&amp;""&amp;type=""&amp;$G569&amp;""&amp;name=""&amp;SUBSTITUTE($A569,""#"&amp;""",""%23""),$H569&amp;""/""&amp;$I569),IF($H569&lt;&gt;"""",IF(REGEXMATCH($H569,""50( ?['fF]([oO]{2})?[tT]?)?( ?[eE][rR]{2}[oO][rR])""),HYPERLINK(""https://www.munzee.com/map/?sandbox=1&amp;lat=""&amp;$D569&amp;""&amp;lon=""&amp;$E569&amp;""&amp;name=""&amp;SUBSTITUTE($A569,""#"",""%23""),""SANDBOX"""&amp;"),HYPERLINK(""https://www.munzee.com/m/""&amp;$H569&amp;""/deploys/0/type/""&amp;IFNA(VLOOKUP($G569,IMPORTRANGE(""https://docs.google.com/spreadsheets/d/1DliIGyDywdzxhd4svtjaewR0p9Y5UBTMNMQ2PcXsqss"",""type data!E2:F""),2,FALSE),$G569)&amp;""/"",$H569)),""""))"),"LilCrab/2214")</f>
        <v>LilCrab/2214</v>
      </c>
      <c r="L569" s="19" t="b">
        <v>1</v>
      </c>
      <c r="M569" s="12">
        <f t="shared" si="1"/>
        <v>1</v>
      </c>
      <c r="N569" s="13"/>
      <c r="O569" s="13"/>
      <c r="P569" s="29"/>
    </row>
    <row r="570">
      <c r="A570" s="15" t="s">
        <v>822</v>
      </c>
      <c r="B570" s="16">
        <v>28.0</v>
      </c>
      <c r="C570" s="16">
        <v>23.0</v>
      </c>
      <c r="D570" s="17">
        <v>44.862193859742</v>
      </c>
      <c r="E570" s="17">
        <v>-93.332397653933</v>
      </c>
      <c r="F570" s="16" t="s">
        <v>16</v>
      </c>
      <c r="G570" s="16" t="s">
        <v>17</v>
      </c>
      <c r="H570" s="18" t="s">
        <v>823</v>
      </c>
      <c r="I570" s="19">
        <v>4127.0</v>
      </c>
      <c r="J570" s="20"/>
      <c r="K570" s="11" t="str">
        <f>IFERROR(__xludf.DUMMYFUNCTION("IF(AND(REGEXMATCH($H570,""50( ?['fF]([oO]{2})?[tT]?)?( ?[eE][rR]{2}[oO][rR])"")=FALSE,$H570&lt;&gt;"""",$I570&lt;&gt;""""),HYPERLINK(""https://www.munzee.com/m/""&amp;$H570&amp;""/""&amp;$I570&amp;""/map/?lat=""&amp;$D570&amp;""&amp;lon=""&amp;$E570&amp;""&amp;type=""&amp;$G570&amp;""&amp;name=""&amp;SUBSTITUTE($A570,""#"&amp;""",""%23""),$H570&amp;""/""&amp;$I570),IF($H570&lt;&gt;"""",IF(REGEXMATCH($H570,""50( ?['fF]([oO]{2})?[tT]?)?( ?[eE][rR]{2}[oO][rR])""),HYPERLINK(""https://www.munzee.com/map/?sandbox=1&amp;lat=""&amp;$D570&amp;""&amp;lon=""&amp;$E570&amp;""&amp;name=""&amp;SUBSTITUTE($A570,""#"",""%23""),""SANDBOX"""&amp;"),HYPERLINK(""https://www.munzee.com/m/""&amp;$H570&amp;""/deploys/0/type/""&amp;IFNA(VLOOKUP($G570,IMPORTRANGE(""https://docs.google.com/spreadsheets/d/1DliIGyDywdzxhd4svtjaewR0p9Y5UBTMNMQ2PcXsqss"",""type data!E2:F""),2,FALSE),$G570)&amp;""/"",$H570)),""""))"),"Calvertcachers/4127")</f>
        <v>Calvertcachers/4127</v>
      </c>
      <c r="L570" s="19" t="b">
        <v>1</v>
      </c>
      <c r="M570" s="12">
        <f t="shared" si="1"/>
        <v>1</v>
      </c>
      <c r="N570" s="13"/>
      <c r="O570" s="13"/>
      <c r="P570" s="15"/>
    </row>
    <row r="571">
      <c r="A571" s="15" t="s">
        <v>824</v>
      </c>
      <c r="B571" s="16">
        <v>29.0</v>
      </c>
      <c r="C571" s="16">
        <v>6.0</v>
      </c>
      <c r="D571" s="17">
        <v>44.862050132347</v>
      </c>
      <c r="E571" s="17">
        <v>-93.335844897628</v>
      </c>
      <c r="F571" s="16" t="s">
        <v>16</v>
      </c>
      <c r="G571" s="16" t="s">
        <v>17</v>
      </c>
      <c r="H571" s="18" t="s">
        <v>825</v>
      </c>
      <c r="I571" s="19">
        <v>8675.0</v>
      </c>
      <c r="J571" s="21"/>
      <c r="K571" s="11" t="str">
        <f>IFERROR(__xludf.DUMMYFUNCTION("IF(AND(REGEXMATCH($H571,""50( ?['fF]([oO]{2})?[tT]?)?( ?[eE][rR]{2}[oO][rR])"")=FALSE,$H571&lt;&gt;"""",$I571&lt;&gt;""""),HYPERLINK(""https://www.munzee.com/m/""&amp;$H571&amp;""/""&amp;$I571&amp;""/map/?lat=""&amp;$D571&amp;""&amp;lon=""&amp;$E571&amp;""&amp;type=""&amp;$G571&amp;""&amp;name=""&amp;SUBSTITUTE($A571,""#"&amp;""",""%23""),$H571&amp;""/""&amp;$I571),IF($H571&lt;&gt;"""",IF(REGEXMATCH($H571,""50( ?['fF]([oO]{2})?[tT]?)?( ?[eE][rR]{2}[oO][rR])""),HYPERLINK(""https://www.munzee.com/map/?sandbox=1&amp;lat=""&amp;$D571&amp;""&amp;lon=""&amp;$E571&amp;""&amp;name=""&amp;SUBSTITUTE($A571,""#"",""%23""),""SANDBOX"""&amp;"),HYPERLINK(""https://www.munzee.com/m/""&amp;$H571&amp;""/deploys/0/type/""&amp;IFNA(VLOOKUP($G571,IMPORTRANGE(""https://docs.google.com/spreadsheets/d/1DliIGyDywdzxhd4svtjaewR0p9Y5UBTMNMQ2PcXsqss"",""type data!E2:F""),2,FALSE),$G571)&amp;""/"",$H571)),""""))"),"wemissmo/8675")</f>
        <v>wemissmo/8675</v>
      </c>
      <c r="L571" s="19" t="b">
        <v>1</v>
      </c>
      <c r="M571" s="12">
        <f t="shared" si="1"/>
        <v>3</v>
      </c>
      <c r="N571" s="13"/>
      <c r="O571" s="13"/>
      <c r="P571" s="15"/>
    </row>
    <row r="572">
      <c r="A572" s="15" t="s">
        <v>826</v>
      </c>
      <c r="B572" s="16">
        <v>29.0</v>
      </c>
      <c r="C572" s="16">
        <v>7.0</v>
      </c>
      <c r="D572" s="17">
        <v>44.862050132167</v>
      </c>
      <c r="E572" s="17">
        <v>-93.335642119719</v>
      </c>
      <c r="F572" s="16" t="s">
        <v>510</v>
      </c>
      <c r="G572" s="16" t="s">
        <v>17</v>
      </c>
      <c r="H572" s="18" t="s">
        <v>511</v>
      </c>
      <c r="I572" s="19">
        <v>15384.0</v>
      </c>
      <c r="J572" s="20"/>
      <c r="K572" s="11" t="str">
        <f>IFERROR(__xludf.DUMMYFUNCTION("IF(AND(REGEXMATCH($H572,""50( ?['fF]([oO]{2})?[tT]?)?( ?[eE][rR]{2}[oO][rR])"")=FALSE,$H572&lt;&gt;"""",$I572&lt;&gt;""""),HYPERLINK(""https://www.munzee.com/m/""&amp;$H572&amp;""/""&amp;$I572&amp;""/map/?lat=""&amp;$D572&amp;""&amp;lon=""&amp;$E572&amp;""&amp;type=""&amp;$G572&amp;""&amp;name=""&amp;SUBSTITUTE($A572,""#"&amp;""",""%23""),$H572&amp;""/""&amp;$I572),IF($H572&lt;&gt;"""",IF(REGEXMATCH($H572,""50( ?['fF]([oO]{2})?[tT]?)?( ?[eE][rR]{2}[oO][rR])""),HYPERLINK(""https://www.munzee.com/map/?sandbox=1&amp;lat=""&amp;$D572&amp;""&amp;lon=""&amp;$E572&amp;""&amp;name=""&amp;SUBSTITUTE($A572,""#"",""%23""),""SANDBOX"""&amp;"),HYPERLINK(""https://www.munzee.com/m/""&amp;$H572&amp;""/deploys/0/type/""&amp;IFNA(VLOOKUP($G572,IMPORTRANGE(""https://docs.google.com/spreadsheets/d/1DliIGyDywdzxhd4svtjaewR0p9Y5UBTMNMQ2PcXsqss"",""type data!E2:F""),2,FALSE),$G572)&amp;""/"",$H572)),""""))"),"c-bn/15384")</f>
        <v>c-bn/15384</v>
      </c>
      <c r="L572" s="19" t="b">
        <v>1</v>
      </c>
      <c r="M572" s="12">
        <f t="shared" si="1"/>
        <v>5</v>
      </c>
      <c r="N572" s="13"/>
      <c r="O572" s="13"/>
      <c r="P572" s="29"/>
    </row>
    <row r="573">
      <c r="A573" s="15" t="s">
        <v>827</v>
      </c>
      <c r="B573" s="16">
        <v>29.0</v>
      </c>
      <c r="C573" s="16">
        <v>8.0</v>
      </c>
      <c r="D573" s="17">
        <v>44.862050131988</v>
      </c>
      <c r="E573" s="17">
        <v>-93.335439341809</v>
      </c>
      <c r="F573" s="16" t="s">
        <v>41</v>
      </c>
      <c r="G573" s="16" t="s">
        <v>17</v>
      </c>
      <c r="H573" s="18" t="s">
        <v>815</v>
      </c>
      <c r="I573" s="19">
        <v>5009.0</v>
      </c>
      <c r="J573" s="21"/>
      <c r="K573" s="11" t="str">
        <f>IFERROR(__xludf.DUMMYFUNCTION("IF(AND(REGEXMATCH($H573,""50( ?['fF]([oO]{2})?[tT]?)?( ?[eE][rR]{2}[oO][rR])"")=FALSE,$H573&lt;&gt;"""",$I573&lt;&gt;""""),HYPERLINK(""https://www.munzee.com/m/""&amp;$H573&amp;""/""&amp;$I573&amp;""/map/?lat=""&amp;$D573&amp;""&amp;lon=""&amp;$E573&amp;""&amp;type=""&amp;$G573&amp;""&amp;name=""&amp;SUBSTITUTE($A573,""#"&amp;""",""%23""),$H573&amp;""/""&amp;$I573),IF($H573&lt;&gt;"""",IF(REGEXMATCH($H573,""50( ?['fF]([oO]{2})?[tT]?)?( ?[eE][rR]{2}[oO][rR])""),HYPERLINK(""https://www.munzee.com/map/?sandbox=1&amp;lat=""&amp;$D573&amp;""&amp;lon=""&amp;$E573&amp;""&amp;name=""&amp;SUBSTITUTE($A573,""#"",""%23""),""SANDBOX"""&amp;"),HYPERLINK(""https://www.munzee.com/m/""&amp;$H573&amp;""/deploys/0/type/""&amp;IFNA(VLOOKUP($G573,IMPORTRANGE(""https://docs.google.com/spreadsheets/d/1DliIGyDywdzxhd4svtjaewR0p9Y5UBTMNMQ2PcXsqss"",""type data!E2:F""),2,FALSE),$G573)&amp;""/"",$H573)),""""))"),"Gamsci/5009")</f>
        <v>Gamsci/5009</v>
      </c>
      <c r="L573" s="19" t="b">
        <v>1</v>
      </c>
      <c r="M573" s="12">
        <f t="shared" si="1"/>
        <v>7</v>
      </c>
      <c r="N573" s="13"/>
      <c r="O573" s="13"/>
      <c r="P573" s="29"/>
    </row>
    <row r="574">
      <c r="A574" s="15" t="s">
        <v>828</v>
      </c>
      <c r="B574" s="16">
        <v>29.0</v>
      </c>
      <c r="C574" s="16">
        <v>9.0</v>
      </c>
      <c r="D574" s="17">
        <v>44.862050131809</v>
      </c>
      <c r="E574" s="17">
        <v>-93.3352365639</v>
      </c>
      <c r="F574" s="16" t="s">
        <v>41</v>
      </c>
      <c r="G574" s="16" t="s">
        <v>17</v>
      </c>
      <c r="H574" s="18" t="s">
        <v>99</v>
      </c>
      <c r="I574" s="19">
        <v>1417.0</v>
      </c>
      <c r="J574" s="21"/>
      <c r="K574" s="11" t="str">
        <f>IFERROR(__xludf.DUMMYFUNCTION("IF(AND(REGEXMATCH($H574,""50( ?['fF]([oO]{2})?[tT]?)?( ?[eE][rR]{2}[oO][rR])"")=FALSE,$H574&lt;&gt;"""",$I574&lt;&gt;""""),HYPERLINK(""https://www.munzee.com/m/""&amp;$H574&amp;""/""&amp;$I574&amp;""/map/?lat=""&amp;$D574&amp;""&amp;lon=""&amp;$E574&amp;""&amp;type=""&amp;$G574&amp;""&amp;name=""&amp;SUBSTITUTE($A574,""#"&amp;""",""%23""),$H574&amp;""/""&amp;$I574),IF($H574&lt;&gt;"""",IF(REGEXMATCH($H574,""50( ?['fF]([oO]{2})?[tT]?)?( ?[eE][rR]{2}[oO][rR])""),HYPERLINK(""https://www.munzee.com/map/?sandbox=1&amp;lat=""&amp;$D574&amp;""&amp;lon=""&amp;$E574&amp;""&amp;name=""&amp;SUBSTITUTE($A574,""#"",""%23""),""SANDBOX"""&amp;"),HYPERLINK(""https://www.munzee.com/m/""&amp;$H574&amp;""/deploys/0/type/""&amp;IFNA(VLOOKUP($G574,IMPORTRANGE(""https://docs.google.com/spreadsheets/d/1DliIGyDywdzxhd4svtjaewR0p9Y5UBTMNMQ2PcXsqss"",""type data!E2:F""),2,FALSE),$G574)&amp;""/"",$H574)),""""))"),"jsamundson/1417")</f>
        <v>jsamundson/1417</v>
      </c>
      <c r="L574" s="19" t="b">
        <v>1</v>
      </c>
      <c r="M574" s="12">
        <f t="shared" si="1"/>
        <v>20</v>
      </c>
      <c r="N574" s="13"/>
      <c r="O574" s="13"/>
      <c r="P574" s="29"/>
    </row>
    <row r="575">
      <c r="A575" s="15" t="s">
        <v>829</v>
      </c>
      <c r="B575" s="16">
        <v>29.0</v>
      </c>
      <c r="C575" s="16">
        <v>10.0</v>
      </c>
      <c r="D575" s="17">
        <v>44.862050131629</v>
      </c>
      <c r="E575" s="17">
        <v>-93.335033785991</v>
      </c>
      <c r="F575" s="16" t="s">
        <v>41</v>
      </c>
      <c r="G575" s="16" t="s">
        <v>17</v>
      </c>
      <c r="H575" s="18" t="s">
        <v>95</v>
      </c>
      <c r="I575" s="19">
        <v>1698.0</v>
      </c>
      <c r="J575" s="21"/>
      <c r="K575" s="11" t="str">
        <f>IFERROR(__xludf.DUMMYFUNCTION("IF(AND(REGEXMATCH($H575,""50( ?['fF]([oO]{2})?[tT]?)?( ?[eE][rR]{2}[oO][rR])"")=FALSE,$H575&lt;&gt;"""",$I575&lt;&gt;""""),HYPERLINK(""https://www.munzee.com/m/""&amp;$H575&amp;""/""&amp;$I575&amp;""/map/?lat=""&amp;$D575&amp;""&amp;lon=""&amp;$E575&amp;""&amp;type=""&amp;$G575&amp;""&amp;name=""&amp;SUBSTITUTE($A575,""#"&amp;""",""%23""),$H575&amp;""/""&amp;$I575),IF($H575&lt;&gt;"""",IF(REGEXMATCH($H575,""50( ?['fF]([oO]{2})?[tT]?)?( ?[eE][rR]{2}[oO][rR])""),HYPERLINK(""https://www.munzee.com/map/?sandbox=1&amp;lat=""&amp;$D575&amp;""&amp;lon=""&amp;$E575&amp;""&amp;name=""&amp;SUBSTITUTE($A575,""#"",""%23""),""SANDBOX"""&amp;"),HYPERLINK(""https://www.munzee.com/m/""&amp;$H575&amp;""/deploys/0/type/""&amp;IFNA(VLOOKUP($G575,IMPORTRANGE(""https://docs.google.com/spreadsheets/d/1DliIGyDywdzxhd4svtjaewR0p9Y5UBTMNMQ2PcXsqss"",""type data!E2:F""),2,FALSE),$G575)&amp;""/"",$H575)),""""))"),"munzeepa/1698")</f>
        <v>munzeepa/1698</v>
      </c>
      <c r="L575" s="19" t="b">
        <v>1</v>
      </c>
      <c r="M575" s="12">
        <f t="shared" si="1"/>
        <v>20</v>
      </c>
      <c r="N575" s="13"/>
      <c r="O575" s="13"/>
      <c r="P575" s="29"/>
    </row>
    <row r="576">
      <c r="A576" s="15" t="s">
        <v>830</v>
      </c>
      <c r="B576" s="16">
        <v>29.0</v>
      </c>
      <c r="C576" s="16">
        <v>11.0</v>
      </c>
      <c r="D576" s="17">
        <v>44.86205013145</v>
      </c>
      <c r="E576" s="17">
        <v>-93.334831008081</v>
      </c>
      <c r="F576" s="16" t="s">
        <v>41</v>
      </c>
      <c r="G576" s="16" t="s">
        <v>17</v>
      </c>
      <c r="H576" s="18" t="s">
        <v>815</v>
      </c>
      <c r="I576" s="19">
        <v>5008.0</v>
      </c>
      <c r="J576" s="21"/>
      <c r="K576" s="11" t="str">
        <f>IFERROR(__xludf.DUMMYFUNCTION("IF(AND(REGEXMATCH($H576,""50( ?['fF]([oO]{2})?[tT]?)?( ?[eE][rR]{2}[oO][rR])"")=FALSE,$H576&lt;&gt;"""",$I576&lt;&gt;""""),HYPERLINK(""https://www.munzee.com/m/""&amp;$H576&amp;""/""&amp;$I576&amp;""/map/?lat=""&amp;$D576&amp;""&amp;lon=""&amp;$E576&amp;""&amp;type=""&amp;$G576&amp;""&amp;name=""&amp;SUBSTITUTE($A576,""#"&amp;""",""%23""),$H576&amp;""/""&amp;$I576),IF($H576&lt;&gt;"""",IF(REGEXMATCH($H576,""50( ?['fF]([oO]{2})?[tT]?)?( ?[eE][rR]{2}[oO][rR])""),HYPERLINK(""https://www.munzee.com/map/?sandbox=1&amp;lat=""&amp;$D576&amp;""&amp;lon=""&amp;$E576&amp;""&amp;name=""&amp;SUBSTITUTE($A576,""#"",""%23""),""SANDBOX"""&amp;"),HYPERLINK(""https://www.munzee.com/m/""&amp;$H576&amp;""/deploys/0/type/""&amp;IFNA(VLOOKUP($G576,IMPORTRANGE(""https://docs.google.com/spreadsheets/d/1DliIGyDywdzxhd4svtjaewR0p9Y5UBTMNMQ2PcXsqss"",""type data!E2:F""),2,FALSE),$G576)&amp;""/"",$H576)),""""))"),"Gamsci/5008")</f>
        <v>Gamsci/5008</v>
      </c>
      <c r="L576" s="19" t="b">
        <v>1</v>
      </c>
      <c r="M576" s="12">
        <f t="shared" si="1"/>
        <v>7</v>
      </c>
      <c r="N576" s="13"/>
      <c r="O576" s="13"/>
      <c r="P576" s="29"/>
    </row>
    <row r="577">
      <c r="A577" s="15" t="s">
        <v>831</v>
      </c>
      <c r="B577" s="16">
        <v>29.0</v>
      </c>
      <c r="C577" s="16">
        <v>12.0</v>
      </c>
      <c r="D577" s="17">
        <v>44.86205013127</v>
      </c>
      <c r="E577" s="17">
        <v>-93.334628230172</v>
      </c>
      <c r="F577" s="16" t="s">
        <v>41</v>
      </c>
      <c r="G577" s="16" t="s">
        <v>17</v>
      </c>
      <c r="H577" s="18" t="s">
        <v>649</v>
      </c>
      <c r="I577" s="19">
        <v>1605.0</v>
      </c>
      <c r="J577" s="20"/>
      <c r="K577" s="11" t="str">
        <f>IFERROR(__xludf.DUMMYFUNCTION("IF(AND(REGEXMATCH($H577,""50( ?['fF]([oO]{2})?[tT]?)?( ?[eE][rR]{2}[oO][rR])"")=FALSE,$H577&lt;&gt;"""",$I577&lt;&gt;""""),HYPERLINK(""https://www.munzee.com/m/""&amp;$H577&amp;""/""&amp;$I577&amp;""/map/?lat=""&amp;$D577&amp;""&amp;lon=""&amp;$E577&amp;""&amp;type=""&amp;$G577&amp;""&amp;name=""&amp;SUBSTITUTE($A577,""#"&amp;""",""%23""),$H577&amp;""/""&amp;$I577),IF($H577&lt;&gt;"""",IF(REGEXMATCH($H577,""50( ?['fF]([oO]{2})?[tT]?)?( ?[eE][rR]{2}[oO][rR])""),HYPERLINK(""https://www.munzee.com/map/?sandbox=1&amp;lat=""&amp;$D577&amp;""&amp;lon=""&amp;$E577&amp;""&amp;name=""&amp;SUBSTITUTE($A577,""#"",""%23""),""SANDBOX"""&amp;"),HYPERLINK(""https://www.munzee.com/m/""&amp;$H577&amp;""/deploys/0/type/""&amp;IFNA(VLOOKUP($G577,IMPORTRANGE(""https://docs.google.com/spreadsheets/d/1DliIGyDywdzxhd4svtjaewR0p9Y5UBTMNMQ2PcXsqss"",""type data!E2:F""),2,FALSE),$G577)&amp;""/"",$H577)),""""))"),"oriole/1605")</f>
        <v>oriole/1605</v>
      </c>
      <c r="L577" s="19" t="b">
        <v>1</v>
      </c>
      <c r="M577" s="12">
        <f t="shared" si="1"/>
        <v>4</v>
      </c>
      <c r="N577" s="13"/>
      <c r="O577" s="13"/>
      <c r="P577" s="15"/>
    </row>
    <row r="578">
      <c r="A578" s="15" t="s">
        <v>832</v>
      </c>
      <c r="B578" s="16">
        <v>29.0</v>
      </c>
      <c r="C578" s="16">
        <v>13.0</v>
      </c>
      <c r="D578" s="17">
        <v>44.862050131091</v>
      </c>
      <c r="E578" s="17">
        <v>-93.334425452263</v>
      </c>
      <c r="F578" s="16" t="s">
        <v>41</v>
      </c>
      <c r="G578" s="16" t="s">
        <v>17</v>
      </c>
      <c r="H578" s="18" t="s">
        <v>192</v>
      </c>
      <c r="I578" s="19">
        <v>6560.0</v>
      </c>
      <c r="J578" s="39"/>
      <c r="K578" s="11" t="str">
        <f>IFERROR(__xludf.DUMMYFUNCTION("IF(AND(REGEXMATCH($H578,""50( ?['fF]([oO]{2})?[tT]?)?( ?[eE][rR]{2}[oO][rR])"")=FALSE,$H578&lt;&gt;"""",$I578&lt;&gt;""""),HYPERLINK(""https://www.munzee.com/m/""&amp;$H578&amp;""/""&amp;$I578&amp;""/map/?lat=""&amp;$D578&amp;""&amp;lon=""&amp;$E578&amp;""&amp;type=""&amp;$G578&amp;""&amp;name=""&amp;SUBSTITUTE($A578,""#"&amp;""",""%23""),$H578&amp;""/""&amp;$I578),IF($H578&lt;&gt;"""",IF(REGEXMATCH($H578,""50( ?['fF]([oO]{2})?[tT]?)?( ?[eE][rR]{2}[oO][rR])""),HYPERLINK(""https://www.munzee.com/map/?sandbox=1&amp;lat=""&amp;$D578&amp;""&amp;lon=""&amp;$E578&amp;""&amp;name=""&amp;SUBSTITUTE($A578,""#"",""%23""),""SANDBOX"""&amp;"),HYPERLINK(""https://www.munzee.com/m/""&amp;$H578&amp;""/deploys/0/type/""&amp;IFNA(VLOOKUP($G578,IMPORTRANGE(""https://docs.google.com/spreadsheets/d/1DliIGyDywdzxhd4svtjaewR0p9Y5UBTMNMQ2PcXsqss"",""type data!E2:F""),2,FALSE),$G578)&amp;""/"",$H578)),""""))"),"nyisutter/6560")</f>
        <v>nyisutter/6560</v>
      </c>
      <c r="L578" s="19" t="b">
        <v>1</v>
      </c>
      <c r="M578" s="12">
        <f t="shared" si="1"/>
        <v>2</v>
      </c>
      <c r="N578" s="13"/>
      <c r="O578" s="13"/>
      <c r="P578" s="29"/>
    </row>
    <row r="579">
      <c r="A579" s="15" t="s">
        <v>833</v>
      </c>
      <c r="B579" s="16">
        <v>29.0</v>
      </c>
      <c r="C579" s="16">
        <v>14.0</v>
      </c>
      <c r="D579" s="17">
        <v>44.862050130912</v>
      </c>
      <c r="E579" s="17">
        <v>-93.334222674353</v>
      </c>
      <c r="F579" s="16" t="s">
        <v>41</v>
      </c>
      <c r="G579" s="16" t="s">
        <v>17</v>
      </c>
      <c r="H579" s="18" t="s">
        <v>815</v>
      </c>
      <c r="I579" s="19">
        <v>5007.0</v>
      </c>
      <c r="J579" s="21"/>
      <c r="K579" s="11" t="str">
        <f>IFERROR(__xludf.DUMMYFUNCTION("IF(AND(REGEXMATCH($H579,""50( ?['fF]([oO]{2})?[tT]?)?( ?[eE][rR]{2}[oO][rR])"")=FALSE,$H579&lt;&gt;"""",$I579&lt;&gt;""""),HYPERLINK(""https://www.munzee.com/m/""&amp;$H579&amp;""/""&amp;$I579&amp;""/map/?lat=""&amp;$D579&amp;""&amp;lon=""&amp;$E579&amp;""&amp;type=""&amp;$G579&amp;""&amp;name=""&amp;SUBSTITUTE($A579,""#"&amp;""",""%23""),$H579&amp;""/""&amp;$I579),IF($H579&lt;&gt;"""",IF(REGEXMATCH($H579,""50( ?['fF]([oO]{2})?[tT]?)?( ?[eE][rR]{2}[oO][rR])""),HYPERLINK(""https://www.munzee.com/map/?sandbox=1&amp;lat=""&amp;$D579&amp;""&amp;lon=""&amp;$E579&amp;""&amp;name=""&amp;SUBSTITUTE($A579,""#"",""%23""),""SANDBOX"""&amp;"),HYPERLINK(""https://www.munzee.com/m/""&amp;$H579&amp;""/deploys/0/type/""&amp;IFNA(VLOOKUP($G579,IMPORTRANGE(""https://docs.google.com/spreadsheets/d/1DliIGyDywdzxhd4svtjaewR0p9Y5UBTMNMQ2PcXsqss"",""type data!E2:F""),2,FALSE),$G579)&amp;""/"",$H579)),""""))"),"Gamsci/5007")</f>
        <v>Gamsci/5007</v>
      </c>
      <c r="L579" s="19" t="b">
        <v>1</v>
      </c>
      <c r="M579" s="12">
        <f t="shared" si="1"/>
        <v>7</v>
      </c>
      <c r="N579" s="13"/>
      <c r="O579" s="13"/>
      <c r="P579" s="29"/>
    </row>
    <row r="580">
      <c r="A580" s="15" t="s">
        <v>834</v>
      </c>
      <c r="B580" s="16">
        <v>29.0</v>
      </c>
      <c r="C580" s="16">
        <v>15.0</v>
      </c>
      <c r="D580" s="17">
        <v>44.862050130732</v>
      </c>
      <c r="E580" s="17">
        <v>-93.334019896444</v>
      </c>
      <c r="F580" s="16" t="s">
        <v>41</v>
      </c>
      <c r="G580" s="16" t="s">
        <v>17</v>
      </c>
      <c r="H580" s="18" t="s">
        <v>651</v>
      </c>
      <c r="I580" s="19">
        <v>15498.0</v>
      </c>
      <c r="J580" s="20"/>
      <c r="K580" s="11" t="str">
        <f>IFERROR(__xludf.DUMMYFUNCTION("IF(AND(REGEXMATCH($H580,""50( ?['fF]([oO]{2})?[tT]?)?( ?[eE][rR]{2}[oO][rR])"")=FALSE,$H580&lt;&gt;"""",$I580&lt;&gt;""""),HYPERLINK(""https://www.munzee.com/m/""&amp;$H580&amp;""/""&amp;$I580&amp;""/map/?lat=""&amp;$D580&amp;""&amp;lon=""&amp;$E580&amp;""&amp;type=""&amp;$G580&amp;""&amp;name=""&amp;SUBSTITUTE($A580,""#"&amp;""",""%23""),$H580&amp;""/""&amp;$I580),IF($H580&lt;&gt;"""",IF(REGEXMATCH($H580,""50( ?['fF]([oO]{2})?[tT]?)?( ?[eE][rR]{2}[oO][rR])""),HYPERLINK(""https://www.munzee.com/map/?sandbox=1&amp;lat=""&amp;$D580&amp;""&amp;lon=""&amp;$E580&amp;""&amp;name=""&amp;SUBSTITUTE($A580,""#"",""%23""),""SANDBOX"""&amp;"),HYPERLINK(""https://www.munzee.com/m/""&amp;$H580&amp;""/deploys/0/type/""&amp;IFNA(VLOOKUP($G580,IMPORTRANGE(""https://docs.google.com/spreadsheets/d/1DliIGyDywdzxhd4svtjaewR0p9Y5UBTMNMQ2PcXsqss"",""type data!E2:F""),2,FALSE),$G580)&amp;""/"",$H580)),""""))"),"jacksparrow/15498")</f>
        <v>jacksparrow/15498</v>
      </c>
      <c r="L580" s="19" t="b">
        <v>1</v>
      </c>
      <c r="M580" s="12">
        <f t="shared" si="1"/>
        <v>2</v>
      </c>
      <c r="N580" s="13"/>
      <c r="O580" s="13"/>
      <c r="P580" s="29"/>
    </row>
    <row r="581">
      <c r="A581" s="15" t="s">
        <v>835</v>
      </c>
      <c r="B581" s="16">
        <v>29.0</v>
      </c>
      <c r="C581" s="16">
        <v>16.0</v>
      </c>
      <c r="D581" s="17">
        <v>44.862050130553</v>
      </c>
      <c r="E581" s="17">
        <v>-93.333817118535</v>
      </c>
      <c r="F581" s="16" t="s">
        <v>41</v>
      </c>
      <c r="G581" s="16" t="s">
        <v>17</v>
      </c>
      <c r="H581" s="18" t="s">
        <v>836</v>
      </c>
      <c r="I581" s="19">
        <v>943.0</v>
      </c>
      <c r="J581" s="20"/>
      <c r="K581" s="11" t="str">
        <f>IFERROR(__xludf.DUMMYFUNCTION("IF(AND(REGEXMATCH($H581,""50( ?['fF]([oO]{2})?[tT]?)?( ?[eE][rR]{2}[oO][rR])"")=FALSE,$H581&lt;&gt;"""",$I581&lt;&gt;""""),HYPERLINK(""https://www.munzee.com/m/""&amp;$H581&amp;""/""&amp;$I581&amp;""/map/?lat=""&amp;$D581&amp;""&amp;lon=""&amp;$E581&amp;""&amp;type=""&amp;$G581&amp;""&amp;name=""&amp;SUBSTITUTE($A581,""#"&amp;""",""%23""),$H581&amp;""/""&amp;$I581),IF($H581&lt;&gt;"""",IF(REGEXMATCH($H581,""50( ?['fF]([oO]{2})?[tT]?)?( ?[eE][rR]{2}[oO][rR])""),HYPERLINK(""https://www.munzee.com/map/?sandbox=1&amp;lat=""&amp;$D581&amp;""&amp;lon=""&amp;$E581&amp;""&amp;name=""&amp;SUBSTITUTE($A581,""#"",""%23""),""SANDBOX"""&amp;"),HYPERLINK(""https://www.munzee.com/m/""&amp;$H581&amp;""/deploys/0/type/""&amp;IFNA(VLOOKUP($G581,IMPORTRANGE(""https://docs.google.com/spreadsheets/d/1DliIGyDywdzxhd4svtjaewR0p9Y5UBTMNMQ2PcXsqss"",""type data!E2:F""),2,FALSE),$G581)&amp;""/"",$H581)),""""))"),"MrsBandit/943")</f>
        <v>MrsBandit/943</v>
      </c>
      <c r="L581" s="19" t="b">
        <v>1</v>
      </c>
      <c r="M581" s="12">
        <f t="shared" si="1"/>
        <v>1</v>
      </c>
      <c r="N581" s="13"/>
      <c r="O581" s="13"/>
      <c r="P581" s="15"/>
    </row>
    <row r="582">
      <c r="A582" s="15" t="s">
        <v>837</v>
      </c>
      <c r="B582" s="16">
        <v>29.0</v>
      </c>
      <c r="C582" s="16">
        <v>17.0</v>
      </c>
      <c r="D582" s="17">
        <v>44.862050130373</v>
      </c>
      <c r="E582" s="17">
        <v>-93.333614340626</v>
      </c>
      <c r="F582" s="16" t="s">
        <v>41</v>
      </c>
      <c r="G582" s="16" t="s">
        <v>17</v>
      </c>
      <c r="H582" s="18" t="s">
        <v>838</v>
      </c>
      <c r="I582" s="19">
        <v>6734.0</v>
      </c>
      <c r="J582" s="21"/>
      <c r="K582" s="11" t="str">
        <f>IFERROR(__xludf.DUMMYFUNCTION("IF(AND(REGEXMATCH($H582,""50( ?['fF]([oO]{2})?[tT]?)?( ?[eE][rR]{2}[oO][rR])"")=FALSE,$H582&lt;&gt;"""",$I582&lt;&gt;""""),HYPERLINK(""https://www.munzee.com/m/""&amp;$H582&amp;""/""&amp;$I582&amp;""/map/?lat=""&amp;$D582&amp;""&amp;lon=""&amp;$E582&amp;""&amp;type=""&amp;$G582&amp;""&amp;name=""&amp;SUBSTITUTE($A582,""#"&amp;""",""%23""),$H582&amp;""/""&amp;$I582),IF($H582&lt;&gt;"""",IF(REGEXMATCH($H582,""50( ?['fF]([oO]{2})?[tT]?)?( ?[eE][rR]{2}[oO][rR])""),HYPERLINK(""https://www.munzee.com/map/?sandbox=1&amp;lat=""&amp;$D582&amp;""&amp;lon=""&amp;$E582&amp;""&amp;name=""&amp;SUBSTITUTE($A582,""#"",""%23""),""SANDBOX"""&amp;"),HYPERLINK(""https://www.munzee.com/m/""&amp;$H582&amp;""/deploys/0/type/""&amp;IFNA(VLOOKUP($G582,IMPORTRANGE(""https://docs.google.com/spreadsheets/d/1DliIGyDywdzxhd4svtjaewR0p9Y5UBTMNMQ2PcXsqss"",""type data!E2:F""),2,FALSE),$G582)&amp;""/"",$H582)),""""))"),"Munzeeprof /6734")</f>
        <v>Munzeeprof /6734</v>
      </c>
      <c r="L582" s="19" t="b">
        <v>1</v>
      </c>
      <c r="M582" s="12">
        <f t="shared" si="1"/>
        <v>5</v>
      </c>
      <c r="N582" s="13"/>
      <c r="O582" s="13"/>
      <c r="P582" s="29"/>
    </row>
    <row r="583">
      <c r="A583" s="15" t="s">
        <v>839</v>
      </c>
      <c r="B583" s="16">
        <v>29.0</v>
      </c>
      <c r="C583" s="16">
        <v>18.0</v>
      </c>
      <c r="D583" s="17">
        <v>44.862050130194</v>
      </c>
      <c r="E583" s="17">
        <v>-93.333411562716</v>
      </c>
      <c r="F583" s="16" t="s">
        <v>41</v>
      </c>
      <c r="G583" s="16" t="s">
        <v>17</v>
      </c>
      <c r="H583" s="18" t="s">
        <v>840</v>
      </c>
      <c r="I583" s="19">
        <v>3761.0</v>
      </c>
      <c r="J583" s="27"/>
      <c r="K583" s="11" t="str">
        <f>IFERROR(__xludf.DUMMYFUNCTION("IF(AND(REGEXMATCH($H583,""50( ?['fF]([oO]{2})?[tT]?)?( ?[eE][rR]{2}[oO][rR])"")=FALSE,$H583&lt;&gt;"""",$I583&lt;&gt;""""),HYPERLINK(""https://www.munzee.com/m/""&amp;$H583&amp;""/""&amp;$I583&amp;""/map/?lat=""&amp;$D583&amp;""&amp;lon=""&amp;$E583&amp;""&amp;type=""&amp;$G583&amp;""&amp;name=""&amp;SUBSTITUTE($A583,""#"&amp;""",""%23""),$H583&amp;""/""&amp;$I583),IF($H583&lt;&gt;"""",IF(REGEXMATCH($H583,""50( ?['fF]([oO]{2})?[tT]?)?( ?[eE][rR]{2}[oO][rR])""),HYPERLINK(""https://www.munzee.com/map/?sandbox=1&amp;lat=""&amp;$D583&amp;""&amp;lon=""&amp;$E583&amp;""&amp;name=""&amp;SUBSTITUTE($A583,""#"",""%23""),""SANDBOX"""&amp;"),HYPERLINK(""https://www.munzee.com/m/""&amp;$H583&amp;""/deploys/0/type/""&amp;IFNA(VLOOKUP($G583,IMPORTRANGE(""https://docs.google.com/spreadsheets/d/1DliIGyDywdzxhd4svtjaewR0p9Y5UBTMNMQ2PcXsqss"",""type data!E2:F""),2,FALSE),$G583)&amp;""/"",$H583)),""""))"),"webeon2it/3761")</f>
        <v>webeon2it/3761</v>
      </c>
      <c r="L583" s="19" t="b">
        <v>1</v>
      </c>
      <c r="M583" s="12">
        <f t="shared" si="1"/>
        <v>1</v>
      </c>
      <c r="N583" s="13"/>
      <c r="O583" s="13"/>
      <c r="P583" s="15"/>
    </row>
    <row r="584">
      <c r="A584" s="15" t="s">
        <v>841</v>
      </c>
      <c r="B584" s="16">
        <v>29.0</v>
      </c>
      <c r="C584" s="16">
        <v>19.0</v>
      </c>
      <c r="D584" s="17">
        <v>44.862050130014</v>
      </c>
      <c r="E584" s="17">
        <v>-93.333208784807</v>
      </c>
      <c r="F584" s="16" t="s">
        <v>41</v>
      </c>
      <c r="G584" s="16" t="s">
        <v>17</v>
      </c>
      <c r="H584" s="18" t="s">
        <v>653</v>
      </c>
      <c r="I584" s="19">
        <v>8578.0</v>
      </c>
      <c r="J584" s="21"/>
      <c r="K584" s="11" t="str">
        <f>IFERROR(__xludf.DUMMYFUNCTION("IF(AND(REGEXMATCH($H584,""50( ?['fF]([oO]{2})?[tT]?)?( ?[eE][rR]{2}[oO][rR])"")=FALSE,$H584&lt;&gt;"""",$I584&lt;&gt;""""),HYPERLINK(""https://www.munzee.com/m/""&amp;$H584&amp;""/""&amp;$I584&amp;""/map/?lat=""&amp;$D584&amp;""&amp;lon=""&amp;$E584&amp;""&amp;type=""&amp;$G584&amp;""&amp;name=""&amp;SUBSTITUTE($A584,""#"&amp;""",""%23""),$H584&amp;""/""&amp;$I584),IF($H584&lt;&gt;"""",IF(REGEXMATCH($H584,""50( ?['fF]([oO]{2})?[tT]?)?( ?[eE][rR]{2}[oO][rR])""),HYPERLINK(""https://www.munzee.com/map/?sandbox=1&amp;lat=""&amp;$D584&amp;""&amp;lon=""&amp;$E584&amp;""&amp;name=""&amp;SUBSTITUTE($A584,""#"",""%23""),""SANDBOX"""&amp;"),HYPERLINK(""https://www.munzee.com/m/""&amp;$H584&amp;""/deploys/0/type/""&amp;IFNA(VLOOKUP($G584,IMPORTRANGE(""https://docs.google.com/spreadsheets/d/1DliIGyDywdzxhd4svtjaewR0p9Y5UBTMNMQ2PcXsqss"",""type data!E2:F""),2,FALSE),$G584)&amp;""/"",$H584)),""""))"),"chickenrun/8578")</f>
        <v>chickenrun/8578</v>
      </c>
      <c r="L584" s="19" t="b">
        <v>1</v>
      </c>
      <c r="M584" s="12">
        <f t="shared" si="1"/>
        <v>5</v>
      </c>
      <c r="N584" s="13"/>
      <c r="O584" s="13"/>
      <c r="P584" s="29"/>
    </row>
    <row r="585">
      <c r="A585" s="15" t="s">
        <v>842</v>
      </c>
      <c r="B585" s="16">
        <v>29.0</v>
      </c>
      <c r="C585" s="16">
        <v>20.0</v>
      </c>
      <c r="D585" s="17">
        <v>44.862050129835</v>
      </c>
      <c r="E585" s="17">
        <v>-93.333006006898</v>
      </c>
      <c r="F585" s="16" t="s">
        <v>41</v>
      </c>
      <c r="G585" s="16" t="s">
        <v>17</v>
      </c>
      <c r="H585" s="18" t="s">
        <v>838</v>
      </c>
      <c r="I585" s="19">
        <v>6735.0</v>
      </c>
      <c r="J585" s="21"/>
      <c r="K585" s="11" t="str">
        <f>IFERROR(__xludf.DUMMYFUNCTION("IF(AND(REGEXMATCH($H585,""50( ?['fF]([oO]{2})?[tT]?)?( ?[eE][rR]{2}[oO][rR])"")=FALSE,$H585&lt;&gt;"""",$I585&lt;&gt;""""),HYPERLINK(""https://www.munzee.com/m/""&amp;$H585&amp;""/""&amp;$I585&amp;""/map/?lat=""&amp;$D585&amp;""&amp;lon=""&amp;$E585&amp;""&amp;type=""&amp;$G585&amp;""&amp;name=""&amp;SUBSTITUTE($A585,""#"&amp;""",""%23""),$H585&amp;""/""&amp;$I585),IF($H585&lt;&gt;"""",IF(REGEXMATCH($H585,""50( ?['fF]([oO]{2})?[tT]?)?( ?[eE][rR]{2}[oO][rR])""),HYPERLINK(""https://www.munzee.com/map/?sandbox=1&amp;lat=""&amp;$D585&amp;""&amp;lon=""&amp;$E585&amp;""&amp;name=""&amp;SUBSTITUTE($A585,""#"",""%23""),""SANDBOX"""&amp;"),HYPERLINK(""https://www.munzee.com/m/""&amp;$H585&amp;""/deploys/0/type/""&amp;IFNA(VLOOKUP($G585,IMPORTRANGE(""https://docs.google.com/spreadsheets/d/1DliIGyDywdzxhd4svtjaewR0p9Y5UBTMNMQ2PcXsqss"",""type data!E2:F""),2,FALSE),$G585)&amp;""/"",$H585)),""""))"),"Munzeeprof /6735")</f>
        <v>Munzeeprof /6735</v>
      </c>
      <c r="L585" s="19" t="b">
        <v>1</v>
      </c>
      <c r="M585" s="12">
        <f t="shared" si="1"/>
        <v>5</v>
      </c>
      <c r="N585" s="13"/>
      <c r="O585" s="13"/>
      <c r="P585" s="29"/>
    </row>
    <row r="586">
      <c r="A586" s="15" t="s">
        <v>843</v>
      </c>
      <c r="B586" s="16">
        <v>29.0</v>
      </c>
      <c r="C586" s="16">
        <v>21.0</v>
      </c>
      <c r="D586" s="17">
        <v>44.862050129656</v>
      </c>
      <c r="E586" s="17">
        <v>-93.332803228988</v>
      </c>
      <c r="F586" s="16" t="s">
        <v>41</v>
      </c>
      <c r="G586" s="16" t="s">
        <v>17</v>
      </c>
      <c r="H586" s="18" t="s">
        <v>844</v>
      </c>
      <c r="I586" s="19">
        <v>3449.0</v>
      </c>
      <c r="J586" s="39"/>
      <c r="K586" s="11" t="str">
        <f>IFERROR(__xludf.DUMMYFUNCTION("IF(AND(REGEXMATCH($H586,""50( ?['fF]([oO]{2})?[tT]?)?( ?[eE][rR]{2}[oO][rR])"")=FALSE,$H586&lt;&gt;"""",$I586&lt;&gt;""""),HYPERLINK(""https://www.munzee.com/m/""&amp;$H586&amp;""/""&amp;$I586&amp;""/map/?lat=""&amp;$D586&amp;""&amp;lon=""&amp;$E586&amp;""&amp;type=""&amp;$G586&amp;""&amp;name=""&amp;SUBSTITUTE($A586,""#"&amp;""",""%23""),$H586&amp;""/""&amp;$I586),IF($H586&lt;&gt;"""",IF(REGEXMATCH($H586,""50( ?['fF]([oO]{2})?[tT]?)?( ?[eE][rR]{2}[oO][rR])""),HYPERLINK(""https://www.munzee.com/map/?sandbox=1&amp;lat=""&amp;$D586&amp;""&amp;lon=""&amp;$E586&amp;""&amp;name=""&amp;SUBSTITUTE($A586,""#"",""%23""),""SANDBOX"""&amp;"),HYPERLINK(""https://www.munzee.com/m/""&amp;$H586&amp;""/deploys/0/type/""&amp;IFNA(VLOOKUP($G586,IMPORTRANGE(""https://docs.google.com/spreadsheets/d/1DliIGyDywdzxhd4svtjaewR0p9Y5UBTMNMQ2PcXsqss"",""type data!E2:F""),2,FALSE),$G586)&amp;""/"",$H586)),""""))"),"fscheerhoorn/3449")</f>
        <v>fscheerhoorn/3449</v>
      </c>
      <c r="L586" s="19" t="b">
        <v>1</v>
      </c>
      <c r="M586" s="12">
        <f t="shared" si="1"/>
        <v>1</v>
      </c>
      <c r="N586" s="13"/>
      <c r="O586" s="13"/>
      <c r="P586" s="29"/>
    </row>
    <row r="587">
      <c r="A587" s="15" t="s">
        <v>845</v>
      </c>
      <c r="B587" s="16">
        <v>29.0</v>
      </c>
      <c r="C587" s="16">
        <v>22.0</v>
      </c>
      <c r="D587" s="17">
        <v>44.862050129476</v>
      </c>
      <c r="E587" s="17">
        <v>-93.332600451079</v>
      </c>
      <c r="F587" s="16" t="s">
        <v>510</v>
      </c>
      <c r="G587" s="16" t="s">
        <v>17</v>
      </c>
      <c r="H587" s="18" t="s">
        <v>722</v>
      </c>
      <c r="I587" s="19">
        <v>4120.0</v>
      </c>
      <c r="J587" s="21"/>
      <c r="K587" s="11" t="str">
        <f>IFERROR(__xludf.DUMMYFUNCTION("IF(AND(REGEXMATCH($H587,""50( ?['fF]([oO]{2})?[tT]?)?( ?[eE][rR]{2}[oO][rR])"")=FALSE,$H587&lt;&gt;"""",$I587&lt;&gt;""""),HYPERLINK(""https://www.munzee.com/m/""&amp;$H587&amp;""/""&amp;$I587&amp;""/map/?lat=""&amp;$D587&amp;""&amp;lon=""&amp;$E587&amp;""&amp;type=""&amp;$G587&amp;""&amp;name=""&amp;SUBSTITUTE($A587,""#"&amp;""",""%23""),$H587&amp;""/""&amp;$I587),IF($H587&lt;&gt;"""",IF(REGEXMATCH($H587,""50( ?['fF]([oO]{2})?[tT]?)?( ?[eE][rR]{2}[oO][rR])""),HYPERLINK(""https://www.munzee.com/map/?sandbox=1&amp;lat=""&amp;$D587&amp;""&amp;lon=""&amp;$E587&amp;""&amp;name=""&amp;SUBSTITUTE($A587,""#"",""%23""),""SANDBOX"""&amp;"),HYPERLINK(""https://www.munzee.com/m/""&amp;$H587&amp;""/deploys/0/type/""&amp;IFNA(VLOOKUP($G587,IMPORTRANGE(""https://docs.google.com/spreadsheets/d/1DliIGyDywdzxhd4svtjaewR0p9Y5UBTMNMQ2PcXsqss"",""type data!E2:F""),2,FALSE),$G587)&amp;""/"",$H587)),""""))"),"djsmith/4120")</f>
        <v>djsmith/4120</v>
      </c>
      <c r="L587" s="19" t="b">
        <v>1</v>
      </c>
      <c r="M587" s="12">
        <f t="shared" si="1"/>
        <v>2</v>
      </c>
      <c r="N587" s="13"/>
      <c r="O587" s="13"/>
      <c r="P587" s="29"/>
    </row>
    <row r="588">
      <c r="A588" s="15" t="s">
        <v>846</v>
      </c>
      <c r="B588" s="16">
        <v>29.0</v>
      </c>
      <c r="C588" s="16">
        <v>23.0</v>
      </c>
      <c r="D588" s="17">
        <v>44.862050129297</v>
      </c>
      <c r="E588" s="17">
        <v>-93.33239767317</v>
      </c>
      <c r="F588" s="16" t="s">
        <v>16</v>
      </c>
      <c r="G588" s="16" t="s">
        <v>17</v>
      </c>
      <c r="H588" s="18" t="s">
        <v>847</v>
      </c>
      <c r="I588" s="19">
        <v>6371.0</v>
      </c>
      <c r="J588" s="21"/>
      <c r="K588" s="11" t="str">
        <f>IFERROR(__xludf.DUMMYFUNCTION("IF(AND(REGEXMATCH($H588,""50( ?['fF]([oO]{2})?[tT]?)?( ?[eE][rR]{2}[oO][rR])"")=FALSE,$H588&lt;&gt;"""",$I588&lt;&gt;""""),HYPERLINK(""https://www.munzee.com/m/""&amp;$H588&amp;""/""&amp;$I588&amp;""/map/?lat=""&amp;$D588&amp;""&amp;lon=""&amp;$E588&amp;""&amp;type=""&amp;$G588&amp;""&amp;name=""&amp;SUBSTITUTE($A588,""#"&amp;""",""%23""),$H588&amp;""/""&amp;$I588),IF($H588&lt;&gt;"""",IF(REGEXMATCH($H588,""50( ?['fF]([oO]{2})?[tT]?)?( ?[eE][rR]{2}[oO][rR])""),HYPERLINK(""https://www.munzee.com/map/?sandbox=1&amp;lat=""&amp;$D588&amp;""&amp;lon=""&amp;$E588&amp;""&amp;name=""&amp;SUBSTITUTE($A588,""#"",""%23""),""SANDBOX"""&amp;"),HYPERLINK(""https://www.munzee.com/m/""&amp;$H588&amp;""/deploys/0/type/""&amp;IFNA(VLOOKUP($G588,IMPORTRANGE(""https://docs.google.com/spreadsheets/d/1DliIGyDywdzxhd4svtjaewR0p9Y5UBTMNMQ2PcXsqss"",""type data!E2:F""),2,FALSE),$G588)&amp;""/"",$H588)),""""))"),"Bitux/6371")</f>
        <v>Bitux/6371</v>
      </c>
      <c r="L588" s="19" t="b">
        <v>1</v>
      </c>
      <c r="M588" s="12">
        <f t="shared" si="1"/>
        <v>1</v>
      </c>
      <c r="N588" s="13"/>
      <c r="O588" s="13"/>
      <c r="P588" s="29"/>
    </row>
    <row r="589">
      <c r="A589" s="15" t="s">
        <v>848</v>
      </c>
      <c r="B589" s="16">
        <v>30.0</v>
      </c>
      <c r="C589" s="16">
        <v>4.0</v>
      </c>
      <c r="D589" s="17">
        <v>44.86190640226</v>
      </c>
      <c r="E589" s="17">
        <v>-93.336250463064</v>
      </c>
      <c r="F589" s="16" t="s">
        <v>16</v>
      </c>
      <c r="G589" s="16" t="s">
        <v>17</v>
      </c>
      <c r="H589" s="18" t="s">
        <v>379</v>
      </c>
      <c r="I589" s="19">
        <v>1148.0</v>
      </c>
      <c r="J589" s="21"/>
      <c r="K589" s="11" t="str">
        <f>IFERROR(__xludf.DUMMYFUNCTION("IF(AND(REGEXMATCH($H589,""50( ?['fF]([oO]{2})?[tT]?)?( ?[eE][rR]{2}[oO][rR])"")=FALSE,$H589&lt;&gt;"""",$I589&lt;&gt;""""),HYPERLINK(""https://www.munzee.com/m/""&amp;$H589&amp;""/""&amp;$I589&amp;""/map/?lat=""&amp;$D589&amp;""&amp;lon=""&amp;$E589&amp;""&amp;type=""&amp;$G589&amp;""&amp;name=""&amp;SUBSTITUTE($A589,""#"&amp;""",""%23""),$H589&amp;""/""&amp;$I589),IF($H589&lt;&gt;"""",IF(REGEXMATCH($H589,""50( ?['fF]([oO]{2})?[tT]?)?( ?[eE][rR]{2}[oO][rR])""),HYPERLINK(""https://www.munzee.com/map/?sandbox=1&amp;lat=""&amp;$D589&amp;""&amp;lon=""&amp;$E589&amp;""&amp;name=""&amp;SUBSTITUTE($A589,""#"",""%23""),""SANDBOX"""&amp;"),HYPERLINK(""https://www.munzee.com/m/""&amp;$H589&amp;""/deploys/0/type/""&amp;IFNA(VLOOKUP($G589,IMPORTRANGE(""https://docs.google.com/spreadsheets/d/1DliIGyDywdzxhd4svtjaewR0p9Y5UBTMNMQ2PcXsqss"",""type data!E2:F""),2,FALSE),$G589)&amp;""/"",$H589)),""""))"),"rohdej/1148")</f>
        <v>rohdej/1148</v>
      </c>
      <c r="L589" s="19" t="b">
        <v>1</v>
      </c>
      <c r="M589" s="12">
        <f t="shared" si="1"/>
        <v>10</v>
      </c>
      <c r="N589" s="13"/>
      <c r="O589" s="13"/>
      <c r="P589" s="29"/>
    </row>
    <row r="590">
      <c r="A590" s="15" t="s">
        <v>849</v>
      </c>
      <c r="B590" s="16">
        <v>30.0</v>
      </c>
      <c r="C590" s="16">
        <v>5.0</v>
      </c>
      <c r="D590" s="17">
        <v>44.861906402081</v>
      </c>
      <c r="E590" s="17">
        <v>-93.336047685661</v>
      </c>
      <c r="F590" s="16" t="s">
        <v>16</v>
      </c>
      <c r="G590" s="16" t="s">
        <v>17</v>
      </c>
      <c r="H590" s="18" t="s">
        <v>494</v>
      </c>
      <c r="I590" s="19">
        <v>718.0</v>
      </c>
      <c r="J590" s="21"/>
      <c r="K590" s="11" t="str">
        <f>IFERROR(__xludf.DUMMYFUNCTION("IF(AND(REGEXMATCH($H590,""50( ?['fF]([oO]{2})?[tT]?)?( ?[eE][rR]{2}[oO][rR])"")=FALSE,$H590&lt;&gt;"""",$I590&lt;&gt;""""),HYPERLINK(""https://www.munzee.com/m/""&amp;$H590&amp;""/""&amp;$I590&amp;""/map/?lat=""&amp;$D590&amp;""&amp;lon=""&amp;$E590&amp;""&amp;type=""&amp;$G590&amp;""&amp;name=""&amp;SUBSTITUTE($A590,""#"&amp;""",""%23""),$H590&amp;""/""&amp;$I590),IF($H590&lt;&gt;"""",IF(REGEXMATCH($H590,""50( ?['fF]([oO]{2})?[tT]?)?( ?[eE][rR]{2}[oO][rR])""),HYPERLINK(""https://www.munzee.com/map/?sandbox=1&amp;lat=""&amp;$D590&amp;""&amp;lon=""&amp;$E590&amp;""&amp;name=""&amp;SUBSTITUTE($A590,""#"",""%23""),""SANDBOX"""&amp;"),HYPERLINK(""https://www.munzee.com/m/""&amp;$H590&amp;""/deploys/0/type/""&amp;IFNA(VLOOKUP($G590,IMPORTRANGE(""https://docs.google.com/spreadsheets/d/1DliIGyDywdzxhd4svtjaewR0p9Y5UBTMNMQ2PcXsqss"",""type data!E2:F""),2,FALSE),$G590)&amp;""/"",$H590)),""""))"),"BarbMitchell/718")</f>
        <v>BarbMitchell/718</v>
      </c>
      <c r="L590" s="19" t="b">
        <v>1</v>
      </c>
      <c r="M590" s="12">
        <f t="shared" si="1"/>
        <v>10</v>
      </c>
      <c r="N590" s="13"/>
      <c r="O590" s="13"/>
      <c r="P590" s="29"/>
    </row>
    <row r="591">
      <c r="A591" s="15" t="s">
        <v>850</v>
      </c>
      <c r="B591" s="16">
        <v>30.0</v>
      </c>
      <c r="C591" s="16">
        <v>6.0</v>
      </c>
      <c r="D591" s="17">
        <v>44.861906401901</v>
      </c>
      <c r="E591" s="17">
        <v>-93.335844908258</v>
      </c>
      <c r="F591" s="16" t="s">
        <v>16</v>
      </c>
      <c r="G591" s="16" t="s">
        <v>17</v>
      </c>
      <c r="H591" s="18" t="s">
        <v>448</v>
      </c>
      <c r="I591" s="19">
        <v>1251.0</v>
      </c>
      <c r="J591" s="21"/>
      <c r="K591" s="11" t="str">
        <f>IFERROR(__xludf.DUMMYFUNCTION("IF(AND(REGEXMATCH($H591,""50( ?['fF]([oO]{2})?[tT]?)?( ?[eE][rR]{2}[oO][rR])"")=FALSE,$H591&lt;&gt;"""",$I591&lt;&gt;""""),HYPERLINK(""https://www.munzee.com/m/""&amp;$H591&amp;""/""&amp;$I591&amp;""/map/?lat=""&amp;$D591&amp;""&amp;lon=""&amp;$E591&amp;""&amp;type=""&amp;$G591&amp;""&amp;name=""&amp;SUBSTITUTE($A591,""#"&amp;""",""%23""),$H591&amp;""/""&amp;$I591),IF($H591&lt;&gt;"""",IF(REGEXMATCH($H591,""50( ?['fF]([oO]{2})?[tT]?)?( ?[eE][rR]{2}[oO][rR])""),HYPERLINK(""https://www.munzee.com/map/?sandbox=1&amp;lat=""&amp;$D591&amp;""&amp;lon=""&amp;$E591&amp;""&amp;name=""&amp;SUBSTITUTE($A591,""#"",""%23""),""SANDBOX"""&amp;"),HYPERLINK(""https://www.munzee.com/m/""&amp;$H591&amp;""/deploys/0/type/""&amp;IFNA(VLOOKUP($G591,IMPORTRANGE(""https://docs.google.com/spreadsheets/d/1DliIGyDywdzxhd4svtjaewR0p9Y5UBTMNMQ2PcXsqss"",""type data!E2:F""),2,FALSE),$G591)&amp;""/"",$H591)),""""))"),"Aphrael/1251")</f>
        <v>Aphrael/1251</v>
      </c>
      <c r="L591" s="19" t="b">
        <v>1</v>
      </c>
      <c r="M591" s="12">
        <f t="shared" si="1"/>
        <v>2</v>
      </c>
      <c r="N591" s="13"/>
      <c r="O591" s="13"/>
      <c r="P591" s="29"/>
    </row>
    <row r="592">
      <c r="A592" s="15" t="s">
        <v>851</v>
      </c>
      <c r="B592" s="16">
        <v>30.0</v>
      </c>
      <c r="C592" s="16">
        <v>7.0</v>
      </c>
      <c r="D592" s="17">
        <v>44.861906401722</v>
      </c>
      <c r="E592" s="17">
        <v>-93.335642130855</v>
      </c>
      <c r="F592" s="16" t="s">
        <v>510</v>
      </c>
      <c r="G592" s="16" t="s">
        <v>17</v>
      </c>
      <c r="H592" s="18" t="s">
        <v>246</v>
      </c>
      <c r="I592" s="19">
        <v>88.0</v>
      </c>
      <c r="J592" s="21"/>
      <c r="K592" s="11" t="str">
        <f>IFERROR(__xludf.DUMMYFUNCTION("IF(AND(REGEXMATCH($H592,""50( ?['fF]([oO]{2})?[tT]?)?( ?[eE][rR]{2}[oO][rR])"")=FALSE,$H592&lt;&gt;"""",$I592&lt;&gt;""""),HYPERLINK(""https://www.munzee.com/m/""&amp;$H592&amp;""/""&amp;$I592&amp;""/map/?lat=""&amp;$D592&amp;""&amp;lon=""&amp;$E592&amp;""&amp;type=""&amp;$G592&amp;""&amp;name=""&amp;SUBSTITUTE($A592,""#"&amp;""",""%23""),$H592&amp;""/""&amp;$I592),IF($H592&lt;&gt;"""",IF(REGEXMATCH($H592,""50( ?['fF]([oO]{2})?[tT]?)?( ?[eE][rR]{2}[oO][rR])""),HYPERLINK(""https://www.munzee.com/map/?sandbox=1&amp;lat=""&amp;$D592&amp;""&amp;lon=""&amp;$E592&amp;""&amp;name=""&amp;SUBSTITUTE($A592,""#"",""%23""),""SANDBOX"""&amp;"),HYPERLINK(""https://www.munzee.com/m/""&amp;$H592&amp;""/deploys/0/type/""&amp;IFNA(VLOOKUP($G592,IMPORTRANGE(""https://docs.google.com/spreadsheets/d/1DliIGyDywdzxhd4svtjaewR0p9Y5UBTMNMQ2PcXsqss"",""type data!E2:F""),2,FALSE),$G592)&amp;""/"",$H592)),""""))"),"qwerty2582/88")</f>
        <v>qwerty2582/88</v>
      </c>
      <c r="L592" s="19" t="b">
        <v>1</v>
      </c>
      <c r="M592" s="12">
        <f t="shared" si="1"/>
        <v>12</v>
      </c>
      <c r="N592" s="13"/>
      <c r="O592" s="13"/>
      <c r="P592" s="29"/>
    </row>
    <row r="593">
      <c r="A593" s="15" t="s">
        <v>852</v>
      </c>
      <c r="B593" s="16">
        <v>30.0</v>
      </c>
      <c r="C593" s="16">
        <v>8.0</v>
      </c>
      <c r="D593" s="17">
        <v>44.861906401543</v>
      </c>
      <c r="E593" s="17">
        <v>-93.335439353452</v>
      </c>
      <c r="F593" s="16" t="s">
        <v>510</v>
      </c>
      <c r="G593" s="16" t="s">
        <v>17</v>
      </c>
      <c r="H593" s="18" t="s">
        <v>324</v>
      </c>
      <c r="I593" s="19">
        <v>844.0</v>
      </c>
      <c r="J593" s="21"/>
      <c r="K593" s="11" t="str">
        <f>IFERROR(__xludf.DUMMYFUNCTION("IF(AND(REGEXMATCH($H593,""50( ?['fF]([oO]{2})?[tT]?)?( ?[eE][rR]{2}[oO][rR])"")=FALSE,$H593&lt;&gt;"""",$I593&lt;&gt;""""),HYPERLINK(""https://www.munzee.com/m/""&amp;$H593&amp;""/""&amp;$I593&amp;""/map/?lat=""&amp;$D593&amp;""&amp;lon=""&amp;$E593&amp;""&amp;type=""&amp;$G593&amp;""&amp;name=""&amp;SUBSTITUTE($A593,""#"&amp;""",""%23""),$H593&amp;""/""&amp;$I593),IF($H593&lt;&gt;"""",IF(REGEXMATCH($H593,""50( ?['fF]([oO]{2})?[tT]?)?( ?[eE][rR]{2}[oO][rR])""),HYPERLINK(""https://www.munzee.com/map/?sandbox=1&amp;lat=""&amp;$D593&amp;""&amp;lon=""&amp;$E593&amp;""&amp;name=""&amp;SUBSTITUTE($A593,""#"",""%23""),""SANDBOX"""&amp;"),HYPERLINK(""https://www.munzee.com/m/""&amp;$H593&amp;""/deploys/0/type/""&amp;IFNA(VLOOKUP($G593,IMPORTRANGE(""https://docs.google.com/spreadsheets/d/1DliIGyDywdzxhd4svtjaewR0p9Y5UBTMNMQ2PcXsqss"",""type data!E2:F""),2,FALSE),$G593)&amp;""/"",$H593)),""""))"),"Noisette/844")</f>
        <v>Noisette/844</v>
      </c>
      <c r="L593" s="19" t="b">
        <v>1</v>
      </c>
      <c r="M593" s="12">
        <f t="shared" si="1"/>
        <v>3</v>
      </c>
      <c r="N593" s="13"/>
      <c r="O593" s="13"/>
      <c r="P593" s="29"/>
    </row>
    <row r="594">
      <c r="A594" s="15" t="s">
        <v>853</v>
      </c>
      <c r="B594" s="16">
        <v>30.0</v>
      </c>
      <c r="C594" s="16">
        <v>9.0</v>
      </c>
      <c r="D594" s="17">
        <v>44.861906401363</v>
      </c>
      <c r="E594" s="17">
        <v>-93.335236576049</v>
      </c>
      <c r="F594" s="16" t="s">
        <v>510</v>
      </c>
      <c r="G594" s="16" t="s">
        <v>17</v>
      </c>
      <c r="H594" s="18" t="s">
        <v>231</v>
      </c>
      <c r="I594" s="19">
        <v>460.0</v>
      </c>
      <c r="J594" s="21"/>
      <c r="K594" s="11" t="str">
        <f>IFERROR(__xludf.DUMMYFUNCTION("IF(AND(REGEXMATCH($H594,""50( ?['fF]([oO]{2})?[tT]?)?( ?[eE][rR]{2}[oO][rR])"")=FALSE,$H594&lt;&gt;"""",$I594&lt;&gt;""""),HYPERLINK(""https://www.munzee.com/m/""&amp;$H594&amp;""/""&amp;$I594&amp;""/map/?lat=""&amp;$D594&amp;""&amp;lon=""&amp;$E594&amp;""&amp;type=""&amp;$G594&amp;""&amp;name=""&amp;SUBSTITUTE($A594,""#"&amp;""",""%23""),$H594&amp;""/""&amp;$I594),IF($H594&lt;&gt;"""",IF(REGEXMATCH($H594,""50( ?['fF]([oO]{2})?[tT]?)?( ?[eE][rR]{2}[oO][rR])""),HYPERLINK(""https://www.munzee.com/map/?sandbox=1&amp;lat=""&amp;$D594&amp;""&amp;lon=""&amp;$E594&amp;""&amp;name=""&amp;SUBSTITUTE($A594,""#"",""%23""),""SANDBOX"""&amp;"),HYPERLINK(""https://www.munzee.com/m/""&amp;$H594&amp;""/deploys/0/type/""&amp;IFNA(VLOOKUP($G594,IMPORTRANGE(""https://docs.google.com/spreadsheets/d/1DliIGyDywdzxhd4svtjaewR0p9Y5UBTMNMQ2PcXsqss"",""type data!E2:F""),2,FALSE),$G594)&amp;""/"",$H594)),""""))"),"KobeJasper/460")</f>
        <v>KobeJasper/460</v>
      </c>
      <c r="L594" s="19" t="b">
        <v>1</v>
      </c>
      <c r="M594" s="12">
        <f t="shared" si="1"/>
        <v>2</v>
      </c>
      <c r="N594" s="13"/>
      <c r="O594" s="13"/>
      <c r="P594" s="29"/>
    </row>
    <row r="595">
      <c r="A595" s="15" t="s">
        <v>854</v>
      </c>
      <c r="B595" s="16">
        <v>30.0</v>
      </c>
      <c r="C595" s="16">
        <v>10.0</v>
      </c>
      <c r="D595" s="17">
        <v>44.861906401184</v>
      </c>
      <c r="E595" s="17">
        <v>-93.335033798646</v>
      </c>
      <c r="F595" s="16" t="s">
        <v>41</v>
      </c>
      <c r="G595" s="16" t="s">
        <v>17</v>
      </c>
      <c r="H595" s="18" t="s">
        <v>246</v>
      </c>
      <c r="I595" s="19">
        <v>125.0</v>
      </c>
      <c r="J595" s="21"/>
      <c r="K595" s="11" t="str">
        <f>IFERROR(__xludf.DUMMYFUNCTION("IF(AND(REGEXMATCH($H595,""50( ?['fF]([oO]{2})?[tT]?)?( ?[eE][rR]{2}[oO][rR])"")=FALSE,$H595&lt;&gt;"""",$I595&lt;&gt;""""),HYPERLINK(""https://www.munzee.com/m/""&amp;$H595&amp;""/""&amp;$I595&amp;""/map/?lat=""&amp;$D595&amp;""&amp;lon=""&amp;$E595&amp;""&amp;type=""&amp;$G595&amp;""&amp;name=""&amp;SUBSTITUTE($A595,""#"&amp;""",""%23""),$H595&amp;""/""&amp;$I595),IF($H595&lt;&gt;"""",IF(REGEXMATCH($H595,""50( ?['fF]([oO]{2})?[tT]?)?( ?[eE][rR]{2}[oO][rR])""),HYPERLINK(""https://www.munzee.com/map/?sandbox=1&amp;lat=""&amp;$D595&amp;""&amp;lon=""&amp;$E595&amp;""&amp;name=""&amp;SUBSTITUTE($A595,""#"",""%23""),""SANDBOX"""&amp;"),HYPERLINK(""https://www.munzee.com/m/""&amp;$H595&amp;""/deploys/0/type/""&amp;IFNA(VLOOKUP($G595,IMPORTRANGE(""https://docs.google.com/spreadsheets/d/1DliIGyDywdzxhd4svtjaewR0p9Y5UBTMNMQ2PcXsqss"",""type data!E2:F""),2,FALSE),$G595)&amp;""/"",$H595)),""""))"),"qwerty2582/125")</f>
        <v>qwerty2582/125</v>
      </c>
      <c r="L595" s="19" t="b">
        <v>1</v>
      </c>
      <c r="M595" s="12">
        <f t="shared" si="1"/>
        <v>12</v>
      </c>
      <c r="N595" s="13"/>
      <c r="O595" s="13"/>
      <c r="P595" s="29"/>
    </row>
    <row r="596">
      <c r="A596" s="15" t="s">
        <v>855</v>
      </c>
      <c r="B596" s="16">
        <v>30.0</v>
      </c>
      <c r="C596" s="16">
        <v>11.0</v>
      </c>
      <c r="D596" s="17">
        <v>44.861906401004</v>
      </c>
      <c r="E596" s="17">
        <v>-93.334831021243</v>
      </c>
      <c r="F596" s="16" t="s">
        <v>41</v>
      </c>
      <c r="G596" s="16" t="s">
        <v>17</v>
      </c>
      <c r="H596" s="18" t="s">
        <v>856</v>
      </c>
      <c r="I596" s="19">
        <v>8752.0</v>
      </c>
      <c r="J596" s="20"/>
      <c r="K596" s="11" t="str">
        <f>IFERROR(__xludf.DUMMYFUNCTION("IF(AND(REGEXMATCH($H596,""50( ?['fF]([oO]{2})?[tT]?)?( ?[eE][rR]{2}[oO][rR])"")=FALSE,$H596&lt;&gt;"""",$I596&lt;&gt;""""),HYPERLINK(""https://www.munzee.com/m/""&amp;$H596&amp;""/""&amp;$I596&amp;""/map/?lat=""&amp;$D596&amp;""&amp;lon=""&amp;$E596&amp;""&amp;type=""&amp;$G596&amp;""&amp;name=""&amp;SUBSTITUTE($A596,""#"&amp;""",""%23""),$H596&amp;""/""&amp;$I596),IF($H596&lt;&gt;"""",IF(REGEXMATCH($H596,""50( ?['fF]([oO]{2})?[tT]?)?( ?[eE][rR]{2}[oO][rR])""),HYPERLINK(""https://www.munzee.com/map/?sandbox=1&amp;lat=""&amp;$D596&amp;""&amp;lon=""&amp;$E596&amp;""&amp;name=""&amp;SUBSTITUTE($A596,""#"",""%23""),""SANDBOX"""&amp;"),HYPERLINK(""https://www.munzee.com/m/""&amp;$H596&amp;""/deploys/0/type/""&amp;IFNA(VLOOKUP($G596,IMPORTRANGE(""https://docs.google.com/spreadsheets/d/1DliIGyDywdzxhd4svtjaewR0p9Y5UBTMNMQ2PcXsqss"",""type data!E2:F""),2,FALSE),$G596)&amp;""/"",$H596)),""""))"),"earthangel/8752")</f>
        <v>earthangel/8752</v>
      </c>
      <c r="L596" s="19" t="b">
        <v>1</v>
      </c>
      <c r="M596" s="12">
        <f t="shared" si="1"/>
        <v>7</v>
      </c>
      <c r="N596" s="13"/>
      <c r="O596" s="13"/>
      <c r="P596" s="15"/>
    </row>
    <row r="597">
      <c r="A597" s="15" t="s">
        <v>857</v>
      </c>
      <c r="B597" s="16">
        <v>30.0</v>
      </c>
      <c r="C597" s="16">
        <v>12.0</v>
      </c>
      <c r="D597" s="17">
        <v>44.861906400825</v>
      </c>
      <c r="E597" s="17">
        <v>-93.33462824384</v>
      </c>
      <c r="F597" s="16" t="s">
        <v>41</v>
      </c>
      <c r="G597" s="16" t="s">
        <v>17</v>
      </c>
      <c r="H597" s="18" t="s">
        <v>858</v>
      </c>
      <c r="I597" s="19">
        <v>8640.0</v>
      </c>
      <c r="J597" s="20"/>
      <c r="K597" s="11" t="str">
        <f>IFERROR(__xludf.DUMMYFUNCTION("IF(AND(REGEXMATCH($H597,""50( ?['fF]([oO]{2})?[tT]?)?( ?[eE][rR]{2}[oO][rR])"")=FALSE,$H597&lt;&gt;"""",$I597&lt;&gt;""""),HYPERLINK(""https://www.munzee.com/m/""&amp;$H597&amp;""/""&amp;$I597&amp;""/map/?lat=""&amp;$D597&amp;""&amp;lon=""&amp;$E597&amp;""&amp;type=""&amp;$G597&amp;""&amp;name=""&amp;SUBSTITUTE($A597,""#"&amp;""",""%23""),$H597&amp;""/""&amp;$I597),IF($H597&lt;&gt;"""",IF(REGEXMATCH($H597,""50( ?['fF]([oO]{2})?[tT]?)?( ?[eE][rR]{2}[oO][rR])""),HYPERLINK(""https://www.munzee.com/map/?sandbox=1&amp;lat=""&amp;$D597&amp;""&amp;lon=""&amp;$E597&amp;""&amp;name=""&amp;SUBSTITUTE($A597,""#"",""%23""),""SANDBOX"""&amp;"),HYPERLINK(""https://www.munzee.com/m/""&amp;$H597&amp;""/deploys/0/type/""&amp;IFNA(VLOOKUP($G597,IMPORTRANGE(""https://docs.google.com/spreadsheets/d/1DliIGyDywdzxhd4svtjaewR0p9Y5UBTMNMQ2PcXsqss"",""type data!E2:F""),2,FALSE),$G597)&amp;""/"",$H597)),""""))"),"ecorangers/8640")</f>
        <v>ecorangers/8640</v>
      </c>
      <c r="L597" s="19" t="b">
        <v>1</v>
      </c>
      <c r="M597" s="12">
        <f t="shared" si="1"/>
        <v>7</v>
      </c>
      <c r="N597" s="13"/>
      <c r="O597" s="13"/>
      <c r="P597" s="29"/>
    </row>
    <row r="598">
      <c r="A598" s="15" t="s">
        <v>859</v>
      </c>
      <c r="B598" s="16">
        <v>30.0</v>
      </c>
      <c r="C598" s="16">
        <v>13.0</v>
      </c>
      <c r="D598" s="17">
        <v>44.861906400646</v>
      </c>
      <c r="E598" s="17">
        <v>-93.334425466437</v>
      </c>
      <c r="F598" s="16" t="s">
        <v>41</v>
      </c>
      <c r="G598" s="16" t="s">
        <v>17</v>
      </c>
      <c r="H598" s="18" t="s">
        <v>246</v>
      </c>
      <c r="I598" s="19">
        <v>66.0</v>
      </c>
      <c r="J598" s="21"/>
      <c r="K598" s="11" t="str">
        <f>IFERROR(__xludf.DUMMYFUNCTION("IF(AND(REGEXMATCH($H598,""50( ?['fF]([oO]{2})?[tT]?)?( ?[eE][rR]{2}[oO][rR])"")=FALSE,$H598&lt;&gt;"""",$I598&lt;&gt;""""),HYPERLINK(""https://www.munzee.com/m/""&amp;$H598&amp;""/""&amp;$I598&amp;""/map/?lat=""&amp;$D598&amp;""&amp;lon=""&amp;$E598&amp;""&amp;type=""&amp;$G598&amp;""&amp;name=""&amp;SUBSTITUTE($A598,""#"&amp;""",""%23""),$H598&amp;""/""&amp;$I598),IF($H598&lt;&gt;"""",IF(REGEXMATCH($H598,""50( ?['fF]([oO]{2})?[tT]?)?( ?[eE][rR]{2}[oO][rR])""),HYPERLINK(""https://www.munzee.com/map/?sandbox=1&amp;lat=""&amp;$D598&amp;""&amp;lon=""&amp;$E598&amp;""&amp;name=""&amp;SUBSTITUTE($A598,""#"",""%23""),""SANDBOX"""&amp;"),HYPERLINK(""https://www.munzee.com/m/""&amp;$H598&amp;""/deploys/0/type/""&amp;IFNA(VLOOKUP($G598,IMPORTRANGE(""https://docs.google.com/spreadsheets/d/1DliIGyDywdzxhd4svtjaewR0p9Y5UBTMNMQ2PcXsqss"",""type data!E2:F""),2,FALSE),$G598)&amp;""/"",$H598)),""""))"),"qwerty2582/66")</f>
        <v>qwerty2582/66</v>
      </c>
      <c r="L598" s="19" t="b">
        <v>1</v>
      </c>
      <c r="M598" s="12">
        <f t="shared" si="1"/>
        <v>12</v>
      </c>
      <c r="N598" s="13"/>
      <c r="O598" s="13"/>
      <c r="P598" s="29"/>
    </row>
    <row r="599">
      <c r="A599" s="15" t="s">
        <v>860</v>
      </c>
      <c r="B599" s="16">
        <v>30.0</v>
      </c>
      <c r="C599" s="16">
        <v>14.0</v>
      </c>
      <c r="D599" s="17">
        <v>44.861906400466</v>
      </c>
      <c r="E599" s="17">
        <v>-93.334222689033</v>
      </c>
      <c r="F599" s="16" t="s">
        <v>41</v>
      </c>
      <c r="G599" s="16" t="s">
        <v>17</v>
      </c>
      <c r="H599" s="18" t="s">
        <v>446</v>
      </c>
      <c r="I599" s="19">
        <v>4283.0</v>
      </c>
      <c r="J599" s="20"/>
      <c r="K599" s="11" t="str">
        <f>IFERROR(__xludf.DUMMYFUNCTION("IF(AND(REGEXMATCH($H599,""50( ?['fF]([oO]{2})?[tT]?)?( ?[eE][rR]{2}[oO][rR])"")=FALSE,$H599&lt;&gt;"""",$I599&lt;&gt;""""),HYPERLINK(""https://www.munzee.com/m/""&amp;$H599&amp;""/""&amp;$I599&amp;""/map/?lat=""&amp;$D599&amp;""&amp;lon=""&amp;$E599&amp;""&amp;type=""&amp;$G599&amp;""&amp;name=""&amp;SUBSTITUTE($A599,""#"&amp;""",""%23""),$H599&amp;""/""&amp;$I599),IF($H599&lt;&gt;"""",IF(REGEXMATCH($H599,""50( ?['fF]([oO]{2})?[tT]?)?( ?[eE][rR]{2}[oO][rR])""),HYPERLINK(""https://www.munzee.com/map/?sandbox=1&amp;lat=""&amp;$D599&amp;""&amp;lon=""&amp;$E599&amp;""&amp;name=""&amp;SUBSTITUTE($A599,""#"",""%23""),""SANDBOX"""&amp;"),HYPERLINK(""https://www.munzee.com/m/""&amp;$H599&amp;""/deploys/0/type/""&amp;IFNA(VLOOKUP($G599,IMPORTRANGE(""https://docs.google.com/spreadsheets/d/1DliIGyDywdzxhd4svtjaewR0p9Y5UBTMNMQ2PcXsqss"",""type data!E2:F""),2,FALSE),$G599)&amp;""/"",$H599)),""""))"),"DaZie62/4283")</f>
        <v>DaZie62/4283</v>
      </c>
      <c r="L599" s="19" t="b">
        <v>1</v>
      </c>
      <c r="M599" s="12">
        <f t="shared" si="1"/>
        <v>2</v>
      </c>
      <c r="N599" s="13"/>
      <c r="O599" s="13"/>
      <c r="P599" s="29"/>
    </row>
    <row r="600">
      <c r="A600" s="15" t="s">
        <v>861</v>
      </c>
      <c r="B600" s="16">
        <v>30.0</v>
      </c>
      <c r="C600" s="16">
        <v>15.0</v>
      </c>
      <c r="D600" s="17">
        <v>44.861906400287</v>
      </c>
      <c r="E600" s="17">
        <v>-93.33401991163</v>
      </c>
      <c r="F600" s="16" t="s">
        <v>41</v>
      </c>
      <c r="G600" s="16" t="s">
        <v>17</v>
      </c>
      <c r="H600" s="33" t="s">
        <v>194</v>
      </c>
      <c r="I600" s="19">
        <v>8580.0</v>
      </c>
      <c r="J600" s="20"/>
      <c r="K600" s="11" t="str">
        <f>IFERROR(__xludf.DUMMYFUNCTION("IF(AND(REGEXMATCH($H600,""50( ?['fF]([oO]{2})?[tT]?)?( ?[eE][rR]{2}[oO][rR])"")=FALSE,$H600&lt;&gt;"""",$I600&lt;&gt;""""),HYPERLINK(""https://www.munzee.com/m/""&amp;$H600&amp;""/""&amp;$I600&amp;""/map/?lat=""&amp;$D600&amp;""&amp;lon=""&amp;$E600&amp;""&amp;type=""&amp;$G600&amp;""&amp;name=""&amp;SUBSTITUTE($A600,""#"&amp;""",""%23""),$H600&amp;""/""&amp;$I600),IF($H600&lt;&gt;"""",IF(REGEXMATCH($H600,""50( ?['fF]([oO]{2})?[tT]?)?( ?[eE][rR]{2}[oO][rR])""),HYPERLINK(""https://www.munzee.com/map/?sandbox=1&amp;lat=""&amp;$D600&amp;""&amp;lon=""&amp;$E600&amp;""&amp;name=""&amp;SUBSTITUTE($A600,""#"",""%23""),""SANDBOX"""&amp;"),HYPERLINK(""https://www.munzee.com/m/""&amp;$H600&amp;""/deploys/0/type/""&amp;IFNA(VLOOKUP($G600,IMPORTRANGE(""https://docs.google.com/spreadsheets/d/1DliIGyDywdzxhd4svtjaewR0p9Y5UBTMNMQ2PcXsqss"",""type data!E2:F""),2,FALSE),$G600)&amp;""/"",$H600)),""""))"),"warped6/8580")</f>
        <v>warped6/8580</v>
      </c>
      <c r="L600" s="19" t="b">
        <v>1</v>
      </c>
      <c r="M600" s="12">
        <f t="shared" si="1"/>
        <v>24</v>
      </c>
      <c r="N600" s="13"/>
      <c r="O600" s="13"/>
      <c r="P600" s="29"/>
    </row>
    <row r="601">
      <c r="A601" s="15" t="s">
        <v>862</v>
      </c>
      <c r="B601" s="16">
        <v>30.0</v>
      </c>
      <c r="C601" s="16">
        <v>16.0</v>
      </c>
      <c r="D601" s="17">
        <v>44.861906400107</v>
      </c>
      <c r="E601" s="17">
        <v>-93.333817134227</v>
      </c>
      <c r="F601" s="16" t="s">
        <v>41</v>
      </c>
      <c r="G601" s="16" t="s">
        <v>17</v>
      </c>
      <c r="H601" s="18" t="s">
        <v>109</v>
      </c>
      <c r="I601" s="19">
        <v>16389.0</v>
      </c>
      <c r="J601" s="21"/>
      <c r="K601" s="11" t="str">
        <f>IFERROR(__xludf.DUMMYFUNCTION("IF(AND(REGEXMATCH($H601,""50( ?['fF]([oO]{2})?[tT]?)?( ?[eE][rR]{2}[oO][rR])"")=FALSE,$H601&lt;&gt;"""",$I601&lt;&gt;""""),HYPERLINK(""https://www.munzee.com/m/""&amp;$H601&amp;""/""&amp;$I601&amp;""/map/?lat=""&amp;$D601&amp;""&amp;lon=""&amp;$E601&amp;""&amp;type=""&amp;$G601&amp;""&amp;name=""&amp;SUBSTITUTE($A601,""#"&amp;""",""%23""),$H601&amp;""/""&amp;$I601),IF($H601&lt;&gt;"""",IF(REGEXMATCH($H601,""50( ?['fF]([oO]{2})?[tT]?)?( ?[eE][rR]{2}[oO][rR])""),HYPERLINK(""https://www.munzee.com/map/?sandbox=1&amp;lat=""&amp;$D601&amp;""&amp;lon=""&amp;$E601&amp;""&amp;name=""&amp;SUBSTITUTE($A601,""#"",""%23""),""SANDBOX"""&amp;"),HYPERLINK(""https://www.munzee.com/m/""&amp;$H601&amp;""/deploys/0/type/""&amp;IFNA(VLOOKUP($G601,IMPORTRANGE(""https://docs.google.com/spreadsheets/d/1DliIGyDywdzxhd4svtjaewR0p9Y5UBTMNMQ2PcXsqss"",""type data!E2:F""),2,FALSE),$G601)&amp;""/"",$H601)),""""))"),"Whelen/16389")</f>
        <v>Whelen/16389</v>
      </c>
      <c r="L601" s="19" t="b">
        <v>1</v>
      </c>
      <c r="M601" s="12">
        <f t="shared" si="1"/>
        <v>22</v>
      </c>
      <c r="N601" s="13"/>
      <c r="O601" s="13"/>
      <c r="P601" s="29"/>
    </row>
    <row r="602">
      <c r="A602" s="15" t="s">
        <v>863</v>
      </c>
      <c r="B602" s="16">
        <v>30.0</v>
      </c>
      <c r="C602" s="16">
        <v>17.0</v>
      </c>
      <c r="D602" s="17">
        <v>44.861906399928</v>
      </c>
      <c r="E602" s="17">
        <v>-93.333614356824</v>
      </c>
      <c r="F602" s="16" t="s">
        <v>41</v>
      </c>
      <c r="G602" s="16" t="s">
        <v>17</v>
      </c>
      <c r="H602" s="18" t="s">
        <v>246</v>
      </c>
      <c r="I602" s="19">
        <v>65.0</v>
      </c>
      <c r="J602" s="21"/>
      <c r="K602" s="11" t="str">
        <f>IFERROR(__xludf.DUMMYFUNCTION("IF(AND(REGEXMATCH($H602,""50( ?['fF]([oO]{2})?[tT]?)?( ?[eE][rR]{2}[oO][rR])"")=FALSE,$H602&lt;&gt;"""",$I602&lt;&gt;""""),HYPERLINK(""https://www.munzee.com/m/""&amp;$H602&amp;""/""&amp;$I602&amp;""/map/?lat=""&amp;$D602&amp;""&amp;lon=""&amp;$E602&amp;""&amp;type=""&amp;$G602&amp;""&amp;name=""&amp;SUBSTITUTE($A602,""#"&amp;""",""%23""),$H602&amp;""/""&amp;$I602),IF($H602&lt;&gt;"""",IF(REGEXMATCH($H602,""50( ?['fF]([oO]{2})?[tT]?)?( ?[eE][rR]{2}[oO][rR])""),HYPERLINK(""https://www.munzee.com/map/?sandbox=1&amp;lat=""&amp;$D602&amp;""&amp;lon=""&amp;$E602&amp;""&amp;name=""&amp;SUBSTITUTE($A602,""#"",""%23""),""SANDBOX"""&amp;"),HYPERLINK(""https://www.munzee.com/m/""&amp;$H602&amp;""/deploys/0/type/""&amp;IFNA(VLOOKUP($G602,IMPORTRANGE(""https://docs.google.com/spreadsheets/d/1DliIGyDywdzxhd4svtjaewR0p9Y5UBTMNMQ2PcXsqss"",""type data!E2:F""),2,FALSE),$G602)&amp;""/"",$H602)),""""))"),"qwerty2582/65")</f>
        <v>qwerty2582/65</v>
      </c>
      <c r="L602" s="19" t="b">
        <v>1</v>
      </c>
      <c r="M602" s="12">
        <f t="shared" si="1"/>
        <v>12</v>
      </c>
      <c r="N602" s="13"/>
      <c r="O602" s="13"/>
      <c r="P602" s="29"/>
    </row>
    <row r="603">
      <c r="A603" s="15" t="s">
        <v>864</v>
      </c>
      <c r="B603" s="16">
        <v>30.0</v>
      </c>
      <c r="C603" s="16">
        <v>18.0</v>
      </c>
      <c r="D603" s="17">
        <v>44.861906399749</v>
      </c>
      <c r="E603" s="17">
        <v>-93.333411579421</v>
      </c>
      <c r="F603" s="16" t="s">
        <v>41</v>
      </c>
      <c r="G603" s="16" t="s">
        <v>17</v>
      </c>
      <c r="H603" s="18" t="s">
        <v>99</v>
      </c>
      <c r="I603" s="19">
        <v>1877.0</v>
      </c>
      <c r="J603" s="21"/>
      <c r="K603" s="11" t="str">
        <f>IFERROR(__xludf.DUMMYFUNCTION("IF(AND(REGEXMATCH($H603,""50( ?['fF]([oO]{2})?[tT]?)?( ?[eE][rR]{2}[oO][rR])"")=FALSE,$H603&lt;&gt;"""",$I603&lt;&gt;""""),HYPERLINK(""https://www.munzee.com/m/""&amp;$H603&amp;""/""&amp;$I603&amp;""/map/?lat=""&amp;$D603&amp;""&amp;lon=""&amp;$E603&amp;""&amp;type=""&amp;$G603&amp;""&amp;name=""&amp;SUBSTITUTE($A603,""#"&amp;""",""%23""),$H603&amp;""/""&amp;$I603),IF($H603&lt;&gt;"""",IF(REGEXMATCH($H603,""50( ?['fF]([oO]{2})?[tT]?)?( ?[eE][rR]{2}[oO][rR])""),HYPERLINK(""https://www.munzee.com/map/?sandbox=1&amp;lat=""&amp;$D603&amp;""&amp;lon=""&amp;$E603&amp;""&amp;name=""&amp;SUBSTITUTE($A603,""#"",""%23""),""SANDBOX"""&amp;"),HYPERLINK(""https://www.munzee.com/m/""&amp;$H603&amp;""/deploys/0/type/""&amp;IFNA(VLOOKUP($G603,IMPORTRANGE(""https://docs.google.com/spreadsheets/d/1DliIGyDywdzxhd4svtjaewR0p9Y5UBTMNMQ2PcXsqss"",""type data!E2:F""),2,FALSE),$G603)&amp;""/"",$H603)),""""))"),"jsamundson/1877")</f>
        <v>jsamundson/1877</v>
      </c>
      <c r="L603" s="19" t="b">
        <v>1</v>
      </c>
      <c r="M603" s="12">
        <f t="shared" si="1"/>
        <v>20</v>
      </c>
      <c r="N603" s="13"/>
      <c r="O603" s="13"/>
      <c r="P603" s="15"/>
    </row>
    <row r="604">
      <c r="A604" s="15" t="s">
        <v>865</v>
      </c>
      <c r="B604" s="16">
        <v>30.0</v>
      </c>
      <c r="C604" s="16">
        <v>19.0</v>
      </c>
      <c r="D604" s="17">
        <v>44.861906399569</v>
      </c>
      <c r="E604" s="17">
        <v>-93.333208802018</v>
      </c>
      <c r="F604" s="16" t="s">
        <v>41</v>
      </c>
      <c r="G604" s="16" t="s">
        <v>17</v>
      </c>
      <c r="H604" s="18" t="s">
        <v>109</v>
      </c>
      <c r="I604" s="19">
        <v>16392.0</v>
      </c>
      <c r="J604" s="21"/>
      <c r="K604" s="11" t="str">
        <f>IFERROR(__xludf.DUMMYFUNCTION("IF(AND(REGEXMATCH($H604,""50( ?['fF]([oO]{2})?[tT]?)?( ?[eE][rR]{2}[oO][rR])"")=FALSE,$H604&lt;&gt;"""",$I604&lt;&gt;""""),HYPERLINK(""https://www.munzee.com/m/""&amp;$H604&amp;""/""&amp;$I604&amp;""/map/?lat=""&amp;$D604&amp;""&amp;lon=""&amp;$E604&amp;""&amp;type=""&amp;$G604&amp;""&amp;name=""&amp;SUBSTITUTE($A604,""#"&amp;""",""%23""),$H604&amp;""/""&amp;$I604),IF($H604&lt;&gt;"""",IF(REGEXMATCH($H604,""50( ?['fF]([oO]{2})?[tT]?)?( ?[eE][rR]{2}[oO][rR])""),HYPERLINK(""https://www.munzee.com/map/?sandbox=1&amp;lat=""&amp;$D604&amp;""&amp;lon=""&amp;$E604&amp;""&amp;name=""&amp;SUBSTITUTE($A604,""#"",""%23""),""SANDBOX"""&amp;"),HYPERLINK(""https://www.munzee.com/m/""&amp;$H604&amp;""/deploys/0/type/""&amp;IFNA(VLOOKUP($G604,IMPORTRANGE(""https://docs.google.com/spreadsheets/d/1DliIGyDywdzxhd4svtjaewR0p9Y5UBTMNMQ2PcXsqss"",""type data!E2:F""),2,FALSE),$G604)&amp;""/"",$H604)),""""))"),"Whelen/16392")</f>
        <v>Whelen/16392</v>
      </c>
      <c r="L604" s="19" t="b">
        <v>1</v>
      </c>
      <c r="M604" s="12">
        <f t="shared" si="1"/>
        <v>22</v>
      </c>
      <c r="N604" s="13"/>
      <c r="O604" s="13"/>
      <c r="P604" s="29"/>
    </row>
    <row r="605">
      <c r="A605" s="15" t="s">
        <v>866</v>
      </c>
      <c r="B605" s="16">
        <v>30.0</v>
      </c>
      <c r="C605" s="16">
        <v>20.0</v>
      </c>
      <c r="D605" s="17">
        <v>44.86190639939</v>
      </c>
      <c r="E605" s="17">
        <v>-93.333006024615</v>
      </c>
      <c r="F605" s="16" t="s">
        <v>510</v>
      </c>
      <c r="G605" s="16" t="s">
        <v>17</v>
      </c>
      <c r="H605" s="18" t="s">
        <v>543</v>
      </c>
      <c r="I605" s="19">
        <v>3551.0</v>
      </c>
      <c r="J605" s="20"/>
      <c r="K605" s="11" t="str">
        <f>IFERROR(__xludf.DUMMYFUNCTION("IF(AND(REGEXMATCH($H605,""50( ?['fF]([oO]{2})?[tT]?)?( ?[eE][rR]{2}[oO][rR])"")=FALSE,$H605&lt;&gt;"""",$I605&lt;&gt;""""),HYPERLINK(""https://www.munzee.com/m/""&amp;$H605&amp;""/""&amp;$I605&amp;""/map/?lat=""&amp;$D605&amp;""&amp;lon=""&amp;$E605&amp;""&amp;type=""&amp;$G605&amp;""&amp;name=""&amp;SUBSTITUTE($A605,""#"&amp;""",""%23""),$H605&amp;""/""&amp;$I605),IF($H605&lt;&gt;"""",IF(REGEXMATCH($H605,""50( ?['fF]([oO]{2})?[tT]?)?( ?[eE][rR]{2}[oO][rR])""),HYPERLINK(""https://www.munzee.com/map/?sandbox=1&amp;lat=""&amp;$D605&amp;""&amp;lon=""&amp;$E605&amp;""&amp;name=""&amp;SUBSTITUTE($A605,""#"",""%23""),""SANDBOX"""&amp;"),HYPERLINK(""https://www.munzee.com/m/""&amp;$H605&amp;""/deploys/0/type/""&amp;IFNA(VLOOKUP($G605,IMPORTRANGE(""https://docs.google.com/spreadsheets/d/1DliIGyDywdzxhd4svtjaewR0p9Y5UBTMNMQ2PcXsqss"",""type data!E2:F""),2,FALSE),$G605)&amp;""/"",$H605)),""""))"),"ivwarrior/3551")</f>
        <v>ivwarrior/3551</v>
      </c>
      <c r="L605" s="19" t="b">
        <v>1</v>
      </c>
      <c r="M605" s="12">
        <f t="shared" si="1"/>
        <v>5</v>
      </c>
      <c r="N605" s="13"/>
      <c r="O605" s="13"/>
      <c r="P605" s="29"/>
    </row>
    <row r="606">
      <c r="A606" s="15" t="s">
        <v>867</v>
      </c>
      <c r="B606" s="16">
        <v>30.0</v>
      </c>
      <c r="C606" s="16">
        <v>21.0</v>
      </c>
      <c r="D606" s="17">
        <v>44.86190639921</v>
      </c>
      <c r="E606" s="17">
        <v>-93.332803247212</v>
      </c>
      <c r="F606" s="16" t="s">
        <v>510</v>
      </c>
      <c r="G606" s="16" t="s">
        <v>17</v>
      </c>
      <c r="H606" s="18" t="s">
        <v>246</v>
      </c>
      <c r="I606" s="19">
        <v>86.0</v>
      </c>
      <c r="J606" s="21"/>
      <c r="K606" s="11" t="str">
        <f>IFERROR(__xludf.DUMMYFUNCTION("IF(AND(REGEXMATCH($H606,""50( ?['fF]([oO]{2})?[tT]?)?( ?[eE][rR]{2}[oO][rR])"")=FALSE,$H606&lt;&gt;"""",$I606&lt;&gt;""""),HYPERLINK(""https://www.munzee.com/m/""&amp;$H606&amp;""/""&amp;$I606&amp;""/map/?lat=""&amp;$D606&amp;""&amp;lon=""&amp;$E606&amp;""&amp;type=""&amp;$G606&amp;""&amp;name=""&amp;SUBSTITUTE($A606,""#"&amp;""",""%23""),$H606&amp;""/""&amp;$I606),IF($H606&lt;&gt;"""",IF(REGEXMATCH($H606,""50( ?['fF]([oO]{2})?[tT]?)?( ?[eE][rR]{2}[oO][rR])""),HYPERLINK(""https://www.munzee.com/map/?sandbox=1&amp;lat=""&amp;$D606&amp;""&amp;lon=""&amp;$E606&amp;""&amp;name=""&amp;SUBSTITUTE($A606,""#"",""%23""),""SANDBOX"""&amp;"),HYPERLINK(""https://www.munzee.com/m/""&amp;$H606&amp;""/deploys/0/type/""&amp;IFNA(VLOOKUP($G606,IMPORTRANGE(""https://docs.google.com/spreadsheets/d/1DliIGyDywdzxhd4svtjaewR0p9Y5UBTMNMQ2PcXsqss"",""type data!E2:F""),2,FALSE),$G606)&amp;""/"",$H606)),""""))"),"qwerty2582/86")</f>
        <v>qwerty2582/86</v>
      </c>
      <c r="L606" s="19" t="b">
        <v>1</v>
      </c>
      <c r="M606" s="12">
        <f t="shared" si="1"/>
        <v>12</v>
      </c>
      <c r="N606" s="13"/>
      <c r="O606" s="13"/>
      <c r="P606" s="15"/>
    </row>
    <row r="607">
      <c r="A607" s="15" t="s">
        <v>868</v>
      </c>
      <c r="B607" s="16">
        <v>30.0</v>
      </c>
      <c r="C607" s="16">
        <v>22.0</v>
      </c>
      <c r="D607" s="17">
        <v>44.861906399031</v>
      </c>
      <c r="E607" s="17">
        <v>-93.332600469809</v>
      </c>
      <c r="F607" s="16" t="s">
        <v>510</v>
      </c>
      <c r="G607" s="16" t="s">
        <v>17</v>
      </c>
      <c r="H607" s="18" t="s">
        <v>129</v>
      </c>
      <c r="I607" s="19">
        <v>2400.0</v>
      </c>
      <c r="J607" s="20"/>
      <c r="K607" s="11" t="str">
        <f>IFERROR(__xludf.DUMMYFUNCTION("IF(AND(REGEXMATCH($H607,""50( ?['fF]([oO]{2})?[tT]?)?( ?[eE][rR]{2}[oO][rR])"")=FALSE,$H607&lt;&gt;"""",$I607&lt;&gt;""""),HYPERLINK(""https://www.munzee.com/m/""&amp;$H607&amp;""/""&amp;$I607&amp;""/map/?lat=""&amp;$D607&amp;""&amp;lon=""&amp;$E607&amp;""&amp;type=""&amp;$G607&amp;""&amp;name=""&amp;SUBSTITUTE($A607,""#"&amp;""",""%23""),$H607&amp;""/""&amp;$I607),IF($H607&lt;&gt;"""",IF(REGEXMATCH($H607,""50( ?['fF]([oO]{2})?[tT]?)?( ?[eE][rR]{2}[oO][rR])""),HYPERLINK(""https://www.munzee.com/map/?sandbox=1&amp;lat=""&amp;$D607&amp;""&amp;lon=""&amp;$E607&amp;""&amp;name=""&amp;SUBSTITUTE($A607,""#"",""%23""),""SANDBOX"""&amp;"),HYPERLINK(""https://www.munzee.com/m/""&amp;$H607&amp;""/deploys/0/type/""&amp;IFNA(VLOOKUP($G607,IMPORTRANGE(""https://docs.google.com/spreadsheets/d/1DliIGyDywdzxhd4svtjaewR0p9Y5UBTMNMQ2PcXsqss"",""type data!E2:F""),2,FALSE),$G607)&amp;""/"",$H607)),""""))"),"shingobee23/2400")</f>
        <v>shingobee23/2400</v>
      </c>
      <c r="L607" s="19" t="b">
        <v>1</v>
      </c>
      <c r="M607" s="12">
        <f t="shared" si="1"/>
        <v>4</v>
      </c>
      <c r="N607" s="13"/>
      <c r="O607" s="13"/>
      <c r="P607" s="15"/>
    </row>
    <row r="608">
      <c r="A608" s="15" t="s">
        <v>869</v>
      </c>
      <c r="B608" s="16">
        <v>30.0</v>
      </c>
      <c r="C608" s="16">
        <v>23.0</v>
      </c>
      <c r="D608" s="17">
        <v>44.861906398851</v>
      </c>
      <c r="E608" s="17">
        <v>-93.332397692406</v>
      </c>
      <c r="F608" s="16" t="s">
        <v>16</v>
      </c>
      <c r="G608" s="16" t="s">
        <v>17</v>
      </c>
      <c r="H608" s="18" t="s">
        <v>109</v>
      </c>
      <c r="I608" s="19">
        <v>16393.0</v>
      </c>
      <c r="J608" s="21"/>
      <c r="K608" s="11" t="str">
        <f>IFERROR(__xludf.DUMMYFUNCTION("IF(AND(REGEXMATCH($H608,""50( ?['fF]([oO]{2})?[tT]?)?( ?[eE][rR]{2}[oO][rR])"")=FALSE,$H608&lt;&gt;"""",$I608&lt;&gt;""""),HYPERLINK(""https://www.munzee.com/m/""&amp;$H608&amp;""/""&amp;$I608&amp;""/map/?lat=""&amp;$D608&amp;""&amp;lon=""&amp;$E608&amp;""&amp;type=""&amp;$G608&amp;""&amp;name=""&amp;SUBSTITUTE($A608,""#"&amp;""",""%23""),$H608&amp;""/""&amp;$I608),IF($H608&lt;&gt;"""",IF(REGEXMATCH($H608,""50( ?['fF]([oO]{2})?[tT]?)?( ?[eE][rR]{2}[oO][rR])""),HYPERLINK(""https://www.munzee.com/map/?sandbox=1&amp;lat=""&amp;$D608&amp;""&amp;lon=""&amp;$E608&amp;""&amp;name=""&amp;SUBSTITUTE($A608,""#"",""%23""),""SANDBOX"""&amp;"),HYPERLINK(""https://www.munzee.com/m/""&amp;$H608&amp;""/deploys/0/type/""&amp;IFNA(VLOOKUP($G608,IMPORTRANGE(""https://docs.google.com/spreadsheets/d/1DliIGyDywdzxhd4svtjaewR0p9Y5UBTMNMQ2PcXsqss"",""type data!E2:F""),2,FALSE),$G608)&amp;""/"",$H608)),""""))"),"Whelen/16393")</f>
        <v>Whelen/16393</v>
      </c>
      <c r="L608" s="19" t="b">
        <v>1</v>
      </c>
      <c r="M608" s="12">
        <f t="shared" si="1"/>
        <v>22</v>
      </c>
      <c r="N608" s="13"/>
      <c r="O608" s="13"/>
      <c r="P608" s="29"/>
    </row>
    <row r="609">
      <c r="A609" s="15" t="s">
        <v>870</v>
      </c>
      <c r="B609" s="16">
        <v>30.0</v>
      </c>
      <c r="C609" s="16">
        <v>24.0</v>
      </c>
      <c r="D609" s="17">
        <v>44.861906398672</v>
      </c>
      <c r="E609" s="17">
        <v>-93.332194915003</v>
      </c>
      <c r="F609" s="16" t="s">
        <v>16</v>
      </c>
      <c r="G609" s="16" t="s">
        <v>17</v>
      </c>
      <c r="H609" s="18" t="s">
        <v>494</v>
      </c>
      <c r="I609" s="19">
        <v>725.0</v>
      </c>
      <c r="J609" s="21"/>
      <c r="K609" s="11" t="str">
        <f>IFERROR(__xludf.DUMMYFUNCTION("IF(AND(REGEXMATCH($H609,""50( ?['fF]([oO]{2})?[tT]?)?( ?[eE][rR]{2}[oO][rR])"")=FALSE,$H609&lt;&gt;"""",$I609&lt;&gt;""""),HYPERLINK(""https://www.munzee.com/m/""&amp;$H609&amp;""/""&amp;$I609&amp;""/map/?lat=""&amp;$D609&amp;""&amp;lon=""&amp;$E609&amp;""&amp;type=""&amp;$G609&amp;""&amp;name=""&amp;SUBSTITUTE($A609,""#"&amp;""",""%23""),$H609&amp;""/""&amp;$I609),IF($H609&lt;&gt;"""",IF(REGEXMATCH($H609,""50( ?['fF]([oO]{2})?[tT]?)?( ?[eE][rR]{2}[oO][rR])""),HYPERLINK(""https://www.munzee.com/map/?sandbox=1&amp;lat=""&amp;$D609&amp;""&amp;lon=""&amp;$E609&amp;""&amp;name=""&amp;SUBSTITUTE($A609,""#"",""%23""),""SANDBOX"""&amp;"),HYPERLINK(""https://www.munzee.com/m/""&amp;$H609&amp;""/deploys/0/type/""&amp;IFNA(VLOOKUP($G609,IMPORTRANGE(""https://docs.google.com/spreadsheets/d/1DliIGyDywdzxhd4svtjaewR0p9Y5UBTMNMQ2PcXsqss"",""type data!E2:F""),2,FALSE),$G609)&amp;""/"",$H609)),""""))"),"BarbMitchell/725")</f>
        <v>BarbMitchell/725</v>
      </c>
      <c r="L609" s="19" t="b">
        <v>1</v>
      </c>
      <c r="M609" s="12">
        <f t="shared" si="1"/>
        <v>10</v>
      </c>
      <c r="N609" s="13"/>
      <c r="O609" s="13"/>
      <c r="P609" s="29"/>
    </row>
    <row r="610">
      <c r="A610" s="15" t="s">
        <v>871</v>
      </c>
      <c r="B610" s="16">
        <v>30.0</v>
      </c>
      <c r="C610" s="16">
        <v>25.0</v>
      </c>
      <c r="D610" s="17">
        <v>44.861906398493</v>
      </c>
      <c r="E610" s="17">
        <v>-93.3319921376</v>
      </c>
      <c r="F610" s="16" t="s">
        <v>16</v>
      </c>
      <c r="G610" s="16" t="s">
        <v>17</v>
      </c>
      <c r="H610" s="18" t="s">
        <v>379</v>
      </c>
      <c r="I610" s="19">
        <v>1149.0</v>
      </c>
      <c r="J610" s="21"/>
      <c r="K610" s="11" t="str">
        <f>IFERROR(__xludf.DUMMYFUNCTION("IF(AND(REGEXMATCH($H610,""50( ?['fF]([oO]{2})?[tT]?)?( ?[eE][rR]{2}[oO][rR])"")=FALSE,$H610&lt;&gt;"""",$I610&lt;&gt;""""),HYPERLINK(""https://www.munzee.com/m/""&amp;$H610&amp;""/""&amp;$I610&amp;""/map/?lat=""&amp;$D610&amp;""&amp;lon=""&amp;$E610&amp;""&amp;type=""&amp;$G610&amp;""&amp;name=""&amp;SUBSTITUTE($A610,""#"&amp;""",""%23""),$H610&amp;""/""&amp;$I610),IF($H610&lt;&gt;"""",IF(REGEXMATCH($H610,""50( ?['fF]([oO]{2})?[tT]?)?( ?[eE][rR]{2}[oO][rR])""),HYPERLINK(""https://www.munzee.com/map/?sandbox=1&amp;lat=""&amp;$D610&amp;""&amp;lon=""&amp;$E610&amp;""&amp;name=""&amp;SUBSTITUTE($A610,""#"",""%23""),""SANDBOX"""&amp;"),HYPERLINK(""https://www.munzee.com/m/""&amp;$H610&amp;""/deploys/0/type/""&amp;IFNA(VLOOKUP($G610,IMPORTRANGE(""https://docs.google.com/spreadsheets/d/1DliIGyDywdzxhd4svtjaewR0p9Y5UBTMNMQ2PcXsqss"",""type data!E2:F""),2,FALSE),$G610)&amp;""/"",$H610)),""""))"),"rohdej/1149")</f>
        <v>rohdej/1149</v>
      </c>
      <c r="L610" s="19" t="b">
        <v>1</v>
      </c>
      <c r="M610" s="12">
        <f t="shared" si="1"/>
        <v>10</v>
      </c>
      <c r="N610" s="13"/>
      <c r="O610" s="13"/>
      <c r="P610" s="29"/>
    </row>
    <row r="611">
      <c r="A611" s="15" t="s">
        <v>872</v>
      </c>
      <c r="B611" s="16">
        <v>31.0</v>
      </c>
      <c r="C611" s="16">
        <v>4.0</v>
      </c>
      <c r="D611" s="17">
        <v>44.861762671815</v>
      </c>
      <c r="E611" s="17">
        <v>-93.336250472683</v>
      </c>
      <c r="F611" s="16" t="s">
        <v>16</v>
      </c>
      <c r="G611" s="16" t="s">
        <v>17</v>
      </c>
      <c r="H611" s="18" t="s">
        <v>14</v>
      </c>
      <c r="I611" s="19">
        <v>2602.0</v>
      </c>
      <c r="J611" s="39"/>
      <c r="K611" s="11" t="str">
        <f>IFERROR(__xludf.DUMMYFUNCTION("IF(AND(REGEXMATCH($H611,""50( ?['fF]([oO]{2})?[tT]?)?( ?[eE][rR]{2}[oO][rR])"")=FALSE,$H611&lt;&gt;"""",$I611&lt;&gt;""""),HYPERLINK(""https://www.munzee.com/m/""&amp;$H611&amp;""/""&amp;$I611&amp;""/map/?lat=""&amp;$D611&amp;""&amp;lon=""&amp;$E611&amp;""&amp;type=""&amp;$G611&amp;""&amp;name=""&amp;SUBSTITUTE($A611,""#"&amp;""",""%23""),$H611&amp;""/""&amp;$I611),IF($H611&lt;&gt;"""",IF(REGEXMATCH($H611,""50( ?['fF]([oO]{2})?[tT]?)?( ?[eE][rR]{2}[oO][rR])""),HYPERLINK(""https://www.munzee.com/map/?sandbox=1&amp;lat=""&amp;$D611&amp;""&amp;lon=""&amp;$E611&amp;""&amp;name=""&amp;SUBSTITUTE($A611,""#"",""%23""),""SANDBOX"""&amp;"),HYPERLINK(""https://www.munzee.com/m/""&amp;$H611&amp;""/deploys/0/type/""&amp;IFNA(VLOOKUP($G611,IMPORTRANGE(""https://docs.google.com/spreadsheets/d/1DliIGyDywdzxhd4svtjaewR0p9Y5UBTMNMQ2PcXsqss"",""type data!E2:F""),2,FALSE),$G611)&amp;""/"",$H611)),""""))"),"JABIE28/2602")</f>
        <v>JABIE28/2602</v>
      </c>
      <c r="L611" s="19" t="b">
        <v>1</v>
      </c>
      <c r="M611" s="12">
        <f t="shared" si="1"/>
        <v>85</v>
      </c>
      <c r="N611" s="13"/>
      <c r="O611" s="13"/>
      <c r="P611" s="29"/>
    </row>
    <row r="612">
      <c r="A612" s="15" t="s">
        <v>873</v>
      </c>
      <c r="B612" s="16">
        <v>31.0</v>
      </c>
      <c r="C612" s="16">
        <v>5.0</v>
      </c>
      <c r="D612" s="17">
        <v>44.861762671635</v>
      </c>
      <c r="E612" s="17">
        <v>-93.336047695786</v>
      </c>
      <c r="F612" s="16" t="s">
        <v>41</v>
      </c>
      <c r="G612" s="16" t="s">
        <v>17</v>
      </c>
      <c r="H612" s="18" t="s">
        <v>874</v>
      </c>
      <c r="I612" s="19">
        <v>4329.0</v>
      </c>
      <c r="J612" s="21"/>
      <c r="K612" s="11" t="str">
        <f>IFERROR(__xludf.DUMMYFUNCTION("IF(AND(REGEXMATCH($H612,""50( ?['fF]([oO]{2})?[tT]?)?( ?[eE][rR]{2}[oO][rR])"")=FALSE,$H612&lt;&gt;"""",$I612&lt;&gt;""""),HYPERLINK(""https://www.munzee.com/m/""&amp;$H612&amp;""/""&amp;$I612&amp;""/map/?lat=""&amp;$D612&amp;""&amp;lon=""&amp;$E612&amp;""&amp;type=""&amp;$G612&amp;""&amp;name=""&amp;SUBSTITUTE($A612,""#"&amp;""",""%23""),$H612&amp;""/""&amp;$I612),IF($H612&lt;&gt;"""",IF(REGEXMATCH($H612,""50( ?['fF]([oO]{2})?[tT]?)?( ?[eE][rR]{2}[oO][rR])""),HYPERLINK(""https://www.munzee.com/map/?sandbox=1&amp;lat=""&amp;$D612&amp;""&amp;lon=""&amp;$E612&amp;""&amp;name=""&amp;SUBSTITUTE($A612,""#"",""%23""),""SANDBOX"""&amp;"),HYPERLINK(""https://www.munzee.com/m/""&amp;$H612&amp;""/deploys/0/type/""&amp;IFNA(VLOOKUP($G612,IMPORTRANGE(""https://docs.google.com/spreadsheets/d/1DliIGyDywdzxhd4svtjaewR0p9Y5UBTMNMQ2PcXsqss"",""type data!E2:F""),2,FALSE),$G612)&amp;""/"",$H612)),""""))"),"TJACS/4329")</f>
        <v>TJACS/4329</v>
      </c>
      <c r="L612" s="19" t="b">
        <v>1</v>
      </c>
      <c r="M612" s="12">
        <f t="shared" si="1"/>
        <v>11</v>
      </c>
      <c r="N612" s="13"/>
      <c r="O612" s="13"/>
      <c r="P612" s="29"/>
    </row>
    <row r="613">
      <c r="A613" s="15" t="s">
        <v>875</v>
      </c>
      <c r="B613" s="16">
        <v>31.0</v>
      </c>
      <c r="C613" s="16">
        <v>6.0</v>
      </c>
      <c r="D613" s="17">
        <v>44.861762671456</v>
      </c>
      <c r="E613" s="17">
        <v>-93.335844918889</v>
      </c>
      <c r="F613" s="16" t="s">
        <v>41</v>
      </c>
      <c r="G613" s="16" t="s">
        <v>17</v>
      </c>
      <c r="H613" s="18" t="s">
        <v>627</v>
      </c>
      <c r="I613" s="19">
        <v>1352.0</v>
      </c>
      <c r="J613" s="21"/>
      <c r="K613" s="11" t="str">
        <f>IFERROR(__xludf.DUMMYFUNCTION("IF(AND(REGEXMATCH($H613,""50( ?['fF]([oO]{2})?[tT]?)?( ?[eE][rR]{2}[oO][rR])"")=FALSE,$H613&lt;&gt;"""",$I613&lt;&gt;""""),HYPERLINK(""https://www.munzee.com/m/""&amp;$H613&amp;""/""&amp;$I613&amp;""/map/?lat=""&amp;$D613&amp;""&amp;lon=""&amp;$E613&amp;""&amp;type=""&amp;$G613&amp;""&amp;name=""&amp;SUBSTITUTE($A613,""#"&amp;""",""%23""),$H613&amp;""/""&amp;$I613),IF($H613&lt;&gt;"""",IF(REGEXMATCH($H613,""50( ?['fF]([oO]{2})?[tT]?)?( ?[eE][rR]{2}[oO][rR])""),HYPERLINK(""https://www.munzee.com/map/?sandbox=1&amp;lat=""&amp;$D613&amp;""&amp;lon=""&amp;$E613&amp;""&amp;name=""&amp;SUBSTITUTE($A613,""#"",""%23""),""SANDBOX"""&amp;"),HYPERLINK(""https://www.munzee.com/m/""&amp;$H613&amp;""/deploys/0/type/""&amp;IFNA(VLOOKUP($G613,IMPORTRANGE(""https://docs.google.com/spreadsheets/d/1DliIGyDywdzxhd4svtjaewR0p9Y5UBTMNMQ2PcXsqss"",""type data!E2:F""),2,FALSE),$G613)&amp;""/"",$H613)),""""))"),"mayberryman/1352")</f>
        <v>mayberryman/1352</v>
      </c>
      <c r="L613" s="19" t="b">
        <v>1</v>
      </c>
      <c r="M613" s="12">
        <f t="shared" si="1"/>
        <v>3</v>
      </c>
      <c r="N613" s="13"/>
      <c r="O613" s="13"/>
      <c r="P613" s="29"/>
    </row>
    <row r="614">
      <c r="A614" s="15" t="s">
        <v>876</v>
      </c>
      <c r="B614" s="16">
        <v>31.0</v>
      </c>
      <c r="C614" s="16">
        <v>7.0</v>
      </c>
      <c r="D614" s="17">
        <v>44.861762671277</v>
      </c>
      <c r="E614" s="17">
        <v>-93.335642141992</v>
      </c>
      <c r="F614" s="16" t="s">
        <v>41</v>
      </c>
      <c r="G614" s="16" t="s">
        <v>17</v>
      </c>
      <c r="H614" s="18" t="s">
        <v>14</v>
      </c>
      <c r="I614" s="19">
        <v>3242.0</v>
      </c>
      <c r="J614" s="39"/>
      <c r="K614" s="11" t="str">
        <f>IFERROR(__xludf.DUMMYFUNCTION("IF(AND(REGEXMATCH($H614,""50( ?['fF]([oO]{2})?[tT]?)?( ?[eE][rR]{2}[oO][rR])"")=FALSE,$H614&lt;&gt;"""",$I614&lt;&gt;""""),HYPERLINK(""https://www.munzee.com/m/""&amp;$H614&amp;""/""&amp;$I614&amp;""/map/?lat=""&amp;$D614&amp;""&amp;lon=""&amp;$E614&amp;""&amp;type=""&amp;$G614&amp;""&amp;name=""&amp;SUBSTITUTE($A614,""#"&amp;""",""%23""),$H614&amp;""/""&amp;$I614),IF($H614&lt;&gt;"""",IF(REGEXMATCH($H614,""50( ?['fF]([oO]{2})?[tT]?)?( ?[eE][rR]{2}[oO][rR])""),HYPERLINK(""https://www.munzee.com/map/?sandbox=1&amp;lat=""&amp;$D614&amp;""&amp;lon=""&amp;$E614&amp;""&amp;name=""&amp;SUBSTITUTE($A614,""#"",""%23""),""SANDBOX"""&amp;"),HYPERLINK(""https://www.munzee.com/m/""&amp;$H614&amp;""/deploys/0/type/""&amp;IFNA(VLOOKUP($G614,IMPORTRANGE(""https://docs.google.com/spreadsheets/d/1DliIGyDywdzxhd4svtjaewR0p9Y5UBTMNMQ2PcXsqss"",""type data!E2:F""),2,FALSE),$G614)&amp;""/"",$H614)),""""))"),"JABIE28/3242")</f>
        <v>JABIE28/3242</v>
      </c>
      <c r="L614" s="19" t="b">
        <v>1</v>
      </c>
      <c r="M614" s="12">
        <f t="shared" si="1"/>
        <v>85</v>
      </c>
      <c r="N614" s="13"/>
      <c r="O614" s="13"/>
      <c r="P614" s="29"/>
    </row>
    <row r="615">
      <c r="A615" s="15" t="s">
        <v>877</v>
      </c>
      <c r="B615" s="16">
        <v>31.0</v>
      </c>
      <c r="C615" s="16">
        <v>8.0</v>
      </c>
      <c r="D615" s="17">
        <v>44.861762671097</v>
      </c>
      <c r="E615" s="17">
        <v>-93.335439365096</v>
      </c>
      <c r="F615" s="16" t="s">
        <v>510</v>
      </c>
      <c r="G615" s="16" t="s">
        <v>17</v>
      </c>
      <c r="H615" s="18" t="s">
        <v>874</v>
      </c>
      <c r="I615" s="19">
        <v>4325.0</v>
      </c>
      <c r="J615" s="21"/>
      <c r="K615" s="11" t="str">
        <f>IFERROR(__xludf.DUMMYFUNCTION("IF(AND(REGEXMATCH($H615,""50( ?['fF]([oO]{2})?[tT]?)?( ?[eE][rR]{2}[oO][rR])"")=FALSE,$H615&lt;&gt;"""",$I615&lt;&gt;""""),HYPERLINK(""https://www.munzee.com/m/""&amp;$H615&amp;""/""&amp;$I615&amp;""/map/?lat=""&amp;$D615&amp;""&amp;lon=""&amp;$E615&amp;""&amp;type=""&amp;$G615&amp;""&amp;name=""&amp;SUBSTITUTE($A615,""#"&amp;""",""%23""),$H615&amp;""/""&amp;$I615),IF($H615&lt;&gt;"""",IF(REGEXMATCH($H615,""50( ?['fF]([oO]{2})?[tT]?)?( ?[eE][rR]{2}[oO][rR])""),HYPERLINK(""https://www.munzee.com/map/?sandbox=1&amp;lat=""&amp;$D615&amp;""&amp;lon=""&amp;$E615&amp;""&amp;name=""&amp;SUBSTITUTE($A615,""#"",""%23""),""SANDBOX"""&amp;"),HYPERLINK(""https://www.munzee.com/m/""&amp;$H615&amp;""/deploys/0/type/""&amp;IFNA(VLOOKUP($G615,IMPORTRANGE(""https://docs.google.com/spreadsheets/d/1DliIGyDywdzxhd4svtjaewR0p9Y5UBTMNMQ2PcXsqss"",""type data!E2:F""),2,FALSE),$G615)&amp;""/"",$H615)),""""))"),"TJACS/4325")</f>
        <v>TJACS/4325</v>
      </c>
      <c r="L615" s="19" t="b">
        <v>1</v>
      </c>
      <c r="M615" s="12">
        <f t="shared" si="1"/>
        <v>11</v>
      </c>
      <c r="N615" s="13"/>
      <c r="O615" s="13"/>
      <c r="P615" s="29"/>
    </row>
    <row r="616">
      <c r="A616" s="15" t="s">
        <v>878</v>
      </c>
      <c r="B616" s="16">
        <v>31.0</v>
      </c>
      <c r="C616" s="16">
        <v>9.0</v>
      </c>
      <c r="D616" s="17">
        <v>44.861762670918</v>
      </c>
      <c r="E616" s="17">
        <v>-93.335236588199</v>
      </c>
      <c r="F616" s="16" t="s">
        <v>510</v>
      </c>
      <c r="G616" s="16" t="s">
        <v>17</v>
      </c>
      <c r="H616" s="18" t="s">
        <v>413</v>
      </c>
      <c r="I616" s="19">
        <v>541.0</v>
      </c>
      <c r="J616" s="21"/>
      <c r="K616" s="11" t="str">
        <f>IFERROR(__xludf.DUMMYFUNCTION("IF(AND(REGEXMATCH($H616,""50( ?['fF]([oO]{2})?[tT]?)?( ?[eE][rR]{2}[oO][rR])"")=FALSE,$H616&lt;&gt;"""",$I616&lt;&gt;""""),HYPERLINK(""https://www.munzee.com/m/""&amp;$H616&amp;""/""&amp;$I616&amp;""/map/?lat=""&amp;$D616&amp;""&amp;lon=""&amp;$E616&amp;""&amp;type=""&amp;$G616&amp;""&amp;name=""&amp;SUBSTITUTE($A616,""#"&amp;""",""%23""),$H616&amp;""/""&amp;$I616),IF($H616&lt;&gt;"""",IF(REGEXMATCH($H616,""50( ?['fF]([oO]{2})?[tT]?)?( ?[eE][rR]{2}[oO][rR])""),HYPERLINK(""https://www.munzee.com/map/?sandbox=1&amp;lat=""&amp;$D616&amp;""&amp;lon=""&amp;$E616&amp;""&amp;name=""&amp;SUBSTITUTE($A616,""#"",""%23""),""SANDBOX"""&amp;"),HYPERLINK(""https://www.munzee.com/m/""&amp;$H616&amp;""/deploys/0/type/""&amp;IFNA(VLOOKUP($G616,IMPORTRANGE(""https://docs.google.com/spreadsheets/d/1DliIGyDywdzxhd4svtjaewR0p9Y5UBTMNMQ2PcXsqss"",""type data!E2:F""),2,FALSE),$G616)&amp;""/"",$H616)),""""))"),"Tusantanna/541")</f>
        <v>Tusantanna/541</v>
      </c>
      <c r="L616" s="19" t="b">
        <v>1</v>
      </c>
      <c r="M616" s="12">
        <f t="shared" si="1"/>
        <v>2</v>
      </c>
      <c r="N616" s="13"/>
      <c r="O616" s="13"/>
      <c r="P616" s="29"/>
    </row>
    <row r="617">
      <c r="A617" s="15" t="s">
        <v>879</v>
      </c>
      <c r="B617" s="16">
        <v>31.0</v>
      </c>
      <c r="C617" s="16">
        <v>10.0</v>
      </c>
      <c r="D617" s="17">
        <v>44.861762670738</v>
      </c>
      <c r="E617" s="17">
        <v>-93.335033811302</v>
      </c>
      <c r="F617" s="16" t="s">
        <v>510</v>
      </c>
      <c r="G617" s="16" t="s">
        <v>17</v>
      </c>
      <c r="H617" s="18" t="s">
        <v>14</v>
      </c>
      <c r="I617" s="19">
        <v>3241.0</v>
      </c>
      <c r="J617" s="21"/>
      <c r="K617" s="11" t="str">
        <f>IFERROR(__xludf.DUMMYFUNCTION("IF(AND(REGEXMATCH($H617,""50( ?['fF]([oO]{2})?[tT]?)?( ?[eE][rR]{2}[oO][rR])"")=FALSE,$H617&lt;&gt;"""",$I617&lt;&gt;""""),HYPERLINK(""https://www.munzee.com/m/""&amp;$H617&amp;""/""&amp;$I617&amp;""/map/?lat=""&amp;$D617&amp;""&amp;lon=""&amp;$E617&amp;""&amp;type=""&amp;$G617&amp;""&amp;name=""&amp;SUBSTITUTE($A617,""#"&amp;""",""%23""),$H617&amp;""/""&amp;$I617),IF($H617&lt;&gt;"""",IF(REGEXMATCH($H617,""50( ?['fF]([oO]{2})?[tT]?)?( ?[eE][rR]{2}[oO][rR])""),HYPERLINK(""https://www.munzee.com/map/?sandbox=1&amp;lat=""&amp;$D617&amp;""&amp;lon=""&amp;$E617&amp;""&amp;name=""&amp;SUBSTITUTE($A617,""#"",""%23""),""SANDBOX"""&amp;"),HYPERLINK(""https://www.munzee.com/m/""&amp;$H617&amp;""/deploys/0/type/""&amp;IFNA(VLOOKUP($G617,IMPORTRANGE(""https://docs.google.com/spreadsheets/d/1DliIGyDywdzxhd4svtjaewR0p9Y5UBTMNMQ2PcXsqss"",""type data!E2:F""),2,FALSE),$G617)&amp;""/"",$H617)),""""))"),"JABIE28/3241")</f>
        <v>JABIE28/3241</v>
      </c>
      <c r="L617" s="19" t="b">
        <v>1</v>
      </c>
      <c r="M617" s="12">
        <f t="shared" si="1"/>
        <v>85</v>
      </c>
      <c r="N617" s="13"/>
      <c r="O617" s="13"/>
      <c r="P617" s="29"/>
    </row>
    <row r="618">
      <c r="A618" s="15" t="s">
        <v>880</v>
      </c>
      <c r="B618" s="16">
        <v>31.0</v>
      </c>
      <c r="C618" s="16">
        <v>11.0</v>
      </c>
      <c r="D618" s="17">
        <v>44.861762670559</v>
      </c>
      <c r="E618" s="17">
        <v>-93.334831034405</v>
      </c>
      <c r="F618" s="16" t="s">
        <v>41</v>
      </c>
      <c r="G618" s="16" t="s">
        <v>17</v>
      </c>
      <c r="H618" s="18" t="s">
        <v>874</v>
      </c>
      <c r="I618" s="19">
        <v>4324.0</v>
      </c>
      <c r="J618" s="21"/>
      <c r="K618" s="11" t="str">
        <f>IFERROR(__xludf.DUMMYFUNCTION("IF(AND(REGEXMATCH($H618,""50( ?['fF]([oO]{2})?[tT]?)?( ?[eE][rR]{2}[oO][rR])"")=FALSE,$H618&lt;&gt;"""",$I618&lt;&gt;""""),HYPERLINK(""https://www.munzee.com/m/""&amp;$H618&amp;""/""&amp;$I618&amp;""/map/?lat=""&amp;$D618&amp;""&amp;lon=""&amp;$E618&amp;""&amp;type=""&amp;$G618&amp;""&amp;name=""&amp;SUBSTITUTE($A618,""#"&amp;""",""%23""),$H618&amp;""/""&amp;$I618),IF($H618&lt;&gt;"""",IF(REGEXMATCH($H618,""50( ?['fF]([oO]{2})?[tT]?)?( ?[eE][rR]{2}[oO][rR])""),HYPERLINK(""https://www.munzee.com/map/?sandbox=1&amp;lat=""&amp;$D618&amp;""&amp;lon=""&amp;$E618&amp;""&amp;name=""&amp;SUBSTITUTE($A618,""#"",""%23""),""SANDBOX"""&amp;"),HYPERLINK(""https://www.munzee.com/m/""&amp;$H618&amp;""/deploys/0/type/""&amp;IFNA(VLOOKUP($G618,IMPORTRANGE(""https://docs.google.com/spreadsheets/d/1DliIGyDywdzxhd4svtjaewR0p9Y5UBTMNMQ2PcXsqss"",""type data!E2:F""),2,FALSE),$G618)&amp;""/"",$H618)),""""))"),"TJACS/4324")</f>
        <v>TJACS/4324</v>
      </c>
      <c r="L618" s="19" t="b">
        <v>1</v>
      </c>
      <c r="M618" s="12">
        <f t="shared" si="1"/>
        <v>11</v>
      </c>
      <c r="N618" s="13"/>
      <c r="O618" s="13"/>
      <c r="P618" s="15"/>
    </row>
    <row r="619">
      <c r="A619" s="15" t="s">
        <v>881</v>
      </c>
      <c r="B619" s="16">
        <v>31.0</v>
      </c>
      <c r="C619" s="16">
        <v>12.0</v>
      </c>
      <c r="D619" s="17">
        <v>44.86176267038</v>
      </c>
      <c r="E619" s="17">
        <v>-93.334628257508</v>
      </c>
      <c r="F619" s="16" t="s">
        <v>41</v>
      </c>
      <c r="G619" s="16" t="s">
        <v>17</v>
      </c>
      <c r="H619" s="18" t="s">
        <v>419</v>
      </c>
      <c r="I619" s="19">
        <v>126.0</v>
      </c>
      <c r="J619" s="21"/>
      <c r="K619" s="11" t="str">
        <f>IFERROR(__xludf.DUMMYFUNCTION("IF(AND(REGEXMATCH($H619,""50( ?['fF]([oO]{2})?[tT]?)?( ?[eE][rR]{2}[oO][rR])"")=FALSE,$H619&lt;&gt;"""",$I619&lt;&gt;""""),HYPERLINK(""https://www.munzee.com/m/""&amp;$H619&amp;""/""&amp;$I619&amp;""/map/?lat=""&amp;$D619&amp;""&amp;lon=""&amp;$E619&amp;""&amp;type=""&amp;$G619&amp;""&amp;name=""&amp;SUBSTITUTE($A619,""#"&amp;""",""%23""),$H619&amp;""/""&amp;$I619),IF($H619&lt;&gt;"""",IF(REGEXMATCH($H619,""50( ?['fF]([oO]{2})?[tT]?)?( ?[eE][rR]{2}[oO][rR])""),HYPERLINK(""https://www.munzee.com/map/?sandbox=1&amp;lat=""&amp;$D619&amp;""&amp;lon=""&amp;$E619&amp;""&amp;name=""&amp;SUBSTITUTE($A619,""#"",""%23""),""SANDBOX"""&amp;"),HYPERLINK(""https://www.munzee.com/m/""&amp;$H619&amp;""/deploys/0/type/""&amp;IFNA(VLOOKUP($G619,IMPORTRANGE(""https://docs.google.com/spreadsheets/d/1DliIGyDywdzxhd4svtjaewR0p9Y5UBTMNMQ2PcXsqss"",""type data!E2:F""),2,FALSE),$G619)&amp;""/"",$H619)),""""))"),"R0buTre10/126")</f>
        <v>R0buTre10/126</v>
      </c>
      <c r="L619" s="19" t="b">
        <v>1</v>
      </c>
      <c r="M619" s="12">
        <f t="shared" si="1"/>
        <v>2</v>
      </c>
      <c r="N619" s="13"/>
      <c r="O619" s="13"/>
      <c r="P619" s="15"/>
    </row>
    <row r="620">
      <c r="A620" s="15" t="s">
        <v>882</v>
      </c>
      <c r="B620" s="16">
        <v>31.0</v>
      </c>
      <c r="C620" s="16">
        <v>13.0</v>
      </c>
      <c r="D620" s="17">
        <v>44.8617626702</v>
      </c>
      <c r="E620" s="17">
        <v>-93.334425480611</v>
      </c>
      <c r="F620" s="16" t="s">
        <v>41</v>
      </c>
      <c r="G620" s="16" t="s">
        <v>17</v>
      </c>
      <c r="H620" s="18" t="s">
        <v>14</v>
      </c>
      <c r="I620" s="19">
        <v>3457.0</v>
      </c>
      <c r="J620" s="39"/>
      <c r="K620" s="11" t="str">
        <f>IFERROR(__xludf.DUMMYFUNCTION("IF(AND(REGEXMATCH($H620,""50( ?['fF]([oO]{2})?[tT]?)?( ?[eE][rR]{2}[oO][rR])"")=FALSE,$H620&lt;&gt;"""",$I620&lt;&gt;""""),HYPERLINK(""https://www.munzee.com/m/""&amp;$H620&amp;""/""&amp;$I620&amp;""/map/?lat=""&amp;$D620&amp;""&amp;lon=""&amp;$E620&amp;""&amp;type=""&amp;$G620&amp;""&amp;name=""&amp;SUBSTITUTE($A620,""#"&amp;""",""%23""),$H620&amp;""/""&amp;$I620),IF($H620&lt;&gt;"""",IF(REGEXMATCH($H620,""50( ?['fF]([oO]{2})?[tT]?)?( ?[eE][rR]{2}[oO][rR])""),HYPERLINK(""https://www.munzee.com/map/?sandbox=1&amp;lat=""&amp;$D620&amp;""&amp;lon=""&amp;$E620&amp;""&amp;name=""&amp;SUBSTITUTE($A620,""#"",""%23""),""SANDBOX"""&amp;"),HYPERLINK(""https://www.munzee.com/m/""&amp;$H620&amp;""/deploys/0/type/""&amp;IFNA(VLOOKUP($G620,IMPORTRANGE(""https://docs.google.com/spreadsheets/d/1DliIGyDywdzxhd4svtjaewR0p9Y5UBTMNMQ2PcXsqss"",""type data!E2:F""),2,FALSE),$G620)&amp;""/"",$H620)),""""))"),"JABIE28/3457")</f>
        <v>JABIE28/3457</v>
      </c>
      <c r="L620" s="19" t="b">
        <v>1</v>
      </c>
      <c r="M620" s="12">
        <f t="shared" si="1"/>
        <v>85</v>
      </c>
      <c r="N620" s="13"/>
      <c r="O620" s="13"/>
      <c r="P620" s="29"/>
    </row>
    <row r="621">
      <c r="A621" s="15" t="s">
        <v>883</v>
      </c>
      <c r="B621" s="16">
        <v>31.0</v>
      </c>
      <c r="C621" s="16">
        <v>14.0</v>
      </c>
      <c r="D621" s="17">
        <v>44.861762670021</v>
      </c>
      <c r="E621" s="17">
        <v>-93.334222703714</v>
      </c>
      <c r="F621" s="16" t="s">
        <v>41</v>
      </c>
      <c r="G621" s="16" t="s">
        <v>17</v>
      </c>
      <c r="H621" s="18" t="s">
        <v>874</v>
      </c>
      <c r="I621" s="19">
        <v>4323.0</v>
      </c>
      <c r="J621" s="21"/>
      <c r="K621" s="11" t="str">
        <f>IFERROR(__xludf.DUMMYFUNCTION("IF(AND(REGEXMATCH($H621,""50( ?['fF]([oO]{2})?[tT]?)?( ?[eE][rR]{2}[oO][rR])"")=FALSE,$H621&lt;&gt;"""",$I621&lt;&gt;""""),HYPERLINK(""https://www.munzee.com/m/""&amp;$H621&amp;""/""&amp;$I621&amp;""/map/?lat=""&amp;$D621&amp;""&amp;lon=""&amp;$E621&amp;""&amp;type=""&amp;$G621&amp;""&amp;name=""&amp;SUBSTITUTE($A621,""#"&amp;""",""%23""),$H621&amp;""/""&amp;$I621),IF($H621&lt;&gt;"""",IF(REGEXMATCH($H621,""50( ?['fF]([oO]{2})?[tT]?)?( ?[eE][rR]{2}[oO][rR])""),HYPERLINK(""https://www.munzee.com/map/?sandbox=1&amp;lat=""&amp;$D621&amp;""&amp;lon=""&amp;$E621&amp;""&amp;name=""&amp;SUBSTITUTE($A621,""#"",""%23""),""SANDBOX"""&amp;"),HYPERLINK(""https://www.munzee.com/m/""&amp;$H621&amp;""/deploys/0/type/""&amp;IFNA(VLOOKUP($G621,IMPORTRANGE(""https://docs.google.com/spreadsheets/d/1DliIGyDywdzxhd4svtjaewR0p9Y5UBTMNMQ2PcXsqss"",""type data!E2:F""),2,FALSE),$G621)&amp;""/"",$H621)),""""))"),"TJACS/4323")</f>
        <v>TJACS/4323</v>
      </c>
      <c r="L621" s="19" t="b">
        <v>1</v>
      </c>
      <c r="M621" s="12">
        <f t="shared" si="1"/>
        <v>11</v>
      </c>
      <c r="N621" s="13"/>
      <c r="O621" s="13"/>
      <c r="P621" s="29"/>
    </row>
    <row r="622">
      <c r="A622" s="15" t="s">
        <v>884</v>
      </c>
      <c r="B622" s="16">
        <v>31.0</v>
      </c>
      <c r="C622" s="16">
        <v>15.0</v>
      </c>
      <c r="D622" s="17">
        <v>44.861762669841</v>
      </c>
      <c r="E622" s="17">
        <v>-93.334019926818</v>
      </c>
      <c r="F622" s="16" t="s">
        <v>41</v>
      </c>
      <c r="G622" s="16" t="s">
        <v>17</v>
      </c>
      <c r="H622" s="18" t="s">
        <v>743</v>
      </c>
      <c r="I622" s="19">
        <v>348.0</v>
      </c>
      <c r="J622" s="21"/>
      <c r="K622" s="11" t="str">
        <f>IFERROR(__xludf.DUMMYFUNCTION("IF(AND(REGEXMATCH($H622,""50( ?['fF]([oO]{2})?[tT]?)?( ?[eE][rR]{2}[oO][rR])"")=FALSE,$H622&lt;&gt;"""",$I622&lt;&gt;""""),HYPERLINK(""https://www.munzee.com/m/""&amp;$H622&amp;""/""&amp;$I622&amp;""/map/?lat=""&amp;$D622&amp;""&amp;lon=""&amp;$E622&amp;""&amp;type=""&amp;$G622&amp;""&amp;name=""&amp;SUBSTITUTE($A622,""#"&amp;""",""%23""),$H622&amp;""/""&amp;$I622),IF($H622&lt;&gt;"""",IF(REGEXMATCH($H622,""50( ?['fF]([oO]{2})?[tT]?)?( ?[eE][rR]{2}[oO][rR])""),HYPERLINK(""https://www.munzee.com/map/?sandbox=1&amp;lat=""&amp;$D622&amp;""&amp;lon=""&amp;$E622&amp;""&amp;name=""&amp;SUBSTITUTE($A622,""#"",""%23""),""SANDBOX"""&amp;"),HYPERLINK(""https://www.munzee.com/m/""&amp;$H622&amp;""/deploys/0/type/""&amp;IFNA(VLOOKUP($G622,IMPORTRANGE(""https://docs.google.com/spreadsheets/d/1DliIGyDywdzxhd4svtjaewR0p9Y5UBTMNMQ2PcXsqss"",""type data!E2:F""),2,FALSE),$G622)&amp;""/"",$H622)),""""))"),"TTFNCachn /348")</f>
        <v>TTFNCachn /348</v>
      </c>
      <c r="L622" s="19" t="b">
        <v>1</v>
      </c>
      <c r="M622" s="12">
        <f t="shared" si="1"/>
        <v>2</v>
      </c>
      <c r="N622" s="13"/>
      <c r="O622" s="13"/>
      <c r="P622" s="15"/>
    </row>
    <row r="623">
      <c r="A623" s="15" t="s">
        <v>885</v>
      </c>
      <c r="B623" s="16">
        <v>31.0</v>
      </c>
      <c r="C623" s="16">
        <v>16.0</v>
      </c>
      <c r="D623" s="17">
        <v>44.861762669662</v>
      </c>
      <c r="E623" s="17">
        <v>-93.333817149921</v>
      </c>
      <c r="F623" s="16" t="s">
        <v>41</v>
      </c>
      <c r="G623" s="16" t="s">
        <v>17</v>
      </c>
      <c r="H623" s="18" t="s">
        <v>886</v>
      </c>
      <c r="I623" s="19">
        <v>5756.0</v>
      </c>
      <c r="J623" s="21"/>
      <c r="K623" s="11" t="str">
        <f>IFERROR(__xludf.DUMMYFUNCTION("IF(AND(REGEXMATCH($H623,""50( ?['fF]([oO]{2})?[tT]?)?( ?[eE][rR]{2}[oO][rR])"")=FALSE,$H623&lt;&gt;"""",$I623&lt;&gt;""""),HYPERLINK(""https://www.munzee.com/m/""&amp;$H623&amp;""/""&amp;$I623&amp;""/map/?lat=""&amp;$D623&amp;""&amp;lon=""&amp;$E623&amp;""&amp;type=""&amp;$G623&amp;""&amp;name=""&amp;SUBSTITUTE($A623,""#"&amp;""",""%23""),$H623&amp;""/""&amp;$I623),IF($H623&lt;&gt;"""",IF(REGEXMATCH($H623,""50( ?['fF]([oO]{2})?[tT]?)?( ?[eE][rR]{2}[oO][rR])""),HYPERLINK(""https://www.munzee.com/map/?sandbox=1&amp;lat=""&amp;$D623&amp;""&amp;lon=""&amp;$E623&amp;""&amp;name=""&amp;SUBSTITUTE($A623,""#"",""%23""),""SANDBOX"""&amp;"),HYPERLINK(""https://www.munzee.com/m/""&amp;$H623&amp;""/deploys/0/type/""&amp;IFNA(VLOOKUP($G623,IMPORTRANGE(""https://docs.google.com/spreadsheets/d/1DliIGyDywdzxhd4svtjaewR0p9Y5UBTMNMQ2PcXsqss"",""type data!E2:F""),2,FALSE),$G623)&amp;""/"",$H623)),""""))"),"traycee/5756")</f>
        <v>traycee/5756</v>
      </c>
      <c r="L623" s="19" t="b">
        <v>1</v>
      </c>
      <c r="M623" s="12">
        <f t="shared" si="1"/>
        <v>5</v>
      </c>
      <c r="N623" s="13"/>
      <c r="O623" s="13"/>
      <c r="P623" s="15"/>
    </row>
    <row r="624">
      <c r="A624" s="15" t="s">
        <v>887</v>
      </c>
      <c r="B624" s="16">
        <v>31.0</v>
      </c>
      <c r="C624" s="16">
        <v>17.0</v>
      </c>
      <c r="D624" s="17">
        <v>44.861762669482</v>
      </c>
      <c r="E624" s="17">
        <v>-93.333614373024</v>
      </c>
      <c r="F624" s="16" t="s">
        <v>41</v>
      </c>
      <c r="G624" s="16" t="s">
        <v>17</v>
      </c>
      <c r="H624" s="18" t="s">
        <v>874</v>
      </c>
      <c r="I624" s="19">
        <v>4314.0</v>
      </c>
      <c r="J624" s="21"/>
      <c r="K624" s="11" t="str">
        <f>IFERROR(__xludf.DUMMYFUNCTION("IF(AND(REGEXMATCH($H624,""50( ?['fF]([oO]{2})?[tT]?)?( ?[eE][rR]{2}[oO][rR])"")=FALSE,$H624&lt;&gt;"""",$I624&lt;&gt;""""),HYPERLINK(""https://www.munzee.com/m/""&amp;$H624&amp;""/""&amp;$I624&amp;""/map/?lat=""&amp;$D624&amp;""&amp;lon=""&amp;$E624&amp;""&amp;type=""&amp;$G624&amp;""&amp;name=""&amp;SUBSTITUTE($A624,""#"&amp;""",""%23""),$H624&amp;""/""&amp;$I624),IF($H624&lt;&gt;"""",IF(REGEXMATCH($H624,""50( ?['fF]([oO]{2})?[tT]?)?( ?[eE][rR]{2}[oO][rR])""),HYPERLINK(""https://www.munzee.com/map/?sandbox=1&amp;lat=""&amp;$D624&amp;""&amp;lon=""&amp;$E624&amp;""&amp;name=""&amp;SUBSTITUTE($A624,""#"",""%23""),""SANDBOX"""&amp;"),HYPERLINK(""https://www.munzee.com/m/""&amp;$H624&amp;""/deploys/0/type/""&amp;IFNA(VLOOKUP($G624,IMPORTRANGE(""https://docs.google.com/spreadsheets/d/1DliIGyDywdzxhd4svtjaewR0p9Y5UBTMNMQ2PcXsqss"",""type data!E2:F""),2,FALSE),$G624)&amp;""/"",$H624)),""""))"),"TJACS/4314")</f>
        <v>TJACS/4314</v>
      </c>
      <c r="L624" s="19" t="b">
        <v>1</v>
      </c>
      <c r="M624" s="12">
        <f t="shared" si="1"/>
        <v>11</v>
      </c>
      <c r="N624" s="13"/>
      <c r="O624" s="13"/>
      <c r="P624" s="29"/>
    </row>
    <row r="625">
      <c r="A625" s="15" t="s">
        <v>888</v>
      </c>
      <c r="B625" s="16">
        <v>31.0</v>
      </c>
      <c r="C625" s="16">
        <v>18.0</v>
      </c>
      <c r="D625" s="17">
        <v>44.861762669303</v>
      </c>
      <c r="E625" s="17">
        <v>-93.333411596127</v>
      </c>
      <c r="F625" s="16" t="s">
        <v>41</v>
      </c>
      <c r="G625" s="16" t="s">
        <v>17</v>
      </c>
      <c r="H625" s="18" t="s">
        <v>14</v>
      </c>
      <c r="I625" s="19">
        <v>2169.0</v>
      </c>
      <c r="J625" s="20"/>
      <c r="K625" s="11" t="str">
        <f>IFERROR(__xludf.DUMMYFUNCTION("IF(AND(REGEXMATCH($H625,""50( ?['fF]([oO]{2})?[tT]?)?( ?[eE][rR]{2}[oO][rR])"")=FALSE,$H625&lt;&gt;"""",$I625&lt;&gt;""""),HYPERLINK(""https://www.munzee.com/m/""&amp;$H625&amp;""/""&amp;$I625&amp;""/map/?lat=""&amp;$D625&amp;""&amp;lon=""&amp;$E625&amp;""&amp;type=""&amp;$G625&amp;""&amp;name=""&amp;SUBSTITUTE($A625,""#"&amp;""",""%23""),$H625&amp;""/""&amp;$I625),IF($H625&lt;&gt;"""",IF(REGEXMATCH($H625,""50( ?['fF]([oO]{2})?[tT]?)?( ?[eE][rR]{2}[oO][rR])""),HYPERLINK(""https://www.munzee.com/map/?sandbox=1&amp;lat=""&amp;$D625&amp;""&amp;lon=""&amp;$E625&amp;""&amp;name=""&amp;SUBSTITUTE($A625,""#"",""%23""),""SANDBOX"""&amp;"),HYPERLINK(""https://www.munzee.com/m/""&amp;$H625&amp;""/deploys/0/type/""&amp;IFNA(VLOOKUP($G625,IMPORTRANGE(""https://docs.google.com/spreadsheets/d/1DliIGyDywdzxhd4svtjaewR0p9Y5UBTMNMQ2PcXsqss"",""type data!E2:F""),2,FALSE),$G625)&amp;""/"",$H625)),""""))"),"JABIE28/2169")</f>
        <v>JABIE28/2169</v>
      </c>
      <c r="L625" s="19" t="b">
        <v>1</v>
      </c>
      <c r="M625" s="12">
        <f t="shared" si="1"/>
        <v>85</v>
      </c>
      <c r="N625" s="13"/>
      <c r="O625" s="13"/>
      <c r="P625" s="29"/>
    </row>
    <row r="626">
      <c r="A626" s="15" t="s">
        <v>889</v>
      </c>
      <c r="B626" s="16">
        <v>31.0</v>
      </c>
      <c r="C626" s="16">
        <v>19.0</v>
      </c>
      <c r="D626" s="17">
        <v>44.861762669124</v>
      </c>
      <c r="E626" s="17">
        <v>-93.33320881923</v>
      </c>
      <c r="F626" s="16" t="s">
        <v>510</v>
      </c>
      <c r="G626" s="16" t="s">
        <v>17</v>
      </c>
      <c r="H626" s="18" t="s">
        <v>79</v>
      </c>
      <c r="I626" s="19">
        <v>7769.0</v>
      </c>
      <c r="J626" s="20"/>
      <c r="K626" s="11" t="str">
        <f>IFERROR(__xludf.DUMMYFUNCTION("IF(AND(REGEXMATCH($H626,""50( ?['fF]([oO]{2})?[tT]?)?( ?[eE][rR]{2}[oO][rR])"")=FALSE,$H626&lt;&gt;"""",$I626&lt;&gt;""""),HYPERLINK(""https://www.munzee.com/m/""&amp;$H626&amp;""/""&amp;$I626&amp;""/map/?lat=""&amp;$D626&amp;""&amp;lon=""&amp;$E626&amp;""&amp;type=""&amp;$G626&amp;""&amp;name=""&amp;SUBSTITUTE($A626,""#"&amp;""",""%23""),$H626&amp;""/""&amp;$I626),IF($H626&lt;&gt;"""",IF(REGEXMATCH($H626,""50( ?['fF]([oO]{2})?[tT]?)?( ?[eE][rR]{2}[oO][rR])""),HYPERLINK(""https://www.munzee.com/map/?sandbox=1&amp;lat=""&amp;$D626&amp;""&amp;lon=""&amp;$E626&amp;""&amp;name=""&amp;SUBSTITUTE($A626,""#"",""%23""),""SANDBOX"""&amp;"),HYPERLINK(""https://www.munzee.com/m/""&amp;$H626&amp;""/deploys/0/type/""&amp;IFNA(VLOOKUP($G626,IMPORTRANGE(""https://docs.google.com/spreadsheets/d/1DliIGyDywdzxhd4svtjaewR0p9Y5UBTMNMQ2PcXsqss"",""type data!E2:F""),2,FALSE),$G626)&amp;""/"",$H626)),""""))"),"geomatrix/7769")</f>
        <v>geomatrix/7769</v>
      </c>
      <c r="L626" s="19" t="b">
        <v>1</v>
      </c>
      <c r="M626" s="12">
        <f t="shared" si="1"/>
        <v>3</v>
      </c>
      <c r="N626" s="13"/>
      <c r="O626" s="13"/>
      <c r="P626" s="29"/>
    </row>
    <row r="627">
      <c r="A627" s="15" t="s">
        <v>890</v>
      </c>
      <c r="B627" s="16">
        <v>31.0</v>
      </c>
      <c r="C627" s="16">
        <v>20.0</v>
      </c>
      <c r="D627" s="17">
        <v>44.861762668944</v>
      </c>
      <c r="E627" s="17">
        <v>-93.333006042333</v>
      </c>
      <c r="F627" s="16" t="s">
        <v>510</v>
      </c>
      <c r="G627" s="16" t="s">
        <v>17</v>
      </c>
      <c r="H627" s="18" t="s">
        <v>874</v>
      </c>
      <c r="I627" s="19">
        <v>4312.0</v>
      </c>
      <c r="J627" s="21"/>
      <c r="K627" s="11" t="str">
        <f>IFERROR(__xludf.DUMMYFUNCTION("IF(AND(REGEXMATCH($H627,""50( ?['fF]([oO]{2})?[tT]?)?( ?[eE][rR]{2}[oO][rR])"")=FALSE,$H627&lt;&gt;"""",$I627&lt;&gt;""""),HYPERLINK(""https://www.munzee.com/m/""&amp;$H627&amp;""/""&amp;$I627&amp;""/map/?lat=""&amp;$D627&amp;""&amp;lon=""&amp;$E627&amp;""&amp;type=""&amp;$G627&amp;""&amp;name=""&amp;SUBSTITUTE($A627,""#"&amp;""",""%23""),$H627&amp;""/""&amp;$I627),IF($H627&lt;&gt;"""",IF(REGEXMATCH($H627,""50( ?['fF]([oO]{2})?[tT]?)?( ?[eE][rR]{2}[oO][rR])""),HYPERLINK(""https://www.munzee.com/map/?sandbox=1&amp;lat=""&amp;$D627&amp;""&amp;lon=""&amp;$E627&amp;""&amp;name=""&amp;SUBSTITUTE($A627,""#"",""%23""),""SANDBOX"""&amp;"),HYPERLINK(""https://www.munzee.com/m/""&amp;$H627&amp;""/deploys/0/type/""&amp;IFNA(VLOOKUP($G627,IMPORTRANGE(""https://docs.google.com/spreadsheets/d/1DliIGyDywdzxhd4svtjaewR0p9Y5UBTMNMQ2PcXsqss"",""type data!E2:F""),2,FALSE),$G627)&amp;""/"",$H627)),""""))"),"TJACS/4312")</f>
        <v>TJACS/4312</v>
      </c>
      <c r="L627" s="19" t="b">
        <v>1</v>
      </c>
      <c r="M627" s="12">
        <f t="shared" si="1"/>
        <v>11</v>
      </c>
      <c r="N627" s="13"/>
      <c r="O627" s="13"/>
      <c r="P627" s="29"/>
    </row>
    <row r="628">
      <c r="A628" s="15" t="s">
        <v>891</v>
      </c>
      <c r="B628" s="16">
        <v>31.0</v>
      </c>
      <c r="C628" s="16">
        <v>21.0</v>
      </c>
      <c r="D628" s="17">
        <v>44.861762668765</v>
      </c>
      <c r="E628" s="17">
        <v>-93.332803265437</v>
      </c>
      <c r="F628" s="16" t="s">
        <v>510</v>
      </c>
      <c r="G628" s="16" t="s">
        <v>17</v>
      </c>
      <c r="H628" s="18" t="s">
        <v>786</v>
      </c>
      <c r="I628" s="19">
        <v>7750.0</v>
      </c>
      <c r="J628" s="21"/>
      <c r="K628" s="11" t="str">
        <f>IFERROR(__xludf.DUMMYFUNCTION("IF(AND(REGEXMATCH($H628,""50( ?['fF]([oO]{2})?[tT]?)?( ?[eE][rR]{2}[oO][rR])"")=FALSE,$H628&lt;&gt;"""",$I628&lt;&gt;""""),HYPERLINK(""https://www.munzee.com/m/""&amp;$H628&amp;""/""&amp;$I628&amp;""/map/?lat=""&amp;$D628&amp;""&amp;lon=""&amp;$E628&amp;""&amp;type=""&amp;$G628&amp;""&amp;name=""&amp;SUBSTITUTE($A628,""#"&amp;""",""%23""),$H628&amp;""/""&amp;$I628),IF($H628&lt;&gt;"""",IF(REGEXMATCH($H628,""50( ?['fF]([oO]{2})?[tT]?)?( ?[eE][rR]{2}[oO][rR])""),HYPERLINK(""https://www.munzee.com/map/?sandbox=1&amp;lat=""&amp;$D628&amp;""&amp;lon=""&amp;$E628&amp;""&amp;name=""&amp;SUBSTITUTE($A628,""#"",""%23""),""SANDBOX"""&amp;"),HYPERLINK(""https://www.munzee.com/m/""&amp;$H628&amp;""/deploys/0/type/""&amp;IFNA(VLOOKUP($G628,IMPORTRANGE(""https://docs.google.com/spreadsheets/d/1DliIGyDywdzxhd4svtjaewR0p9Y5UBTMNMQ2PcXsqss"",""type data!E2:F""),2,FALSE),$G628)&amp;""/"",$H628)),""""))"),"SpaceCoastGeoStore/7750")</f>
        <v>SpaceCoastGeoStore/7750</v>
      </c>
      <c r="L628" s="19" t="b">
        <v>1</v>
      </c>
      <c r="M628" s="12">
        <f t="shared" si="1"/>
        <v>3</v>
      </c>
      <c r="N628" s="13"/>
      <c r="O628" s="13"/>
      <c r="P628" s="29"/>
    </row>
    <row r="629">
      <c r="A629" s="15" t="s">
        <v>892</v>
      </c>
      <c r="B629" s="16">
        <v>31.0</v>
      </c>
      <c r="C629" s="16">
        <v>22.0</v>
      </c>
      <c r="D629" s="17">
        <v>44.861762668585</v>
      </c>
      <c r="E629" s="17">
        <v>-93.33260048854</v>
      </c>
      <c r="F629" s="16" t="s">
        <v>41</v>
      </c>
      <c r="G629" s="16" t="s">
        <v>17</v>
      </c>
      <c r="H629" s="18" t="s">
        <v>95</v>
      </c>
      <c r="I629" s="19">
        <v>1694.0</v>
      </c>
      <c r="J629" s="28"/>
      <c r="K629" s="11" t="str">
        <f>IFERROR(__xludf.DUMMYFUNCTION("IF(AND(REGEXMATCH($H629,""50( ?['fF]([oO]{2})?[tT]?)?( ?[eE][rR]{2}[oO][rR])"")=FALSE,$H629&lt;&gt;"""",$I629&lt;&gt;""""),HYPERLINK(""https://www.munzee.com/m/""&amp;$H629&amp;""/""&amp;$I629&amp;""/map/?lat=""&amp;$D629&amp;""&amp;lon=""&amp;$E629&amp;""&amp;type=""&amp;$G629&amp;""&amp;name=""&amp;SUBSTITUTE($A629,""#"&amp;""",""%23""),$H629&amp;""/""&amp;$I629),IF($H629&lt;&gt;"""",IF(REGEXMATCH($H629,""50( ?['fF]([oO]{2})?[tT]?)?( ?[eE][rR]{2}[oO][rR])""),HYPERLINK(""https://www.munzee.com/map/?sandbox=1&amp;lat=""&amp;$D629&amp;""&amp;lon=""&amp;$E629&amp;""&amp;name=""&amp;SUBSTITUTE($A629,""#"",""%23""),""SANDBOX"""&amp;"),HYPERLINK(""https://www.munzee.com/m/""&amp;$H629&amp;""/deploys/0/type/""&amp;IFNA(VLOOKUP($G629,IMPORTRANGE(""https://docs.google.com/spreadsheets/d/1DliIGyDywdzxhd4svtjaewR0p9Y5UBTMNMQ2PcXsqss"",""type data!E2:F""),2,FALSE),$G629)&amp;""/"",$H629)),""""))"),"munzeepa/1694")</f>
        <v>munzeepa/1694</v>
      </c>
      <c r="L629" s="19" t="b">
        <v>1</v>
      </c>
      <c r="M629" s="12">
        <f t="shared" si="1"/>
        <v>20</v>
      </c>
      <c r="N629" s="13"/>
      <c r="O629" s="13"/>
      <c r="P629" s="15"/>
    </row>
    <row r="630">
      <c r="A630" s="15" t="s">
        <v>893</v>
      </c>
      <c r="B630" s="16">
        <v>31.0</v>
      </c>
      <c r="C630" s="16">
        <v>23.0</v>
      </c>
      <c r="D630" s="17">
        <v>44.861762668406</v>
      </c>
      <c r="E630" s="17">
        <v>-93.332397711643</v>
      </c>
      <c r="F630" s="16" t="s">
        <v>41</v>
      </c>
      <c r="G630" s="16" t="s">
        <v>17</v>
      </c>
      <c r="H630" s="18" t="s">
        <v>99</v>
      </c>
      <c r="I630" s="19">
        <v>1876.0</v>
      </c>
      <c r="J630" s="21"/>
      <c r="K630" s="11" t="str">
        <f>IFERROR(__xludf.DUMMYFUNCTION("IF(AND(REGEXMATCH($H630,""50( ?['fF]([oO]{2})?[tT]?)?( ?[eE][rR]{2}[oO][rR])"")=FALSE,$H630&lt;&gt;"""",$I630&lt;&gt;""""),HYPERLINK(""https://www.munzee.com/m/""&amp;$H630&amp;""/""&amp;$I630&amp;""/map/?lat=""&amp;$D630&amp;""&amp;lon=""&amp;$E630&amp;""&amp;type=""&amp;$G630&amp;""&amp;name=""&amp;SUBSTITUTE($A630,""#"&amp;""",""%23""),$H630&amp;""/""&amp;$I630),IF($H630&lt;&gt;"""",IF(REGEXMATCH($H630,""50( ?['fF]([oO]{2})?[tT]?)?( ?[eE][rR]{2}[oO][rR])""),HYPERLINK(""https://www.munzee.com/map/?sandbox=1&amp;lat=""&amp;$D630&amp;""&amp;lon=""&amp;$E630&amp;""&amp;name=""&amp;SUBSTITUTE($A630,""#"",""%23""),""SANDBOX"""&amp;"),HYPERLINK(""https://www.munzee.com/m/""&amp;$H630&amp;""/deploys/0/type/""&amp;IFNA(VLOOKUP($G630,IMPORTRANGE(""https://docs.google.com/spreadsheets/d/1DliIGyDywdzxhd4svtjaewR0p9Y5UBTMNMQ2PcXsqss"",""type data!E2:F""),2,FALSE),$G630)&amp;""/"",$H630)),""""))"),"jsamundson/1876")</f>
        <v>jsamundson/1876</v>
      </c>
      <c r="L630" s="19" t="b">
        <v>1</v>
      </c>
      <c r="M630" s="12">
        <f t="shared" si="1"/>
        <v>20</v>
      </c>
      <c r="N630" s="13"/>
      <c r="O630" s="13"/>
      <c r="P630" s="29"/>
    </row>
    <row r="631">
      <c r="A631" s="15" t="s">
        <v>894</v>
      </c>
      <c r="B631" s="16">
        <v>31.0</v>
      </c>
      <c r="C631" s="16">
        <v>24.0</v>
      </c>
      <c r="D631" s="17">
        <v>44.861762668227</v>
      </c>
      <c r="E631" s="17">
        <v>-93.332194934746</v>
      </c>
      <c r="F631" s="16" t="s">
        <v>41</v>
      </c>
      <c r="G631" s="16" t="s">
        <v>17</v>
      </c>
      <c r="H631" s="18" t="s">
        <v>895</v>
      </c>
      <c r="I631" s="19">
        <v>628.0</v>
      </c>
      <c r="J631" s="39"/>
      <c r="K631" s="11" t="str">
        <f>IFERROR(__xludf.DUMMYFUNCTION("IF(AND(REGEXMATCH($H631,""50( ?['fF]([oO]{2})?[tT]?)?( ?[eE][rR]{2}[oO][rR])"")=FALSE,$H631&lt;&gt;"""",$I631&lt;&gt;""""),HYPERLINK(""https://www.munzee.com/m/""&amp;$H631&amp;""/""&amp;$I631&amp;""/map/?lat=""&amp;$D631&amp;""&amp;lon=""&amp;$E631&amp;""&amp;type=""&amp;$G631&amp;""&amp;name=""&amp;SUBSTITUTE($A631,""#"&amp;""",""%23""),$H631&amp;""/""&amp;$I631),IF($H631&lt;&gt;"""",IF(REGEXMATCH($H631,""50( ?['fF]([oO]{2})?[tT]?)?( ?[eE][rR]{2}[oO][rR])""),HYPERLINK(""https://www.munzee.com/map/?sandbox=1&amp;lat=""&amp;$D631&amp;""&amp;lon=""&amp;$E631&amp;""&amp;name=""&amp;SUBSTITUTE($A631,""#"",""%23""),""SANDBOX"""&amp;"),HYPERLINK(""https://www.munzee.com/m/""&amp;$H631&amp;""/deploys/0/type/""&amp;IFNA(VLOOKUP($G631,IMPORTRANGE(""https://docs.google.com/spreadsheets/d/1DliIGyDywdzxhd4svtjaewR0p9Y5UBTMNMQ2PcXsqss"",""type data!E2:F""),2,FALSE),$G631)&amp;""/"",$H631)),""""))"),"Rosesquirrel/628")</f>
        <v>Rosesquirrel/628</v>
      </c>
      <c r="L631" s="19" t="b">
        <v>1</v>
      </c>
      <c r="M631" s="12">
        <f t="shared" si="1"/>
        <v>1</v>
      </c>
      <c r="N631" s="13"/>
      <c r="O631" s="13"/>
      <c r="P631" s="29"/>
    </row>
    <row r="632">
      <c r="A632" s="15" t="s">
        <v>896</v>
      </c>
      <c r="B632" s="16">
        <v>31.0</v>
      </c>
      <c r="C632" s="16">
        <v>25.0</v>
      </c>
      <c r="D632" s="17">
        <v>44.861762668047</v>
      </c>
      <c r="E632" s="17">
        <v>-93.331992157849</v>
      </c>
      <c r="F632" s="16" t="s">
        <v>16</v>
      </c>
      <c r="G632" s="16" t="s">
        <v>17</v>
      </c>
      <c r="H632" s="18" t="s">
        <v>129</v>
      </c>
      <c r="I632" s="19">
        <v>2397.0</v>
      </c>
      <c r="J632" s="20"/>
      <c r="K632" s="11" t="str">
        <f>IFERROR(__xludf.DUMMYFUNCTION("IF(AND(REGEXMATCH($H632,""50( ?['fF]([oO]{2})?[tT]?)?( ?[eE][rR]{2}[oO][rR])"")=FALSE,$H632&lt;&gt;"""",$I632&lt;&gt;""""),HYPERLINK(""https://www.munzee.com/m/""&amp;$H632&amp;""/""&amp;$I632&amp;""/map/?lat=""&amp;$D632&amp;""&amp;lon=""&amp;$E632&amp;""&amp;type=""&amp;$G632&amp;""&amp;name=""&amp;SUBSTITUTE($A632,""#"&amp;""",""%23""),$H632&amp;""/""&amp;$I632),IF($H632&lt;&gt;"""",IF(REGEXMATCH($H632,""50( ?['fF]([oO]{2})?[tT]?)?( ?[eE][rR]{2}[oO][rR])""),HYPERLINK(""https://www.munzee.com/map/?sandbox=1&amp;lat=""&amp;$D632&amp;""&amp;lon=""&amp;$E632&amp;""&amp;name=""&amp;SUBSTITUTE($A632,""#"",""%23""),""SANDBOX"""&amp;"),HYPERLINK(""https://www.munzee.com/m/""&amp;$H632&amp;""/deploys/0/type/""&amp;IFNA(VLOOKUP($G632,IMPORTRANGE(""https://docs.google.com/spreadsheets/d/1DliIGyDywdzxhd4svtjaewR0p9Y5UBTMNMQ2PcXsqss"",""type data!E2:F""),2,FALSE),$G632)&amp;""/"",$H632)),""""))"),"shingobee23/2397")</f>
        <v>shingobee23/2397</v>
      </c>
      <c r="L632" s="19" t="b">
        <v>1</v>
      </c>
      <c r="M632" s="12">
        <f t="shared" si="1"/>
        <v>4</v>
      </c>
      <c r="N632" s="13"/>
      <c r="O632" s="13"/>
      <c r="P632" s="29"/>
    </row>
    <row r="633">
      <c r="A633" s="15" t="s">
        <v>897</v>
      </c>
      <c r="B633" s="16">
        <v>32.0</v>
      </c>
      <c r="C633" s="16">
        <v>4.0</v>
      </c>
      <c r="D633" s="17">
        <v>44.861618941369</v>
      </c>
      <c r="E633" s="17">
        <v>-93.336250482301</v>
      </c>
      <c r="F633" s="16" t="s">
        <v>16</v>
      </c>
      <c r="G633" s="16" t="s">
        <v>17</v>
      </c>
      <c r="H633" s="18" t="s">
        <v>328</v>
      </c>
      <c r="I633" s="19">
        <v>775.0</v>
      </c>
      <c r="J633" s="21"/>
      <c r="K633" s="11" t="str">
        <f>IFERROR(__xludf.DUMMYFUNCTION("IF(AND(REGEXMATCH($H633,""50( ?['fF]([oO]{2})?[tT]?)?( ?[eE][rR]{2}[oO][rR])"")=FALSE,$H633&lt;&gt;"""",$I633&lt;&gt;""""),HYPERLINK(""https://www.munzee.com/m/""&amp;$H633&amp;""/""&amp;$I633&amp;""/map/?lat=""&amp;$D633&amp;""&amp;lon=""&amp;$E633&amp;""&amp;type=""&amp;$G633&amp;""&amp;name=""&amp;SUBSTITUTE($A633,""#"&amp;""",""%23""),$H633&amp;""/""&amp;$I633),IF($H633&lt;&gt;"""",IF(REGEXMATCH($H633,""50( ?['fF]([oO]{2})?[tT]?)?( ?[eE][rR]{2}[oO][rR])""),HYPERLINK(""https://www.munzee.com/map/?sandbox=1&amp;lat=""&amp;$D633&amp;""&amp;lon=""&amp;$E633&amp;""&amp;name=""&amp;SUBSTITUTE($A633,""#"",""%23""),""SANDBOX"""&amp;"),HYPERLINK(""https://www.munzee.com/m/""&amp;$H633&amp;""/deploys/0/type/""&amp;IFNA(VLOOKUP($G633,IMPORTRANGE(""https://docs.google.com/spreadsheets/d/1DliIGyDywdzxhd4svtjaewR0p9Y5UBTMNMQ2PcXsqss"",""type data!E2:F""),2,FALSE),$G633)&amp;""/"",$H633)),""""))"),"SKlick/775")</f>
        <v>SKlick/775</v>
      </c>
      <c r="L633" s="19" t="b">
        <v>1</v>
      </c>
      <c r="M633" s="12">
        <f t="shared" si="1"/>
        <v>4</v>
      </c>
      <c r="N633" s="13"/>
      <c r="O633" s="13"/>
      <c r="P633" s="29"/>
    </row>
    <row r="634">
      <c r="A634" s="15" t="s">
        <v>898</v>
      </c>
      <c r="B634" s="16">
        <v>32.0</v>
      </c>
      <c r="C634" s="16">
        <v>5.0</v>
      </c>
      <c r="D634" s="17">
        <v>44.86161894119</v>
      </c>
      <c r="E634" s="17">
        <v>-93.336047705911</v>
      </c>
      <c r="F634" s="16" t="s">
        <v>41</v>
      </c>
      <c r="G634" s="16" t="s">
        <v>17</v>
      </c>
      <c r="H634" s="18" t="s">
        <v>856</v>
      </c>
      <c r="I634" s="19">
        <v>8720.0</v>
      </c>
      <c r="J634" s="20"/>
      <c r="K634" s="11" t="str">
        <f>IFERROR(__xludf.DUMMYFUNCTION("IF(AND(REGEXMATCH($H634,""50( ?['fF]([oO]{2})?[tT]?)?( ?[eE][rR]{2}[oO][rR])"")=FALSE,$H634&lt;&gt;"""",$I634&lt;&gt;""""),HYPERLINK(""https://www.munzee.com/m/""&amp;$H634&amp;""/""&amp;$I634&amp;""/map/?lat=""&amp;$D634&amp;""&amp;lon=""&amp;$E634&amp;""&amp;type=""&amp;$G634&amp;""&amp;name=""&amp;SUBSTITUTE($A634,""#"&amp;""",""%23""),$H634&amp;""/""&amp;$I634),IF($H634&lt;&gt;"""",IF(REGEXMATCH($H634,""50( ?['fF]([oO]{2})?[tT]?)?( ?[eE][rR]{2}[oO][rR])""),HYPERLINK(""https://www.munzee.com/map/?sandbox=1&amp;lat=""&amp;$D634&amp;""&amp;lon=""&amp;$E634&amp;""&amp;name=""&amp;SUBSTITUTE($A634,""#"",""%23""),""SANDBOX"""&amp;"),HYPERLINK(""https://www.munzee.com/m/""&amp;$H634&amp;""/deploys/0/type/""&amp;IFNA(VLOOKUP($G634,IMPORTRANGE(""https://docs.google.com/spreadsheets/d/1DliIGyDywdzxhd4svtjaewR0p9Y5UBTMNMQ2PcXsqss"",""type data!E2:F""),2,FALSE),$G634)&amp;""/"",$H634)),""""))"),"earthangel/8720")</f>
        <v>earthangel/8720</v>
      </c>
      <c r="L634" s="19" t="b">
        <v>1</v>
      </c>
      <c r="M634" s="12">
        <f t="shared" si="1"/>
        <v>7</v>
      </c>
      <c r="N634" s="13"/>
      <c r="O634" s="13"/>
      <c r="P634" s="29"/>
    </row>
    <row r="635">
      <c r="A635" s="15" t="s">
        <v>899</v>
      </c>
      <c r="B635" s="16">
        <v>32.0</v>
      </c>
      <c r="C635" s="16">
        <v>6.0</v>
      </c>
      <c r="D635" s="17">
        <v>44.861618941011</v>
      </c>
      <c r="E635" s="17">
        <v>-93.33584492952</v>
      </c>
      <c r="F635" s="16" t="s">
        <v>41</v>
      </c>
      <c r="G635" s="16" t="s">
        <v>17</v>
      </c>
      <c r="H635" s="18" t="s">
        <v>858</v>
      </c>
      <c r="I635" s="19">
        <v>8622.0</v>
      </c>
      <c r="J635" s="20"/>
      <c r="K635" s="11" t="str">
        <f>IFERROR(__xludf.DUMMYFUNCTION("IF(AND(REGEXMATCH($H635,""50( ?['fF]([oO]{2})?[tT]?)?( ?[eE][rR]{2}[oO][rR])"")=FALSE,$H635&lt;&gt;"""",$I635&lt;&gt;""""),HYPERLINK(""https://www.munzee.com/m/""&amp;$H635&amp;""/""&amp;$I635&amp;""/map/?lat=""&amp;$D635&amp;""&amp;lon=""&amp;$E635&amp;""&amp;type=""&amp;$G635&amp;""&amp;name=""&amp;SUBSTITUTE($A635,""#"&amp;""",""%23""),$H635&amp;""/""&amp;$I635),IF($H635&lt;&gt;"""",IF(REGEXMATCH($H635,""50( ?['fF]([oO]{2})?[tT]?)?( ?[eE][rR]{2}[oO][rR])""),HYPERLINK(""https://www.munzee.com/map/?sandbox=1&amp;lat=""&amp;$D635&amp;""&amp;lon=""&amp;$E635&amp;""&amp;name=""&amp;SUBSTITUTE($A635,""#"",""%23""),""SANDBOX"""&amp;"),HYPERLINK(""https://www.munzee.com/m/""&amp;$H635&amp;""/deploys/0/type/""&amp;IFNA(VLOOKUP($G635,IMPORTRANGE(""https://docs.google.com/spreadsheets/d/1DliIGyDywdzxhd4svtjaewR0p9Y5UBTMNMQ2PcXsqss"",""type data!E2:F""),2,FALSE),$G635)&amp;""/"",$H635)),""""))"),"ecorangers/8622")</f>
        <v>ecorangers/8622</v>
      </c>
      <c r="L635" s="19" t="b">
        <v>1</v>
      </c>
      <c r="M635" s="12">
        <f t="shared" si="1"/>
        <v>7</v>
      </c>
      <c r="N635" s="13"/>
      <c r="O635" s="13"/>
      <c r="P635" s="29"/>
    </row>
    <row r="636">
      <c r="A636" s="15" t="s">
        <v>900</v>
      </c>
      <c r="B636" s="16">
        <v>32.0</v>
      </c>
      <c r="C636" s="16">
        <v>7.0</v>
      </c>
      <c r="D636" s="17">
        <v>44.861618940831</v>
      </c>
      <c r="E636" s="17">
        <v>-93.33564215313</v>
      </c>
      <c r="F636" s="16" t="s">
        <v>41</v>
      </c>
      <c r="G636" s="16" t="s">
        <v>17</v>
      </c>
      <c r="H636" s="18" t="s">
        <v>749</v>
      </c>
      <c r="I636" s="19">
        <v>1602.0</v>
      </c>
      <c r="J636" s="20"/>
      <c r="K636" s="11" t="str">
        <f>IFERROR(__xludf.DUMMYFUNCTION("IF(AND(REGEXMATCH($H636,""50( ?['fF]([oO]{2})?[tT]?)?( ?[eE][rR]{2}[oO][rR])"")=FALSE,$H636&lt;&gt;"""",$I636&lt;&gt;""""),HYPERLINK(""https://www.munzee.com/m/""&amp;$H636&amp;""/""&amp;$I636&amp;""/map/?lat=""&amp;$D636&amp;""&amp;lon=""&amp;$E636&amp;""&amp;type=""&amp;$G636&amp;""&amp;name=""&amp;SUBSTITUTE($A636,""#"&amp;""",""%23""),$H636&amp;""/""&amp;$I636),IF($H636&lt;&gt;"""",IF(REGEXMATCH($H636,""50( ?['fF]([oO]{2})?[tT]?)?( ?[eE][rR]{2}[oO][rR])""),HYPERLINK(""https://www.munzee.com/map/?sandbox=1&amp;lat=""&amp;$D636&amp;""&amp;lon=""&amp;$E636&amp;""&amp;name=""&amp;SUBSTITUTE($A636,""#"",""%23""),""SANDBOX"""&amp;"),HYPERLINK(""https://www.munzee.com/m/""&amp;$H636&amp;""/deploys/0/type/""&amp;IFNA(VLOOKUP($G636,IMPORTRANGE(""https://docs.google.com/spreadsheets/d/1DliIGyDywdzxhd4svtjaewR0p9Y5UBTMNMQ2PcXsqss"",""type data!E2:F""),2,FALSE),$G636)&amp;""/"",$H636)),""""))"),"Blutengel/1602")</f>
        <v>Blutengel/1602</v>
      </c>
      <c r="L636" s="19" t="b">
        <v>1</v>
      </c>
      <c r="M636" s="12">
        <f t="shared" si="1"/>
        <v>9</v>
      </c>
      <c r="N636" s="13"/>
      <c r="O636" s="13"/>
      <c r="P636" s="29"/>
    </row>
    <row r="637">
      <c r="A637" s="15" t="s">
        <v>901</v>
      </c>
      <c r="B637" s="16">
        <v>32.0</v>
      </c>
      <c r="C637" s="16">
        <v>8.0</v>
      </c>
      <c r="D637" s="17">
        <v>44.861618940652</v>
      </c>
      <c r="E637" s="17">
        <v>-93.335439376739</v>
      </c>
      <c r="F637" s="16" t="s">
        <v>41</v>
      </c>
      <c r="G637" s="16" t="s">
        <v>17</v>
      </c>
      <c r="H637" s="18" t="s">
        <v>429</v>
      </c>
      <c r="I637" s="19">
        <v>4825.0</v>
      </c>
      <c r="J637" s="21"/>
      <c r="K637" s="11" t="str">
        <f>IFERROR(__xludf.DUMMYFUNCTION("IF(AND(REGEXMATCH($H637,""50( ?['fF]([oO]{2})?[tT]?)?( ?[eE][rR]{2}[oO][rR])"")=FALSE,$H637&lt;&gt;"""",$I637&lt;&gt;""""),HYPERLINK(""https://www.munzee.com/m/""&amp;$H637&amp;""/""&amp;$I637&amp;""/map/?lat=""&amp;$D637&amp;""&amp;lon=""&amp;$E637&amp;""&amp;type=""&amp;$G637&amp;""&amp;name=""&amp;SUBSTITUTE($A637,""#"&amp;""",""%23""),$H637&amp;""/""&amp;$I637),IF($H637&lt;&gt;"""",IF(REGEXMATCH($H637,""50( ?['fF]([oO]{2})?[tT]?)?( ?[eE][rR]{2}[oO][rR])""),HYPERLINK(""https://www.munzee.com/map/?sandbox=1&amp;lat=""&amp;$D637&amp;""&amp;lon=""&amp;$E637&amp;""&amp;name=""&amp;SUBSTITUTE($A637,""#"",""%23""),""SANDBOX"""&amp;"),HYPERLINK(""https://www.munzee.com/m/""&amp;$H637&amp;""/deploys/0/type/""&amp;IFNA(VLOOKUP($G637,IMPORTRANGE(""https://docs.google.com/spreadsheets/d/1DliIGyDywdzxhd4svtjaewR0p9Y5UBTMNMQ2PcXsqss"",""type data!E2:F""),2,FALSE),$G637)&amp;""/"",$H637)),""""))"),"halemeister/4825")</f>
        <v>halemeister/4825</v>
      </c>
      <c r="L637" s="19" t="b">
        <v>1</v>
      </c>
      <c r="M637" s="12">
        <f t="shared" si="1"/>
        <v>9</v>
      </c>
      <c r="N637" s="13"/>
      <c r="O637" s="13"/>
      <c r="P637" s="29"/>
    </row>
    <row r="638">
      <c r="A638" s="15" t="s">
        <v>902</v>
      </c>
      <c r="B638" s="16">
        <v>32.0</v>
      </c>
      <c r="C638" s="16">
        <v>9.0</v>
      </c>
      <c r="D638" s="17">
        <v>44.861618940472</v>
      </c>
      <c r="E638" s="17">
        <v>-93.335236600348</v>
      </c>
      <c r="F638" s="16" t="s">
        <v>510</v>
      </c>
      <c r="G638" s="16" t="s">
        <v>17</v>
      </c>
      <c r="H638" s="18" t="s">
        <v>154</v>
      </c>
      <c r="I638" s="19">
        <v>7768.0</v>
      </c>
      <c r="J638" s="20"/>
      <c r="K638" s="11" t="str">
        <f>IFERROR(__xludf.DUMMYFUNCTION("IF(AND(REGEXMATCH($H638,""50( ?['fF]([oO]{2})?[tT]?)?( ?[eE][rR]{2}[oO][rR])"")=FALSE,$H638&lt;&gt;"""",$I638&lt;&gt;""""),HYPERLINK(""https://www.munzee.com/m/""&amp;$H638&amp;""/""&amp;$I638&amp;""/map/?lat=""&amp;$D638&amp;""&amp;lon=""&amp;$E638&amp;""&amp;type=""&amp;$G638&amp;""&amp;name=""&amp;SUBSTITUTE($A638,""#"&amp;""",""%23""),$H638&amp;""/""&amp;$I638),IF($H638&lt;&gt;"""",IF(REGEXMATCH($H638,""50( ?['fF]([oO]{2})?[tT]?)?( ?[eE][rR]{2}[oO][rR])""),HYPERLINK(""https://www.munzee.com/map/?sandbox=1&amp;lat=""&amp;$D638&amp;""&amp;lon=""&amp;$E638&amp;""&amp;name=""&amp;SUBSTITUTE($A638,""#"",""%23""),""SANDBOX"""&amp;"),HYPERLINK(""https://www.munzee.com/m/""&amp;$H638&amp;""/deploys/0/type/""&amp;IFNA(VLOOKUP($G638,IMPORTRANGE(""https://docs.google.com/spreadsheets/d/1DliIGyDywdzxhd4svtjaewR0p9Y5UBTMNMQ2PcXsqss"",""type data!E2:F""),2,FALSE),$G638)&amp;""/"",$H638)),""""))"),"geomatrix /7768")</f>
        <v>geomatrix /7768</v>
      </c>
      <c r="L638" s="19" t="b">
        <v>1</v>
      </c>
      <c r="M638" s="12">
        <f t="shared" si="1"/>
        <v>5</v>
      </c>
      <c r="N638" s="13"/>
      <c r="O638" s="13"/>
      <c r="P638" s="29"/>
    </row>
    <row r="639">
      <c r="A639" s="15" t="s">
        <v>903</v>
      </c>
      <c r="B639" s="16">
        <v>32.0</v>
      </c>
      <c r="C639" s="16">
        <v>10.0</v>
      </c>
      <c r="D639" s="17">
        <v>44.861618940293</v>
      </c>
      <c r="E639" s="17">
        <v>-93.335033823958</v>
      </c>
      <c r="F639" s="16" t="s">
        <v>510</v>
      </c>
      <c r="G639" s="16" t="s">
        <v>17</v>
      </c>
      <c r="H639" s="18" t="s">
        <v>47</v>
      </c>
      <c r="I639" s="19">
        <v>3353.0</v>
      </c>
      <c r="J639" s="20"/>
      <c r="K639" s="11" t="str">
        <f>IFERROR(__xludf.DUMMYFUNCTION("IF(AND(REGEXMATCH($H639,""50( ?['fF]([oO]{2})?[tT]?)?( ?[eE][rR]{2}[oO][rR])"")=FALSE,$H639&lt;&gt;"""",$I639&lt;&gt;""""),HYPERLINK(""https://www.munzee.com/m/""&amp;$H639&amp;""/""&amp;$I639&amp;""/map/?lat=""&amp;$D639&amp;""&amp;lon=""&amp;$E639&amp;""&amp;type=""&amp;$G639&amp;""&amp;name=""&amp;SUBSTITUTE($A639,""#"&amp;""",""%23""),$H639&amp;""/""&amp;$I639),IF($H639&lt;&gt;"""",IF(REGEXMATCH($H639,""50( ?['fF]([oO]{2})?[tT]?)?( ?[eE][rR]{2}[oO][rR])""),HYPERLINK(""https://www.munzee.com/map/?sandbox=1&amp;lat=""&amp;$D639&amp;""&amp;lon=""&amp;$E639&amp;""&amp;name=""&amp;SUBSTITUTE($A639,""#"",""%23""),""SANDBOX"""&amp;"),HYPERLINK(""https://www.munzee.com/m/""&amp;$H639&amp;""/deploys/0/type/""&amp;IFNA(VLOOKUP($G639,IMPORTRANGE(""https://docs.google.com/spreadsheets/d/1DliIGyDywdzxhd4svtjaewR0p9Y5UBTMNMQ2PcXsqss"",""type data!E2:F""),2,FALSE),$G639)&amp;""/"",$H639)),""""))"),"Qdog/3353")</f>
        <v>Qdog/3353</v>
      </c>
      <c r="L639" s="19" t="b">
        <v>1</v>
      </c>
      <c r="M639" s="12">
        <f t="shared" si="1"/>
        <v>5</v>
      </c>
      <c r="N639" s="13"/>
      <c r="O639" s="13"/>
      <c r="P639" s="29"/>
    </row>
    <row r="640">
      <c r="A640" s="15" t="s">
        <v>904</v>
      </c>
      <c r="B640" s="16">
        <v>32.0</v>
      </c>
      <c r="C640" s="16">
        <v>11.0</v>
      </c>
      <c r="D640" s="17">
        <v>44.861618940114</v>
      </c>
      <c r="E640" s="17">
        <v>-93.334831047567</v>
      </c>
      <c r="F640" s="16" t="s">
        <v>41</v>
      </c>
      <c r="G640" s="16" t="s">
        <v>17</v>
      </c>
      <c r="H640" s="18" t="s">
        <v>95</v>
      </c>
      <c r="I640" s="19">
        <v>1699.0</v>
      </c>
      <c r="J640" s="21"/>
      <c r="K640" s="11" t="str">
        <f>IFERROR(__xludf.DUMMYFUNCTION("IF(AND(REGEXMATCH($H640,""50( ?['fF]([oO]{2})?[tT]?)?( ?[eE][rR]{2}[oO][rR])"")=FALSE,$H640&lt;&gt;"""",$I640&lt;&gt;""""),HYPERLINK(""https://www.munzee.com/m/""&amp;$H640&amp;""/""&amp;$I640&amp;""/map/?lat=""&amp;$D640&amp;""&amp;lon=""&amp;$E640&amp;""&amp;type=""&amp;$G640&amp;""&amp;name=""&amp;SUBSTITUTE($A640,""#"&amp;""",""%23""),$H640&amp;""/""&amp;$I640),IF($H640&lt;&gt;"""",IF(REGEXMATCH($H640,""50( ?['fF]([oO]{2})?[tT]?)?( ?[eE][rR]{2}[oO][rR])""),HYPERLINK(""https://www.munzee.com/map/?sandbox=1&amp;lat=""&amp;$D640&amp;""&amp;lon=""&amp;$E640&amp;""&amp;name=""&amp;SUBSTITUTE($A640,""#"",""%23""),""SANDBOX"""&amp;"),HYPERLINK(""https://www.munzee.com/m/""&amp;$H640&amp;""/deploys/0/type/""&amp;IFNA(VLOOKUP($G640,IMPORTRANGE(""https://docs.google.com/spreadsheets/d/1DliIGyDywdzxhd4svtjaewR0p9Y5UBTMNMQ2PcXsqss"",""type data!E2:F""),2,FALSE),$G640)&amp;""/"",$H640)),""""))"),"munzeepa/1699")</f>
        <v>munzeepa/1699</v>
      </c>
      <c r="L640" s="19" t="b">
        <v>1</v>
      </c>
      <c r="M640" s="12">
        <f t="shared" si="1"/>
        <v>20</v>
      </c>
      <c r="N640" s="13"/>
      <c r="O640" s="13"/>
      <c r="P640" s="29"/>
    </row>
    <row r="641">
      <c r="A641" s="15" t="s">
        <v>905</v>
      </c>
      <c r="B641" s="16">
        <v>32.0</v>
      </c>
      <c r="C641" s="16">
        <v>12.0</v>
      </c>
      <c r="D641" s="17">
        <v>44.861618939934</v>
      </c>
      <c r="E641" s="17">
        <v>-93.334628271177</v>
      </c>
      <c r="F641" s="16" t="s">
        <v>41</v>
      </c>
      <c r="G641" s="16" t="s">
        <v>17</v>
      </c>
      <c r="H641" s="18" t="s">
        <v>99</v>
      </c>
      <c r="I641" s="19">
        <v>1874.0</v>
      </c>
      <c r="J641" s="21"/>
      <c r="K641" s="11" t="str">
        <f>IFERROR(__xludf.DUMMYFUNCTION("IF(AND(REGEXMATCH($H641,""50( ?['fF]([oO]{2})?[tT]?)?( ?[eE][rR]{2}[oO][rR])"")=FALSE,$H641&lt;&gt;"""",$I641&lt;&gt;""""),HYPERLINK(""https://www.munzee.com/m/""&amp;$H641&amp;""/""&amp;$I641&amp;""/map/?lat=""&amp;$D641&amp;""&amp;lon=""&amp;$E641&amp;""&amp;type=""&amp;$G641&amp;""&amp;name=""&amp;SUBSTITUTE($A641,""#"&amp;""",""%23""),$H641&amp;""/""&amp;$I641),IF($H641&lt;&gt;"""",IF(REGEXMATCH($H641,""50( ?['fF]([oO]{2})?[tT]?)?( ?[eE][rR]{2}[oO][rR])""),HYPERLINK(""https://www.munzee.com/map/?sandbox=1&amp;lat=""&amp;$D641&amp;""&amp;lon=""&amp;$E641&amp;""&amp;name=""&amp;SUBSTITUTE($A641,""#"",""%23""),""SANDBOX"""&amp;"),HYPERLINK(""https://www.munzee.com/m/""&amp;$H641&amp;""/deploys/0/type/""&amp;IFNA(VLOOKUP($G641,IMPORTRANGE(""https://docs.google.com/spreadsheets/d/1DliIGyDywdzxhd4svtjaewR0p9Y5UBTMNMQ2PcXsqss"",""type data!E2:F""),2,FALSE),$G641)&amp;""/"",$H641)),""""))"),"jsamundson/1874")</f>
        <v>jsamundson/1874</v>
      </c>
      <c r="L641" s="19" t="b">
        <v>1</v>
      </c>
      <c r="M641" s="12">
        <f t="shared" si="1"/>
        <v>20</v>
      </c>
      <c r="N641" s="13"/>
      <c r="O641" s="13"/>
      <c r="P641" s="29"/>
    </row>
    <row r="642">
      <c r="A642" s="15" t="s">
        <v>906</v>
      </c>
      <c r="B642" s="16">
        <v>32.0</v>
      </c>
      <c r="C642" s="16">
        <v>13.0</v>
      </c>
      <c r="D642" s="17">
        <v>44.861618939755</v>
      </c>
      <c r="E642" s="17">
        <v>-93.334425494786</v>
      </c>
      <c r="F642" s="16" t="s">
        <v>41</v>
      </c>
      <c r="G642" s="16" t="s">
        <v>17</v>
      </c>
      <c r="H642" s="18" t="s">
        <v>749</v>
      </c>
      <c r="I642" s="19">
        <v>1603.0</v>
      </c>
      <c r="J642" s="20"/>
      <c r="K642" s="11" t="str">
        <f>IFERROR(__xludf.DUMMYFUNCTION("IF(AND(REGEXMATCH($H642,""50( ?['fF]([oO]{2})?[tT]?)?( ?[eE][rR]{2}[oO][rR])"")=FALSE,$H642&lt;&gt;"""",$I642&lt;&gt;""""),HYPERLINK(""https://www.munzee.com/m/""&amp;$H642&amp;""/""&amp;$I642&amp;""/map/?lat=""&amp;$D642&amp;""&amp;lon=""&amp;$E642&amp;""&amp;type=""&amp;$G642&amp;""&amp;name=""&amp;SUBSTITUTE($A642,""#"&amp;""",""%23""),$H642&amp;""/""&amp;$I642),IF($H642&lt;&gt;"""",IF(REGEXMATCH($H642,""50( ?['fF]([oO]{2})?[tT]?)?( ?[eE][rR]{2}[oO][rR])""),HYPERLINK(""https://www.munzee.com/map/?sandbox=1&amp;lat=""&amp;$D642&amp;""&amp;lon=""&amp;$E642&amp;""&amp;name=""&amp;SUBSTITUTE($A642,""#"",""%23""),""SANDBOX"""&amp;"),HYPERLINK(""https://www.munzee.com/m/""&amp;$H642&amp;""/deploys/0/type/""&amp;IFNA(VLOOKUP($G642,IMPORTRANGE(""https://docs.google.com/spreadsheets/d/1DliIGyDywdzxhd4svtjaewR0p9Y5UBTMNMQ2PcXsqss"",""type data!E2:F""),2,FALSE),$G642)&amp;""/"",$H642)),""""))"),"Blutengel/1603")</f>
        <v>Blutengel/1603</v>
      </c>
      <c r="L642" s="19" t="b">
        <v>1</v>
      </c>
      <c r="M642" s="12">
        <f t="shared" si="1"/>
        <v>9</v>
      </c>
      <c r="N642" s="13"/>
      <c r="O642" s="13"/>
      <c r="P642" s="15"/>
    </row>
    <row r="643">
      <c r="A643" s="15" t="s">
        <v>907</v>
      </c>
      <c r="B643" s="16">
        <v>32.0</v>
      </c>
      <c r="C643" s="16">
        <v>14.0</v>
      </c>
      <c r="D643" s="17">
        <v>44.861618939575</v>
      </c>
      <c r="E643" s="17">
        <v>-93.334222718395</v>
      </c>
      <c r="F643" s="16" t="s">
        <v>16</v>
      </c>
      <c r="G643" s="16" t="s">
        <v>17</v>
      </c>
      <c r="H643" s="18" t="s">
        <v>683</v>
      </c>
      <c r="I643" s="19">
        <v>2957.0</v>
      </c>
      <c r="J643" s="39"/>
      <c r="K643" s="11" t="str">
        <f>IFERROR(__xludf.DUMMYFUNCTION("IF(AND(REGEXMATCH($H643,""50( ?['fF]([oO]{2})?[tT]?)?( ?[eE][rR]{2}[oO][rR])"")=FALSE,$H643&lt;&gt;"""",$I643&lt;&gt;""""),HYPERLINK(""https://www.munzee.com/m/""&amp;$H643&amp;""/""&amp;$I643&amp;""/map/?lat=""&amp;$D643&amp;""&amp;lon=""&amp;$E643&amp;""&amp;type=""&amp;$G643&amp;""&amp;name=""&amp;SUBSTITUTE($A643,""#"&amp;""",""%23""),$H643&amp;""/""&amp;$I643),IF($H643&lt;&gt;"""",IF(REGEXMATCH($H643,""50( ?['fF]([oO]{2})?[tT]?)?( ?[eE][rR]{2}[oO][rR])""),HYPERLINK(""https://www.munzee.com/map/?sandbox=1&amp;lat=""&amp;$D643&amp;""&amp;lon=""&amp;$E643&amp;""&amp;name=""&amp;SUBSTITUTE($A643,""#"",""%23""),""SANDBOX"""&amp;"),HYPERLINK(""https://www.munzee.com/m/""&amp;$H643&amp;""/deploys/0/type/""&amp;IFNA(VLOOKUP($G643,IMPORTRANGE(""https://docs.google.com/spreadsheets/d/1DliIGyDywdzxhd4svtjaewR0p9Y5UBTMNMQ2PcXsqss"",""type data!E2:F""),2,FALSE),$G643)&amp;""/"",$H643)),""""))"),"GrizzSteve/2957")</f>
        <v>GrizzSteve/2957</v>
      </c>
      <c r="L643" s="19" t="b">
        <v>1</v>
      </c>
      <c r="M643" s="12">
        <f t="shared" si="1"/>
        <v>5</v>
      </c>
      <c r="N643" s="13"/>
      <c r="O643" s="13"/>
      <c r="P643" s="15"/>
    </row>
    <row r="644">
      <c r="A644" s="15" t="s">
        <v>908</v>
      </c>
      <c r="B644" s="16">
        <v>32.0</v>
      </c>
      <c r="C644" s="16">
        <v>15.0</v>
      </c>
      <c r="D644" s="17">
        <v>44.861618939396</v>
      </c>
      <c r="E644" s="17">
        <v>-93.334019942005</v>
      </c>
      <c r="F644" s="16" t="s">
        <v>16</v>
      </c>
      <c r="G644" s="16" t="s">
        <v>17</v>
      </c>
      <c r="H644" s="18" t="s">
        <v>494</v>
      </c>
      <c r="I644" s="19">
        <v>726.0</v>
      </c>
      <c r="J644" s="28"/>
      <c r="K644" s="11" t="str">
        <f>IFERROR(__xludf.DUMMYFUNCTION("IF(AND(REGEXMATCH($H644,""50( ?['fF]([oO]{2})?[tT]?)?( ?[eE][rR]{2}[oO][rR])"")=FALSE,$H644&lt;&gt;"""",$I644&lt;&gt;""""),HYPERLINK(""https://www.munzee.com/m/""&amp;$H644&amp;""/""&amp;$I644&amp;""/map/?lat=""&amp;$D644&amp;""&amp;lon=""&amp;$E644&amp;""&amp;type=""&amp;$G644&amp;""&amp;name=""&amp;SUBSTITUTE($A644,""#"&amp;""",""%23""),$H644&amp;""/""&amp;$I644),IF($H644&lt;&gt;"""",IF(REGEXMATCH($H644,""50( ?['fF]([oO]{2})?[tT]?)?( ?[eE][rR]{2}[oO][rR])""),HYPERLINK(""https://www.munzee.com/map/?sandbox=1&amp;lat=""&amp;$D644&amp;""&amp;lon=""&amp;$E644&amp;""&amp;name=""&amp;SUBSTITUTE($A644,""#"",""%23""),""SANDBOX"""&amp;"),HYPERLINK(""https://www.munzee.com/m/""&amp;$H644&amp;""/deploys/0/type/""&amp;IFNA(VLOOKUP($G644,IMPORTRANGE(""https://docs.google.com/spreadsheets/d/1DliIGyDywdzxhd4svtjaewR0p9Y5UBTMNMQ2PcXsqss"",""type data!E2:F""),2,FALSE),$G644)&amp;""/"",$H644)),""""))"),"BarbMitchell/726")</f>
        <v>BarbMitchell/726</v>
      </c>
      <c r="L644" s="19" t="b">
        <v>1</v>
      </c>
      <c r="M644" s="12">
        <f t="shared" si="1"/>
        <v>10</v>
      </c>
      <c r="N644" s="13"/>
      <c r="O644" s="13"/>
      <c r="P644" s="15"/>
    </row>
    <row r="645">
      <c r="A645" s="15" t="s">
        <v>909</v>
      </c>
      <c r="B645" s="16">
        <v>32.0</v>
      </c>
      <c r="C645" s="16">
        <v>16.0</v>
      </c>
      <c r="D645" s="17">
        <v>44.861618939216</v>
      </c>
      <c r="E645" s="17">
        <v>-93.333817165614</v>
      </c>
      <c r="F645" s="16" t="s">
        <v>41</v>
      </c>
      <c r="G645" s="16" t="s">
        <v>17</v>
      </c>
      <c r="H645" s="18" t="s">
        <v>910</v>
      </c>
      <c r="I645" s="19">
        <v>2144.0</v>
      </c>
      <c r="J645" s="21"/>
      <c r="K645" s="11" t="str">
        <f>IFERROR(__xludf.DUMMYFUNCTION("IF(AND(REGEXMATCH($H645,""50( ?['fF]([oO]{2})?[tT]?)?( ?[eE][rR]{2}[oO][rR])"")=FALSE,$H645&lt;&gt;"""",$I645&lt;&gt;""""),HYPERLINK(""https://www.munzee.com/m/""&amp;$H645&amp;""/""&amp;$I645&amp;""/map/?lat=""&amp;$D645&amp;""&amp;lon=""&amp;$E645&amp;""&amp;type=""&amp;$G645&amp;""&amp;name=""&amp;SUBSTITUTE($A645,""#"&amp;""",""%23""),$H645&amp;""/""&amp;$I645),IF($H645&lt;&gt;"""",IF(REGEXMATCH($H645,""50( ?['fF]([oO]{2})?[tT]?)?( ?[eE][rR]{2}[oO][rR])""),HYPERLINK(""https://www.munzee.com/map/?sandbox=1&amp;lat=""&amp;$D645&amp;""&amp;lon=""&amp;$E645&amp;""&amp;name=""&amp;SUBSTITUTE($A645,""#"",""%23""),""SANDBOX"""&amp;"),HYPERLINK(""https://www.munzee.com/m/""&amp;$H645&amp;""/deploys/0/type/""&amp;IFNA(VLOOKUP($G645,IMPORTRANGE(""https://docs.google.com/spreadsheets/d/1DliIGyDywdzxhd4svtjaewR0p9Y5UBTMNMQ2PcXsqss"",""type data!E2:F""),2,FALSE),$G645)&amp;""/"",$H645)),""""))"),"belladivadee /2144")</f>
        <v>belladivadee /2144</v>
      </c>
      <c r="L645" s="19" t="b">
        <v>1</v>
      </c>
      <c r="M645" s="12">
        <f t="shared" si="1"/>
        <v>3</v>
      </c>
      <c r="N645" s="13"/>
      <c r="O645" s="13"/>
      <c r="P645" s="15"/>
    </row>
    <row r="646">
      <c r="A646" s="15" t="s">
        <v>911</v>
      </c>
      <c r="B646" s="16">
        <v>32.0</v>
      </c>
      <c r="C646" s="16">
        <v>17.0</v>
      </c>
      <c r="D646" s="17">
        <v>44.861618939037</v>
      </c>
      <c r="E646" s="17">
        <v>-93.333614389224</v>
      </c>
      <c r="F646" s="16" t="s">
        <v>41</v>
      </c>
      <c r="G646" s="16" t="s">
        <v>17</v>
      </c>
      <c r="H646" s="18" t="s">
        <v>912</v>
      </c>
      <c r="I646" s="19">
        <v>9015.0</v>
      </c>
      <c r="J646" s="39"/>
      <c r="K646" s="11" t="str">
        <f>IFERROR(__xludf.DUMMYFUNCTION("IF(AND(REGEXMATCH($H646,""50( ?['fF]([oO]{2})?[tT]?)?( ?[eE][rR]{2}[oO][rR])"")=FALSE,$H646&lt;&gt;"""",$I646&lt;&gt;""""),HYPERLINK(""https://www.munzee.com/m/""&amp;$H646&amp;""/""&amp;$I646&amp;""/map/?lat=""&amp;$D646&amp;""&amp;lon=""&amp;$E646&amp;""&amp;type=""&amp;$G646&amp;""&amp;name=""&amp;SUBSTITUTE($A646,""#"&amp;""",""%23""),$H646&amp;""/""&amp;$I646),IF($H646&lt;&gt;"""",IF(REGEXMATCH($H646,""50( ?['fF]([oO]{2})?[tT]?)?( ?[eE][rR]{2}[oO][rR])""),HYPERLINK(""https://www.munzee.com/map/?sandbox=1&amp;lat=""&amp;$D646&amp;""&amp;lon=""&amp;$E646&amp;""&amp;name=""&amp;SUBSTITUTE($A646,""#"",""%23""),""SANDBOX"""&amp;"),HYPERLINK(""https://www.munzee.com/m/""&amp;$H646&amp;""/deploys/0/type/""&amp;IFNA(VLOOKUP($G646,IMPORTRANGE(""https://docs.google.com/spreadsheets/d/1DliIGyDywdzxhd4svtjaewR0p9Y5UBTMNMQ2PcXsqss"",""type data!E2:F""),2,FALSE),$G646)&amp;""/"",$H646)),""""))"),"Derlame /9015")</f>
        <v>Derlame /9015</v>
      </c>
      <c r="L646" s="19" t="b">
        <v>1</v>
      </c>
      <c r="M646" s="12">
        <f t="shared" si="1"/>
        <v>1</v>
      </c>
      <c r="N646" s="13"/>
      <c r="O646" s="13"/>
      <c r="P646" s="15"/>
    </row>
    <row r="647">
      <c r="A647" s="15" t="s">
        <v>913</v>
      </c>
      <c r="B647" s="16">
        <v>32.0</v>
      </c>
      <c r="C647" s="16">
        <v>18.0</v>
      </c>
      <c r="D647" s="17">
        <v>44.861618938858</v>
      </c>
      <c r="E647" s="17">
        <v>-93.333411612833</v>
      </c>
      <c r="F647" s="16" t="s">
        <v>41</v>
      </c>
      <c r="G647" s="16" t="s">
        <v>17</v>
      </c>
      <c r="H647" s="18" t="s">
        <v>749</v>
      </c>
      <c r="I647" s="19">
        <v>1604.0</v>
      </c>
      <c r="J647" s="20"/>
      <c r="K647" s="11" t="str">
        <f>IFERROR(__xludf.DUMMYFUNCTION("IF(AND(REGEXMATCH($H647,""50( ?['fF]([oO]{2})?[tT]?)?( ?[eE][rR]{2}[oO][rR])"")=FALSE,$H647&lt;&gt;"""",$I647&lt;&gt;""""),HYPERLINK(""https://www.munzee.com/m/""&amp;$H647&amp;""/""&amp;$I647&amp;""/map/?lat=""&amp;$D647&amp;""&amp;lon=""&amp;$E647&amp;""&amp;type=""&amp;$G647&amp;""&amp;name=""&amp;SUBSTITUTE($A647,""#"&amp;""",""%23""),$H647&amp;""/""&amp;$I647),IF($H647&lt;&gt;"""",IF(REGEXMATCH($H647,""50( ?['fF]([oO]{2})?[tT]?)?( ?[eE][rR]{2}[oO][rR])""),HYPERLINK(""https://www.munzee.com/map/?sandbox=1&amp;lat=""&amp;$D647&amp;""&amp;lon=""&amp;$E647&amp;""&amp;name=""&amp;SUBSTITUTE($A647,""#"",""%23""),""SANDBOX"""&amp;"),HYPERLINK(""https://www.munzee.com/m/""&amp;$H647&amp;""/deploys/0/type/""&amp;IFNA(VLOOKUP($G647,IMPORTRANGE(""https://docs.google.com/spreadsheets/d/1DliIGyDywdzxhd4svtjaewR0p9Y5UBTMNMQ2PcXsqss"",""type data!E2:F""),2,FALSE),$G647)&amp;""/"",$H647)),""""))"),"Blutengel/1604")</f>
        <v>Blutengel/1604</v>
      </c>
      <c r="L647" s="19" t="b">
        <v>1</v>
      </c>
      <c r="M647" s="12">
        <f t="shared" si="1"/>
        <v>9</v>
      </c>
      <c r="N647" s="13"/>
      <c r="O647" s="13"/>
      <c r="P647" s="29"/>
    </row>
    <row r="648">
      <c r="A648" s="15" t="s">
        <v>914</v>
      </c>
      <c r="B648" s="16">
        <v>32.0</v>
      </c>
      <c r="C648" s="16">
        <v>19.0</v>
      </c>
      <c r="D648" s="17">
        <v>44.861618938678</v>
      </c>
      <c r="E648" s="17">
        <v>-93.333208836442</v>
      </c>
      <c r="F648" s="16" t="s">
        <v>510</v>
      </c>
      <c r="G648" s="16" t="s">
        <v>17</v>
      </c>
      <c r="H648" s="18" t="s">
        <v>915</v>
      </c>
      <c r="I648" s="19">
        <v>824.0</v>
      </c>
      <c r="J648" s="21"/>
      <c r="K648" s="11" t="str">
        <f>IFERROR(__xludf.DUMMYFUNCTION("IF(AND(REGEXMATCH($H648,""50( ?['fF]([oO]{2})?[tT]?)?( ?[eE][rR]{2}[oO][rR])"")=FALSE,$H648&lt;&gt;"""",$I648&lt;&gt;""""),HYPERLINK(""https://www.munzee.com/m/""&amp;$H648&amp;""/""&amp;$I648&amp;""/map/?lat=""&amp;$D648&amp;""&amp;lon=""&amp;$E648&amp;""&amp;type=""&amp;$G648&amp;""&amp;name=""&amp;SUBSTITUTE($A648,""#"&amp;""",""%23""),$H648&amp;""/""&amp;$I648),IF($H648&lt;&gt;"""",IF(REGEXMATCH($H648,""50( ?['fF]([oO]{2})?[tT]?)?( ?[eE][rR]{2}[oO][rR])""),HYPERLINK(""https://www.munzee.com/map/?sandbox=1&amp;lat=""&amp;$D648&amp;""&amp;lon=""&amp;$E648&amp;""&amp;name=""&amp;SUBSTITUTE($A648,""#"",""%23""),""SANDBOX"""&amp;"),HYPERLINK(""https://www.munzee.com/m/""&amp;$H648&amp;""/deploys/0/type/""&amp;IFNA(VLOOKUP($G648,IMPORTRANGE(""https://docs.google.com/spreadsheets/d/1DliIGyDywdzxhd4svtjaewR0p9Y5UBTMNMQ2PcXsqss"",""type data!E2:F""),2,FALSE),$G648)&amp;""/"",$H648)),""""))"),"destolkjes4ever/824")</f>
        <v>destolkjes4ever/824</v>
      </c>
      <c r="L648" s="19" t="b">
        <v>1</v>
      </c>
      <c r="M648" s="12">
        <f t="shared" si="1"/>
        <v>1</v>
      </c>
      <c r="N648" s="13"/>
      <c r="O648" s="13"/>
      <c r="P648" s="29"/>
    </row>
    <row r="649">
      <c r="A649" s="15" t="s">
        <v>916</v>
      </c>
      <c r="B649" s="16">
        <v>32.0</v>
      </c>
      <c r="C649" s="16">
        <v>20.0</v>
      </c>
      <c r="D649" s="17">
        <v>44.861618938499</v>
      </c>
      <c r="E649" s="17">
        <v>-93.333006060052</v>
      </c>
      <c r="F649" s="16" t="s">
        <v>510</v>
      </c>
      <c r="G649" s="16" t="s">
        <v>17</v>
      </c>
      <c r="H649" s="18" t="s">
        <v>571</v>
      </c>
      <c r="I649" s="19">
        <v>2388.0</v>
      </c>
      <c r="J649" s="20"/>
      <c r="K649" s="11" t="str">
        <f>IFERROR(__xludf.DUMMYFUNCTION("IF(AND(REGEXMATCH($H649,""50( ?['fF]([oO]{2})?[tT]?)?( ?[eE][rR]{2}[oO][rR])"")=FALSE,$H649&lt;&gt;"""",$I649&lt;&gt;""""),HYPERLINK(""https://www.munzee.com/m/""&amp;$H649&amp;""/""&amp;$I649&amp;""/map/?lat=""&amp;$D649&amp;""&amp;lon=""&amp;$E649&amp;""&amp;type=""&amp;$G649&amp;""&amp;name=""&amp;SUBSTITUTE($A649,""#"&amp;""",""%23""),$H649&amp;""/""&amp;$I649),IF($H649&lt;&gt;"""",IF(REGEXMATCH($H649,""50( ?['fF]([oO]{2})?[tT]?)?( ?[eE][rR]{2}[oO][rR])""),HYPERLINK(""https://www.munzee.com/map/?sandbox=1&amp;lat=""&amp;$D649&amp;""&amp;lon=""&amp;$E649&amp;""&amp;name=""&amp;SUBSTITUTE($A649,""#"",""%23""),""SANDBOX"""&amp;"),HYPERLINK(""https://www.munzee.com/m/""&amp;$H649&amp;""/deploys/0/type/""&amp;IFNA(VLOOKUP($G649,IMPORTRANGE(""https://docs.google.com/spreadsheets/d/1DliIGyDywdzxhd4svtjaewR0p9Y5UBTMNMQ2PcXsqss"",""type data!E2:F""),2,FALSE),$G649)&amp;""/"",$H649)),""""))"),"molesen/2388")</f>
        <v>molesen/2388</v>
      </c>
      <c r="L649" s="19" t="b">
        <v>1</v>
      </c>
      <c r="M649" s="12">
        <f t="shared" si="1"/>
        <v>2</v>
      </c>
      <c r="N649" s="13"/>
      <c r="O649" s="13"/>
      <c r="P649" s="29"/>
    </row>
    <row r="650">
      <c r="A650" s="15" t="s">
        <v>917</v>
      </c>
      <c r="B650" s="16">
        <v>32.0</v>
      </c>
      <c r="C650" s="16">
        <v>21.0</v>
      </c>
      <c r="D650" s="17">
        <v>44.861618938319</v>
      </c>
      <c r="E650" s="17">
        <v>-93.332803283661</v>
      </c>
      <c r="F650" s="16" t="s">
        <v>41</v>
      </c>
      <c r="G650" s="16" t="s">
        <v>17</v>
      </c>
      <c r="H650" s="18" t="s">
        <v>918</v>
      </c>
      <c r="I650" s="19">
        <v>1510.0</v>
      </c>
      <c r="J650" s="39"/>
      <c r="K650" s="11" t="str">
        <f>IFERROR(__xludf.DUMMYFUNCTION("IF(AND(REGEXMATCH($H650,""50( ?['fF]([oO]{2})?[tT]?)?( ?[eE][rR]{2}[oO][rR])"")=FALSE,$H650&lt;&gt;"""",$I650&lt;&gt;""""),HYPERLINK(""https://www.munzee.com/m/""&amp;$H650&amp;""/""&amp;$I650&amp;""/map/?lat=""&amp;$D650&amp;""&amp;lon=""&amp;$E650&amp;""&amp;type=""&amp;$G650&amp;""&amp;name=""&amp;SUBSTITUTE($A650,""#"&amp;""",""%23""),$H650&amp;""/""&amp;$I650),IF($H650&lt;&gt;"""",IF(REGEXMATCH($H650,""50( ?['fF]([oO]{2})?[tT]?)?( ?[eE][rR]{2}[oO][rR])""),HYPERLINK(""https://www.munzee.com/map/?sandbox=1&amp;lat=""&amp;$D650&amp;""&amp;lon=""&amp;$E650&amp;""&amp;name=""&amp;SUBSTITUTE($A650,""#"",""%23""),""SANDBOX"""&amp;"),HYPERLINK(""https://www.munzee.com/m/""&amp;$H650&amp;""/deploys/0/type/""&amp;IFNA(VLOOKUP($G650,IMPORTRANGE(""https://docs.google.com/spreadsheets/d/1DliIGyDywdzxhd4svtjaewR0p9Y5UBTMNMQ2PcXsqss"",""type data!E2:F""),2,FALSE),$G650)&amp;""/"",$H650)),""""))"),"Bisquick2 /1510")</f>
        <v>Bisquick2 /1510</v>
      </c>
      <c r="L650" s="19" t="b">
        <v>1</v>
      </c>
      <c r="M650" s="12">
        <f t="shared" si="1"/>
        <v>1</v>
      </c>
      <c r="N650" s="13"/>
      <c r="O650" s="13"/>
      <c r="P650" s="29"/>
    </row>
    <row r="651">
      <c r="A651" s="15" t="s">
        <v>919</v>
      </c>
      <c r="B651" s="16">
        <v>32.0</v>
      </c>
      <c r="C651" s="16">
        <v>22.0</v>
      </c>
      <c r="D651" s="17">
        <v>44.86161893814</v>
      </c>
      <c r="E651" s="17">
        <v>-93.332600507271</v>
      </c>
      <c r="F651" s="16" t="s">
        <v>41</v>
      </c>
      <c r="G651" s="16" t="s">
        <v>17</v>
      </c>
      <c r="H651" s="18" t="s">
        <v>583</v>
      </c>
      <c r="I651" s="19">
        <v>6446.0</v>
      </c>
      <c r="J651" s="21"/>
      <c r="K651" s="11" t="str">
        <f>IFERROR(__xludf.DUMMYFUNCTION("IF(AND(REGEXMATCH($H651,""50( ?['fF]([oO]{2})?[tT]?)?( ?[eE][rR]{2}[oO][rR])"")=FALSE,$H651&lt;&gt;"""",$I651&lt;&gt;""""),HYPERLINK(""https://www.munzee.com/m/""&amp;$H651&amp;""/""&amp;$I651&amp;""/map/?lat=""&amp;$D651&amp;""&amp;lon=""&amp;$E651&amp;""&amp;type=""&amp;$G651&amp;""&amp;name=""&amp;SUBSTITUTE($A651,""#"&amp;""",""%23""),$H651&amp;""/""&amp;$I651),IF($H651&lt;&gt;"""",IF(REGEXMATCH($H651,""50( ?['fF]([oO]{2})?[tT]?)?( ?[eE][rR]{2}[oO][rR])""),HYPERLINK(""https://www.munzee.com/map/?sandbox=1&amp;lat=""&amp;$D651&amp;""&amp;lon=""&amp;$E651&amp;""&amp;name=""&amp;SUBSTITUTE($A651,""#"",""%23""),""SANDBOX"""&amp;"),HYPERLINK(""https://www.munzee.com/m/""&amp;$H651&amp;""/deploys/0/type/""&amp;IFNA(VLOOKUP($G651,IMPORTRANGE(""https://docs.google.com/spreadsheets/d/1DliIGyDywdzxhd4svtjaewR0p9Y5UBTMNMQ2PcXsqss"",""type data!E2:F""),2,FALSE),$G651)&amp;""/"",$H651)),""""))"),"Traycee/6446")</f>
        <v>Traycee/6446</v>
      </c>
      <c r="L651" s="19" t="b">
        <v>1</v>
      </c>
      <c r="M651" s="12">
        <f t="shared" si="1"/>
        <v>5</v>
      </c>
      <c r="N651" s="13"/>
      <c r="O651" s="13"/>
      <c r="P651" s="29"/>
    </row>
    <row r="652">
      <c r="A652" s="15" t="s">
        <v>920</v>
      </c>
      <c r="B652" s="16">
        <v>32.0</v>
      </c>
      <c r="C652" s="16">
        <v>23.0</v>
      </c>
      <c r="D652" s="17">
        <v>44.861618937961</v>
      </c>
      <c r="E652" s="17">
        <v>-93.33239773088</v>
      </c>
      <c r="F652" s="16" t="s">
        <v>41</v>
      </c>
      <c r="G652" s="16" t="s">
        <v>17</v>
      </c>
      <c r="H652" s="18" t="s">
        <v>749</v>
      </c>
      <c r="I652" s="19">
        <v>1605.0</v>
      </c>
      <c r="J652" s="20"/>
      <c r="K652" s="11" t="str">
        <f>IFERROR(__xludf.DUMMYFUNCTION("IF(AND(REGEXMATCH($H652,""50( ?['fF]([oO]{2})?[tT]?)?( ?[eE][rR]{2}[oO][rR])"")=FALSE,$H652&lt;&gt;"""",$I652&lt;&gt;""""),HYPERLINK(""https://www.munzee.com/m/""&amp;$H652&amp;""/""&amp;$I652&amp;""/map/?lat=""&amp;$D652&amp;""&amp;lon=""&amp;$E652&amp;""&amp;type=""&amp;$G652&amp;""&amp;name=""&amp;SUBSTITUTE($A652,""#"&amp;""",""%23""),$H652&amp;""/""&amp;$I652),IF($H652&lt;&gt;"""",IF(REGEXMATCH($H652,""50( ?['fF]([oO]{2})?[tT]?)?( ?[eE][rR]{2}[oO][rR])""),HYPERLINK(""https://www.munzee.com/map/?sandbox=1&amp;lat=""&amp;$D652&amp;""&amp;lon=""&amp;$E652&amp;""&amp;name=""&amp;SUBSTITUTE($A652,""#"",""%23""),""SANDBOX"""&amp;"),HYPERLINK(""https://www.munzee.com/m/""&amp;$H652&amp;""/deploys/0/type/""&amp;IFNA(VLOOKUP($G652,IMPORTRANGE(""https://docs.google.com/spreadsheets/d/1DliIGyDywdzxhd4svtjaewR0p9Y5UBTMNMQ2PcXsqss"",""type data!E2:F""),2,FALSE),$G652)&amp;""/"",$H652)),""""))"),"Blutengel/1605")</f>
        <v>Blutengel/1605</v>
      </c>
      <c r="L652" s="19" t="b">
        <v>1</v>
      </c>
      <c r="M652" s="12">
        <f t="shared" si="1"/>
        <v>9</v>
      </c>
      <c r="N652" s="13"/>
      <c r="O652" s="13"/>
      <c r="P652" s="29"/>
    </row>
    <row r="653">
      <c r="A653" s="15" t="s">
        <v>921</v>
      </c>
      <c r="B653" s="16">
        <v>32.0</v>
      </c>
      <c r="C653" s="16">
        <v>24.0</v>
      </c>
      <c r="D653" s="17">
        <v>44.861618937781</v>
      </c>
      <c r="E653" s="17">
        <v>-93.332194954489</v>
      </c>
      <c r="F653" s="16" t="s">
        <v>41</v>
      </c>
      <c r="G653" s="16" t="s">
        <v>17</v>
      </c>
      <c r="H653" s="18" t="s">
        <v>813</v>
      </c>
      <c r="I653" s="19">
        <v>3716.0</v>
      </c>
      <c r="J653" s="20"/>
      <c r="K653" s="11" t="str">
        <f>IFERROR(__xludf.DUMMYFUNCTION("IF(AND(REGEXMATCH($H653,""50( ?['fF]([oO]{2})?[tT]?)?( ?[eE][rR]{2}[oO][rR])"")=FALSE,$H653&lt;&gt;"""",$I653&lt;&gt;""""),HYPERLINK(""https://www.munzee.com/m/""&amp;$H653&amp;""/""&amp;$I653&amp;""/map/?lat=""&amp;$D653&amp;""&amp;lon=""&amp;$E653&amp;""&amp;type=""&amp;$G653&amp;""&amp;name=""&amp;SUBSTITUTE($A653,""#"&amp;""",""%23""),$H653&amp;""/""&amp;$I653),IF($H653&lt;&gt;"""",IF(REGEXMATCH($H653,""50( ?['fF]([oO]{2})?[tT]?)?( ?[eE][rR]{2}[oO][rR])""),HYPERLINK(""https://www.munzee.com/map/?sandbox=1&amp;lat=""&amp;$D653&amp;""&amp;lon=""&amp;$E653&amp;""&amp;name=""&amp;SUBSTITUTE($A653,""#"",""%23""),""SANDBOX"""&amp;"),HYPERLINK(""https://www.munzee.com/m/""&amp;$H653&amp;""/deploys/0/type/""&amp;IFNA(VLOOKUP($G653,IMPORTRANGE(""https://docs.google.com/spreadsheets/d/1DliIGyDywdzxhd4svtjaewR0p9Y5UBTMNMQ2PcXsqss"",""type data!E2:F""),2,FALSE),$G653)&amp;""/"",$H653)),""""))"),"TexasBandits/3716")</f>
        <v>TexasBandits/3716</v>
      </c>
      <c r="L653" s="19" t="b">
        <v>1</v>
      </c>
      <c r="M653" s="12">
        <f t="shared" si="1"/>
        <v>2</v>
      </c>
      <c r="N653" s="13"/>
      <c r="O653" s="13"/>
      <c r="P653" s="29"/>
    </row>
    <row r="654">
      <c r="A654" s="15" t="s">
        <v>922</v>
      </c>
      <c r="B654" s="16">
        <v>32.0</v>
      </c>
      <c r="C654" s="16">
        <v>25.0</v>
      </c>
      <c r="D654" s="17">
        <v>44.861618937602</v>
      </c>
      <c r="E654" s="17">
        <v>-93.331992178099</v>
      </c>
      <c r="F654" s="16" t="s">
        <v>16</v>
      </c>
      <c r="G654" s="16" t="s">
        <v>17</v>
      </c>
      <c r="H654" s="18" t="s">
        <v>923</v>
      </c>
      <c r="I654" s="19">
        <v>1226.0</v>
      </c>
      <c r="J654" s="25"/>
      <c r="K654" s="11" t="str">
        <f>IFERROR(__xludf.DUMMYFUNCTION("IF(AND(REGEXMATCH($H654,""50( ?['fF]([oO]{2})?[tT]?)?( ?[eE][rR]{2}[oO][rR])"")=FALSE,$H654&lt;&gt;"""",$I654&lt;&gt;""""),HYPERLINK(""https://www.munzee.com/m/""&amp;$H654&amp;""/""&amp;$I654&amp;""/map/?lat=""&amp;$D654&amp;""&amp;lon=""&amp;$E654&amp;""&amp;type=""&amp;$G654&amp;""&amp;name=""&amp;SUBSTITUTE($A654,""#"&amp;""",""%23""),$H654&amp;""/""&amp;$I654),IF($H654&lt;&gt;"""",IF(REGEXMATCH($H654,""50( ?['fF]([oO]{2})?[tT]?)?( ?[eE][rR]{2}[oO][rR])""),HYPERLINK(""https://www.munzee.com/map/?sandbox=1&amp;lat=""&amp;$D654&amp;""&amp;lon=""&amp;$E654&amp;""&amp;name=""&amp;SUBSTITUTE($A654,""#"",""%23""),""SANDBOX"""&amp;"),HYPERLINK(""https://www.munzee.com/m/""&amp;$H654&amp;""/deploys/0/type/""&amp;IFNA(VLOOKUP($G654,IMPORTRANGE(""https://docs.google.com/spreadsheets/d/1DliIGyDywdzxhd4svtjaewR0p9Y5UBTMNMQ2PcXsqss"",""type data!E2:F""),2,FALSE),$G654)&amp;""/"",$H654)),""""))"),"fluffystuff74/1226")</f>
        <v>fluffystuff74/1226</v>
      </c>
      <c r="L654" s="19" t="b">
        <v>1</v>
      </c>
      <c r="M654" s="12">
        <f t="shared" si="1"/>
        <v>5</v>
      </c>
      <c r="N654" s="13"/>
      <c r="O654" s="13"/>
      <c r="P654" s="29"/>
    </row>
    <row r="655">
      <c r="A655" s="15" t="s">
        <v>924</v>
      </c>
      <c r="B655" s="16">
        <v>33.0</v>
      </c>
      <c r="C655" s="16">
        <v>4.0</v>
      </c>
      <c r="D655" s="17">
        <v>44.861475210924</v>
      </c>
      <c r="E655" s="17">
        <v>-93.33625049192</v>
      </c>
      <c r="F655" s="16" t="s">
        <v>16</v>
      </c>
      <c r="G655" s="16" t="s">
        <v>17</v>
      </c>
      <c r="H655" s="18" t="s">
        <v>379</v>
      </c>
      <c r="I655" s="19">
        <v>1150.0</v>
      </c>
      <c r="J655" s="21"/>
      <c r="K655" s="11" t="str">
        <f>IFERROR(__xludf.DUMMYFUNCTION("IF(AND(REGEXMATCH($H655,""50( ?['fF]([oO]{2})?[tT]?)?( ?[eE][rR]{2}[oO][rR])"")=FALSE,$H655&lt;&gt;"""",$I655&lt;&gt;""""),HYPERLINK(""https://www.munzee.com/m/""&amp;$H655&amp;""/""&amp;$I655&amp;""/map/?lat=""&amp;$D655&amp;""&amp;lon=""&amp;$E655&amp;""&amp;type=""&amp;$G655&amp;""&amp;name=""&amp;SUBSTITUTE($A655,""#"&amp;""",""%23""),$H655&amp;""/""&amp;$I655),IF($H655&lt;&gt;"""",IF(REGEXMATCH($H655,""50( ?['fF]([oO]{2})?[tT]?)?( ?[eE][rR]{2}[oO][rR])""),HYPERLINK(""https://www.munzee.com/map/?sandbox=1&amp;lat=""&amp;$D655&amp;""&amp;lon=""&amp;$E655&amp;""&amp;name=""&amp;SUBSTITUTE($A655,""#"",""%23""),""SANDBOX"""&amp;"),HYPERLINK(""https://www.munzee.com/m/""&amp;$H655&amp;""/deploys/0/type/""&amp;IFNA(VLOOKUP($G655,IMPORTRANGE(""https://docs.google.com/spreadsheets/d/1DliIGyDywdzxhd4svtjaewR0p9Y5UBTMNMQ2PcXsqss"",""type data!E2:F""),2,FALSE),$G655)&amp;""/"",$H655)),""""))"),"rohdej/1150")</f>
        <v>rohdej/1150</v>
      </c>
      <c r="L655" s="19" t="b">
        <v>1</v>
      </c>
      <c r="M655" s="12">
        <f t="shared" si="1"/>
        <v>10</v>
      </c>
      <c r="N655" s="13"/>
      <c r="O655" s="13"/>
      <c r="P655" s="29"/>
    </row>
    <row r="656">
      <c r="A656" s="15" t="s">
        <v>925</v>
      </c>
      <c r="B656" s="16">
        <v>33.0</v>
      </c>
      <c r="C656" s="16">
        <v>5.0</v>
      </c>
      <c r="D656" s="17">
        <v>44.861475210744</v>
      </c>
      <c r="E656" s="17">
        <v>-93.336047716035</v>
      </c>
      <c r="F656" s="16" t="s">
        <v>41</v>
      </c>
      <c r="G656" s="16" t="s">
        <v>17</v>
      </c>
      <c r="H656" s="18" t="s">
        <v>273</v>
      </c>
      <c r="I656" s="19">
        <v>1853.0</v>
      </c>
      <c r="J656" s="21"/>
      <c r="K656" s="11" t="str">
        <f>IFERROR(__xludf.DUMMYFUNCTION("IF(AND(REGEXMATCH($H656,""50( ?['fF]([oO]{2})?[tT]?)?( ?[eE][rR]{2}[oO][rR])"")=FALSE,$H656&lt;&gt;"""",$I656&lt;&gt;""""),HYPERLINK(""https://www.munzee.com/m/""&amp;$H656&amp;""/""&amp;$I656&amp;""/map/?lat=""&amp;$D656&amp;""&amp;lon=""&amp;$E656&amp;""&amp;type=""&amp;$G656&amp;""&amp;name=""&amp;SUBSTITUTE($A656,""#"&amp;""",""%23""),$H656&amp;""/""&amp;$I656),IF($H656&lt;&gt;"""",IF(REGEXMATCH($H656,""50( ?['fF]([oO]{2})?[tT]?)?( ?[eE][rR]{2}[oO][rR])""),HYPERLINK(""https://www.munzee.com/map/?sandbox=1&amp;lat=""&amp;$D656&amp;""&amp;lon=""&amp;$E656&amp;""&amp;name=""&amp;SUBSTITUTE($A656,""#"",""%23""),""SANDBOX"""&amp;"),HYPERLINK(""https://www.munzee.com/m/""&amp;$H656&amp;""/deploys/0/type/""&amp;IFNA(VLOOKUP($G656,IMPORTRANGE(""https://docs.google.com/spreadsheets/d/1DliIGyDywdzxhd4svtjaewR0p9Y5UBTMNMQ2PcXsqss"",""type data!E2:F""),2,FALSE),$G656)&amp;""/"",$H656)),""""))"),"yhtak57/1853")</f>
        <v>yhtak57/1853</v>
      </c>
      <c r="L656" s="19" t="b">
        <v>1</v>
      </c>
      <c r="M656" s="12">
        <f t="shared" si="1"/>
        <v>12</v>
      </c>
      <c r="N656" s="13"/>
      <c r="O656" s="13"/>
      <c r="P656" s="29"/>
    </row>
    <row r="657">
      <c r="A657" s="15" t="s">
        <v>926</v>
      </c>
      <c r="B657" s="16">
        <v>33.0</v>
      </c>
      <c r="C657" s="16">
        <v>6.0</v>
      </c>
      <c r="D657" s="17">
        <v>44.861475210565</v>
      </c>
      <c r="E657" s="17">
        <v>-93.335844940151</v>
      </c>
      <c r="F657" s="16" t="s">
        <v>41</v>
      </c>
      <c r="G657" s="16" t="s">
        <v>17</v>
      </c>
      <c r="H657" s="18" t="s">
        <v>99</v>
      </c>
      <c r="I657" s="19">
        <v>1871.0</v>
      </c>
      <c r="J657" s="21"/>
      <c r="K657" s="11" t="str">
        <f>IFERROR(__xludf.DUMMYFUNCTION("IF(AND(REGEXMATCH($H657,""50( ?['fF]([oO]{2})?[tT]?)?( ?[eE][rR]{2}[oO][rR])"")=FALSE,$H657&lt;&gt;"""",$I657&lt;&gt;""""),HYPERLINK(""https://www.munzee.com/m/""&amp;$H657&amp;""/""&amp;$I657&amp;""/map/?lat=""&amp;$D657&amp;""&amp;lon=""&amp;$E657&amp;""&amp;type=""&amp;$G657&amp;""&amp;name=""&amp;SUBSTITUTE($A657,""#"&amp;""",""%23""),$H657&amp;""/""&amp;$I657),IF($H657&lt;&gt;"""",IF(REGEXMATCH($H657,""50( ?['fF]([oO]{2})?[tT]?)?( ?[eE][rR]{2}[oO][rR])""),HYPERLINK(""https://www.munzee.com/map/?sandbox=1&amp;lat=""&amp;$D657&amp;""&amp;lon=""&amp;$E657&amp;""&amp;name=""&amp;SUBSTITUTE($A657,""#"",""%23""),""SANDBOX"""&amp;"),HYPERLINK(""https://www.munzee.com/m/""&amp;$H657&amp;""/deploys/0/type/""&amp;IFNA(VLOOKUP($G657,IMPORTRANGE(""https://docs.google.com/spreadsheets/d/1DliIGyDywdzxhd4svtjaewR0p9Y5UBTMNMQ2PcXsqss"",""type data!E2:F""),2,FALSE),$G657)&amp;""/"",$H657)),""""))"),"jsamundson/1871")</f>
        <v>jsamundson/1871</v>
      </c>
      <c r="L657" s="19" t="b">
        <v>1</v>
      </c>
      <c r="M657" s="12">
        <f t="shared" si="1"/>
        <v>20</v>
      </c>
      <c r="N657" s="13"/>
      <c r="O657" s="13"/>
      <c r="P657" s="29"/>
    </row>
    <row r="658">
      <c r="A658" s="15" t="s">
        <v>927</v>
      </c>
      <c r="B658" s="16">
        <v>33.0</v>
      </c>
      <c r="C658" s="16">
        <v>7.0</v>
      </c>
      <c r="D658" s="17">
        <v>44.861475210386</v>
      </c>
      <c r="E658" s="17">
        <v>-93.335642164266</v>
      </c>
      <c r="F658" s="16" t="s">
        <v>41</v>
      </c>
      <c r="G658" s="16" t="s">
        <v>17</v>
      </c>
      <c r="H658" s="18" t="s">
        <v>928</v>
      </c>
      <c r="I658" s="19">
        <v>823.0</v>
      </c>
      <c r="J658" s="21"/>
      <c r="K658" s="11" t="str">
        <f>IFERROR(__xludf.DUMMYFUNCTION("IF(AND(REGEXMATCH($H658,""50( ?['fF]([oO]{2})?[tT]?)?( ?[eE][rR]{2}[oO][rR])"")=FALSE,$H658&lt;&gt;"""",$I658&lt;&gt;""""),HYPERLINK(""https://www.munzee.com/m/""&amp;$H658&amp;""/""&amp;$I658&amp;""/map/?lat=""&amp;$D658&amp;""&amp;lon=""&amp;$E658&amp;""&amp;type=""&amp;$G658&amp;""&amp;name=""&amp;SUBSTITUTE($A658,""#"&amp;""",""%23""),$H658&amp;""/""&amp;$I658),IF($H658&lt;&gt;"""",IF(REGEXMATCH($H658,""50( ?['fF]([oO]{2})?[tT]?)?( ?[eE][rR]{2}[oO][rR])""),HYPERLINK(""https://www.munzee.com/map/?sandbox=1&amp;lat=""&amp;$D658&amp;""&amp;lon=""&amp;$E658&amp;""&amp;name=""&amp;SUBSTITUTE($A658,""#"",""%23""),""SANDBOX"""&amp;"),HYPERLINK(""https://www.munzee.com/m/""&amp;$H658&amp;""/deploys/0/type/""&amp;IFNA(VLOOKUP($G658,IMPORTRANGE(""https://docs.google.com/spreadsheets/d/1DliIGyDywdzxhd4svtjaewR0p9Y5UBTMNMQ2PcXsqss"",""type data!E2:F""),2,FALSE),$G658)&amp;""/"",$H658)),""""))"),"soule122/823")</f>
        <v>soule122/823</v>
      </c>
      <c r="L658" s="19" t="b">
        <v>1</v>
      </c>
      <c r="M658" s="12">
        <f t="shared" si="1"/>
        <v>1</v>
      </c>
      <c r="N658" s="13"/>
      <c r="O658" s="13"/>
      <c r="P658" s="29"/>
    </row>
    <row r="659">
      <c r="A659" s="15" t="s">
        <v>929</v>
      </c>
      <c r="B659" s="16">
        <v>33.0</v>
      </c>
      <c r="C659" s="16">
        <v>8.0</v>
      </c>
      <c r="D659" s="17">
        <v>44.861475210206</v>
      </c>
      <c r="E659" s="17">
        <v>-93.335439388382</v>
      </c>
      <c r="F659" s="16" t="s">
        <v>41</v>
      </c>
      <c r="G659" s="16" t="s">
        <v>17</v>
      </c>
      <c r="H659" s="18" t="s">
        <v>786</v>
      </c>
      <c r="I659" s="19">
        <v>7778.0</v>
      </c>
      <c r="J659" s="21"/>
      <c r="K659" s="11" t="str">
        <f>IFERROR(__xludf.DUMMYFUNCTION("IF(AND(REGEXMATCH($H659,""50( ?['fF]([oO]{2})?[tT]?)?( ?[eE][rR]{2}[oO][rR])"")=FALSE,$H659&lt;&gt;"""",$I659&lt;&gt;""""),HYPERLINK(""https://www.munzee.com/m/""&amp;$H659&amp;""/""&amp;$I659&amp;""/map/?lat=""&amp;$D659&amp;""&amp;lon=""&amp;$E659&amp;""&amp;type=""&amp;$G659&amp;""&amp;name=""&amp;SUBSTITUTE($A659,""#"&amp;""",""%23""),$H659&amp;""/""&amp;$I659),IF($H659&lt;&gt;"""",IF(REGEXMATCH($H659,""50( ?['fF]([oO]{2})?[tT]?)?( ?[eE][rR]{2}[oO][rR])""),HYPERLINK(""https://www.munzee.com/map/?sandbox=1&amp;lat=""&amp;$D659&amp;""&amp;lon=""&amp;$E659&amp;""&amp;name=""&amp;SUBSTITUTE($A659,""#"",""%23""),""SANDBOX"""&amp;"),HYPERLINK(""https://www.munzee.com/m/""&amp;$H659&amp;""/deploys/0/type/""&amp;IFNA(VLOOKUP($G659,IMPORTRANGE(""https://docs.google.com/spreadsheets/d/1DliIGyDywdzxhd4svtjaewR0p9Y5UBTMNMQ2PcXsqss"",""type data!E2:F""),2,FALSE),$G659)&amp;""/"",$H659)),""""))"),"SpaceCoastGeoStore/7778")</f>
        <v>SpaceCoastGeoStore/7778</v>
      </c>
      <c r="L659" s="19" t="b">
        <v>1</v>
      </c>
      <c r="M659" s="12">
        <f t="shared" si="1"/>
        <v>3</v>
      </c>
      <c r="N659" s="13"/>
      <c r="O659" s="13"/>
      <c r="P659" s="29"/>
    </row>
    <row r="660">
      <c r="A660" s="15" t="s">
        <v>930</v>
      </c>
      <c r="B660" s="16">
        <v>33.0</v>
      </c>
      <c r="C660" s="16">
        <v>9.0</v>
      </c>
      <c r="D660" s="17">
        <v>44.861475210027</v>
      </c>
      <c r="E660" s="17">
        <v>-93.335236612498</v>
      </c>
      <c r="F660" s="16" t="s">
        <v>41</v>
      </c>
      <c r="G660" s="16" t="s">
        <v>17</v>
      </c>
      <c r="H660" s="18" t="s">
        <v>815</v>
      </c>
      <c r="I660" s="19">
        <v>5006.0</v>
      </c>
      <c r="J660" s="21"/>
      <c r="K660" s="11" t="str">
        <f>IFERROR(__xludf.DUMMYFUNCTION("IF(AND(REGEXMATCH($H660,""50( ?['fF]([oO]{2})?[tT]?)?( ?[eE][rR]{2}[oO][rR])"")=FALSE,$H660&lt;&gt;"""",$I660&lt;&gt;""""),HYPERLINK(""https://www.munzee.com/m/""&amp;$H660&amp;""/""&amp;$I660&amp;""/map/?lat=""&amp;$D660&amp;""&amp;lon=""&amp;$E660&amp;""&amp;type=""&amp;$G660&amp;""&amp;name=""&amp;SUBSTITUTE($A660,""#"&amp;""",""%23""),$H660&amp;""/""&amp;$I660),IF($H660&lt;&gt;"""",IF(REGEXMATCH($H660,""50( ?['fF]([oO]{2})?[tT]?)?( ?[eE][rR]{2}[oO][rR])""),HYPERLINK(""https://www.munzee.com/map/?sandbox=1&amp;lat=""&amp;$D660&amp;""&amp;lon=""&amp;$E660&amp;""&amp;name=""&amp;SUBSTITUTE($A660,""#"",""%23""),""SANDBOX"""&amp;"),HYPERLINK(""https://www.munzee.com/m/""&amp;$H660&amp;""/deploys/0/type/""&amp;IFNA(VLOOKUP($G660,IMPORTRANGE(""https://docs.google.com/spreadsheets/d/1DliIGyDywdzxhd4svtjaewR0p9Y5UBTMNMQ2PcXsqss"",""type data!E2:F""),2,FALSE),$G660)&amp;""/"",$H660)),""""))"),"Gamsci/5006")</f>
        <v>Gamsci/5006</v>
      </c>
      <c r="L660" s="19" t="b">
        <v>1</v>
      </c>
      <c r="M660" s="12">
        <f t="shared" si="1"/>
        <v>7</v>
      </c>
      <c r="N660" s="13"/>
      <c r="O660" s="13"/>
      <c r="P660" s="29"/>
    </row>
    <row r="661">
      <c r="A661" s="15" t="s">
        <v>931</v>
      </c>
      <c r="B661" s="16">
        <v>33.0</v>
      </c>
      <c r="C661" s="16">
        <v>10.0</v>
      </c>
      <c r="D661" s="17">
        <v>44.861475209847</v>
      </c>
      <c r="E661" s="17">
        <v>-93.335033836613</v>
      </c>
      <c r="F661" s="16" t="s">
        <v>510</v>
      </c>
      <c r="G661" s="16" t="s">
        <v>17</v>
      </c>
      <c r="H661" s="18" t="s">
        <v>932</v>
      </c>
      <c r="I661" s="19">
        <v>2708.0</v>
      </c>
      <c r="J661" s="20"/>
      <c r="K661" s="11" t="str">
        <f>IFERROR(__xludf.DUMMYFUNCTION("IF(AND(REGEXMATCH($H661,""50( ?['fF]([oO]{2})?[tT]?)?( ?[eE][rR]{2}[oO][rR])"")=FALSE,$H661&lt;&gt;"""",$I661&lt;&gt;""""),HYPERLINK(""https://www.munzee.com/m/""&amp;$H661&amp;""/""&amp;$I661&amp;""/map/?lat=""&amp;$D661&amp;""&amp;lon=""&amp;$E661&amp;""&amp;type=""&amp;$G661&amp;""&amp;name=""&amp;SUBSTITUTE($A661,""#"&amp;""",""%23""),$H661&amp;""/""&amp;$I661),IF($H661&lt;&gt;"""",IF(REGEXMATCH($H661,""50( ?['fF]([oO]{2})?[tT]?)?( ?[eE][rR]{2}[oO][rR])""),HYPERLINK(""https://www.munzee.com/map/?sandbox=1&amp;lat=""&amp;$D661&amp;""&amp;lon=""&amp;$E661&amp;""&amp;name=""&amp;SUBSTITUTE($A661,""#"",""%23""),""SANDBOX"""&amp;"),HYPERLINK(""https://www.munzee.com/m/""&amp;$H661&amp;""/deploys/0/type/""&amp;IFNA(VLOOKUP($G661,IMPORTRANGE(""https://docs.google.com/spreadsheets/d/1DliIGyDywdzxhd4svtjaewR0p9Y5UBTMNMQ2PcXsqss"",""type data!E2:F""),2,FALSE),$G661)&amp;""/"",$H661)),""""))"),"Lissu/2708")</f>
        <v>Lissu/2708</v>
      </c>
      <c r="L661" s="19" t="b">
        <v>1</v>
      </c>
      <c r="M661" s="12">
        <f t="shared" si="1"/>
        <v>1</v>
      </c>
      <c r="N661" s="13"/>
      <c r="O661" s="13"/>
      <c r="P661" s="29"/>
    </row>
    <row r="662">
      <c r="A662" s="15" t="s">
        <v>933</v>
      </c>
      <c r="B662" s="16">
        <v>33.0</v>
      </c>
      <c r="C662" s="16">
        <v>11.0</v>
      </c>
      <c r="D662" s="17">
        <v>44.861475209668</v>
      </c>
      <c r="E662" s="17">
        <v>-93.334831060729</v>
      </c>
      <c r="F662" s="16" t="s">
        <v>510</v>
      </c>
      <c r="G662" s="16" t="s">
        <v>17</v>
      </c>
      <c r="H662" s="18" t="s">
        <v>599</v>
      </c>
      <c r="I662" s="19">
        <v>227.0</v>
      </c>
      <c r="J662" s="20"/>
      <c r="K662" s="11" t="str">
        <f>IFERROR(__xludf.DUMMYFUNCTION("IF(AND(REGEXMATCH($H662,""50( ?['fF]([oO]{2})?[tT]?)?( ?[eE][rR]{2}[oO][rR])"")=FALSE,$H662&lt;&gt;"""",$I662&lt;&gt;""""),HYPERLINK(""https://www.munzee.com/m/""&amp;$H662&amp;""/""&amp;$I662&amp;""/map/?lat=""&amp;$D662&amp;""&amp;lon=""&amp;$E662&amp;""&amp;type=""&amp;$G662&amp;""&amp;name=""&amp;SUBSTITUTE($A662,""#"&amp;""",""%23""),$H662&amp;""/""&amp;$I662),IF($H662&lt;&gt;"""",IF(REGEXMATCH($H662,""50( ?['fF]([oO]{2})?[tT]?)?( ?[eE][rR]{2}[oO][rR])""),HYPERLINK(""https://www.munzee.com/map/?sandbox=1&amp;lat=""&amp;$D662&amp;""&amp;lon=""&amp;$E662&amp;""&amp;name=""&amp;SUBSTITUTE($A662,""#"",""%23""),""SANDBOX"""&amp;"),HYPERLINK(""https://www.munzee.com/m/""&amp;$H662&amp;""/deploys/0/type/""&amp;IFNA(VLOOKUP($G662,IMPORTRANGE(""https://docs.google.com/spreadsheets/d/1DliIGyDywdzxhd4svtjaewR0p9Y5UBTMNMQ2PcXsqss"",""type data!E2:F""),2,FALSE),$G662)&amp;""/"",$H662)),""""))"),"Dreamcatchr/227")</f>
        <v>Dreamcatchr/227</v>
      </c>
      <c r="L662" s="19" t="b">
        <v>1</v>
      </c>
      <c r="M662" s="12">
        <f t="shared" si="1"/>
        <v>3</v>
      </c>
      <c r="N662" s="13"/>
      <c r="O662" s="13"/>
      <c r="P662" s="29"/>
    </row>
    <row r="663">
      <c r="A663" s="15" t="s">
        <v>934</v>
      </c>
      <c r="B663" s="16">
        <v>33.0</v>
      </c>
      <c r="C663" s="16">
        <v>12.0</v>
      </c>
      <c r="D663" s="17">
        <v>44.861475209489</v>
      </c>
      <c r="E663" s="17">
        <v>-93.334628284844</v>
      </c>
      <c r="F663" s="16" t="s">
        <v>510</v>
      </c>
      <c r="G663" s="16" t="s">
        <v>17</v>
      </c>
      <c r="H663" s="18" t="s">
        <v>154</v>
      </c>
      <c r="I663" s="19">
        <v>7408.0</v>
      </c>
      <c r="J663" s="20"/>
      <c r="K663" s="11" t="str">
        <f>IFERROR(__xludf.DUMMYFUNCTION("IF(AND(REGEXMATCH($H663,""50( ?['fF]([oO]{2})?[tT]?)?( ?[eE][rR]{2}[oO][rR])"")=FALSE,$H663&lt;&gt;"""",$I663&lt;&gt;""""),HYPERLINK(""https://www.munzee.com/m/""&amp;$H663&amp;""/""&amp;$I663&amp;""/map/?lat=""&amp;$D663&amp;""&amp;lon=""&amp;$E663&amp;""&amp;type=""&amp;$G663&amp;""&amp;name=""&amp;SUBSTITUTE($A663,""#"&amp;""",""%23""),$H663&amp;""/""&amp;$I663),IF($H663&lt;&gt;"""",IF(REGEXMATCH($H663,""50( ?['fF]([oO]{2})?[tT]?)?( ?[eE][rR]{2}[oO][rR])""),HYPERLINK(""https://www.munzee.com/map/?sandbox=1&amp;lat=""&amp;$D663&amp;""&amp;lon=""&amp;$E663&amp;""&amp;name=""&amp;SUBSTITUTE($A663,""#"",""%23""),""SANDBOX"""&amp;"),HYPERLINK(""https://www.munzee.com/m/""&amp;$H663&amp;""/deploys/0/type/""&amp;IFNA(VLOOKUP($G663,IMPORTRANGE(""https://docs.google.com/spreadsheets/d/1DliIGyDywdzxhd4svtjaewR0p9Y5UBTMNMQ2PcXsqss"",""type data!E2:F""),2,FALSE),$G663)&amp;""/"",$H663)),""""))"),"geomatrix /7408")</f>
        <v>geomatrix /7408</v>
      </c>
      <c r="L663" s="19" t="b">
        <v>1</v>
      </c>
      <c r="M663" s="12">
        <f t="shared" si="1"/>
        <v>5</v>
      </c>
      <c r="N663" s="13"/>
      <c r="O663" s="13"/>
      <c r="P663" s="29"/>
    </row>
    <row r="664">
      <c r="A664" s="15" t="s">
        <v>935</v>
      </c>
      <c r="B664" s="16">
        <v>33.0</v>
      </c>
      <c r="C664" s="16">
        <v>13.0</v>
      </c>
      <c r="D664" s="17">
        <v>44.861475209309</v>
      </c>
      <c r="E664" s="17">
        <v>-93.33442550896</v>
      </c>
      <c r="F664" s="16" t="s">
        <v>16</v>
      </c>
      <c r="G664" s="16" t="s">
        <v>17</v>
      </c>
      <c r="H664" s="18" t="s">
        <v>825</v>
      </c>
      <c r="I664" s="19">
        <v>8730.0</v>
      </c>
      <c r="J664" s="21"/>
      <c r="K664" s="11" t="str">
        <f>IFERROR(__xludf.DUMMYFUNCTION("IF(AND(REGEXMATCH($H664,""50( ?['fF]([oO]{2})?[tT]?)?( ?[eE][rR]{2}[oO][rR])"")=FALSE,$H664&lt;&gt;"""",$I664&lt;&gt;""""),HYPERLINK(""https://www.munzee.com/m/""&amp;$H664&amp;""/""&amp;$I664&amp;""/map/?lat=""&amp;$D664&amp;""&amp;lon=""&amp;$E664&amp;""&amp;type=""&amp;$G664&amp;""&amp;name=""&amp;SUBSTITUTE($A664,""#"&amp;""",""%23""),$H664&amp;""/""&amp;$I664),IF($H664&lt;&gt;"""",IF(REGEXMATCH($H664,""50( ?['fF]([oO]{2})?[tT]?)?( ?[eE][rR]{2}[oO][rR])""),HYPERLINK(""https://www.munzee.com/map/?sandbox=1&amp;lat=""&amp;$D664&amp;""&amp;lon=""&amp;$E664&amp;""&amp;name=""&amp;SUBSTITUTE($A664,""#"",""%23""),""SANDBOX"""&amp;"),HYPERLINK(""https://www.munzee.com/m/""&amp;$H664&amp;""/deploys/0/type/""&amp;IFNA(VLOOKUP($G664,IMPORTRANGE(""https://docs.google.com/spreadsheets/d/1DliIGyDywdzxhd4svtjaewR0p9Y5UBTMNMQ2PcXsqss"",""type data!E2:F""),2,FALSE),$G664)&amp;""/"",$H664)),""""))"),"wemissmo/8730")</f>
        <v>wemissmo/8730</v>
      </c>
      <c r="L664" s="19" t="b">
        <v>1</v>
      </c>
      <c r="M664" s="12">
        <f t="shared" si="1"/>
        <v>3</v>
      </c>
      <c r="N664" s="13"/>
      <c r="O664" s="13"/>
      <c r="P664" s="29"/>
    </row>
    <row r="665">
      <c r="A665" s="15" t="s">
        <v>936</v>
      </c>
      <c r="B665" s="16">
        <v>33.0</v>
      </c>
      <c r="C665" s="16">
        <v>16.0</v>
      </c>
      <c r="D665" s="17">
        <v>44.861475208771</v>
      </c>
      <c r="E665" s="17">
        <v>-93.333817181307</v>
      </c>
      <c r="F665" s="16" t="s">
        <v>16</v>
      </c>
      <c r="G665" s="16" t="s">
        <v>17</v>
      </c>
      <c r="H665" s="33" t="s">
        <v>194</v>
      </c>
      <c r="I665" s="19">
        <v>8579.0</v>
      </c>
      <c r="J665" s="20"/>
      <c r="K665" s="11" t="str">
        <f>IFERROR(__xludf.DUMMYFUNCTION("IF(AND(REGEXMATCH($H665,""50( ?['fF]([oO]{2})?[tT]?)?( ?[eE][rR]{2}[oO][rR])"")=FALSE,$H665&lt;&gt;"""",$I665&lt;&gt;""""),HYPERLINK(""https://www.munzee.com/m/""&amp;$H665&amp;""/""&amp;$I665&amp;""/map/?lat=""&amp;$D665&amp;""&amp;lon=""&amp;$E665&amp;""&amp;type=""&amp;$G665&amp;""&amp;name=""&amp;SUBSTITUTE($A665,""#"&amp;""",""%23""),$H665&amp;""/""&amp;$I665),IF($H665&lt;&gt;"""",IF(REGEXMATCH($H665,""50( ?['fF]([oO]{2})?[tT]?)?( ?[eE][rR]{2}[oO][rR])""),HYPERLINK(""https://www.munzee.com/map/?sandbox=1&amp;lat=""&amp;$D665&amp;""&amp;lon=""&amp;$E665&amp;""&amp;name=""&amp;SUBSTITUTE($A665,""#"",""%23""),""SANDBOX"""&amp;"),HYPERLINK(""https://www.munzee.com/m/""&amp;$H665&amp;""/deploys/0/type/""&amp;IFNA(VLOOKUP($G665,IMPORTRANGE(""https://docs.google.com/spreadsheets/d/1DliIGyDywdzxhd4svtjaewR0p9Y5UBTMNMQ2PcXsqss"",""type data!E2:F""),2,FALSE),$G665)&amp;""/"",$H665)),""""))"),"warped6/8579")</f>
        <v>warped6/8579</v>
      </c>
      <c r="L665" s="19" t="b">
        <v>1</v>
      </c>
      <c r="M665" s="12">
        <f t="shared" si="1"/>
        <v>24</v>
      </c>
      <c r="N665" s="13"/>
      <c r="O665" s="13"/>
      <c r="P665" s="29"/>
    </row>
    <row r="666">
      <c r="A666" s="15" t="s">
        <v>937</v>
      </c>
      <c r="B666" s="16">
        <v>33.0</v>
      </c>
      <c r="C666" s="16">
        <v>17.0</v>
      </c>
      <c r="D666" s="17">
        <v>44.861475208591</v>
      </c>
      <c r="E666" s="17">
        <v>-93.333614405423</v>
      </c>
      <c r="F666" s="16" t="s">
        <v>510</v>
      </c>
      <c r="G666" s="16" t="s">
        <v>17</v>
      </c>
      <c r="H666" s="18" t="s">
        <v>129</v>
      </c>
      <c r="I666" s="19">
        <v>2428.0</v>
      </c>
      <c r="J666" s="20"/>
      <c r="K666" s="11" t="str">
        <f>IFERROR(__xludf.DUMMYFUNCTION("IF(AND(REGEXMATCH($H666,""50( ?['fF]([oO]{2})?[tT]?)?( ?[eE][rR]{2}[oO][rR])"")=FALSE,$H666&lt;&gt;"""",$I666&lt;&gt;""""),HYPERLINK(""https://www.munzee.com/m/""&amp;$H666&amp;""/""&amp;$I666&amp;""/map/?lat=""&amp;$D666&amp;""&amp;lon=""&amp;$E666&amp;""&amp;type=""&amp;$G666&amp;""&amp;name=""&amp;SUBSTITUTE($A666,""#"&amp;""",""%23""),$H666&amp;""/""&amp;$I666),IF($H666&lt;&gt;"""",IF(REGEXMATCH($H666,""50( ?['fF]([oO]{2})?[tT]?)?( ?[eE][rR]{2}[oO][rR])""),HYPERLINK(""https://www.munzee.com/map/?sandbox=1&amp;lat=""&amp;$D666&amp;""&amp;lon=""&amp;$E666&amp;""&amp;name=""&amp;SUBSTITUTE($A666,""#"",""%23""),""SANDBOX"""&amp;"),HYPERLINK(""https://www.munzee.com/m/""&amp;$H666&amp;""/deploys/0/type/""&amp;IFNA(VLOOKUP($G666,IMPORTRANGE(""https://docs.google.com/spreadsheets/d/1DliIGyDywdzxhd4svtjaewR0p9Y5UBTMNMQ2PcXsqss"",""type data!E2:F""),2,FALSE),$G666)&amp;""/"",$H666)),""""))"),"shingobee23/2428")</f>
        <v>shingobee23/2428</v>
      </c>
      <c r="L666" s="19" t="b">
        <v>1</v>
      </c>
      <c r="M666" s="12">
        <f t="shared" si="1"/>
        <v>4</v>
      </c>
      <c r="N666" s="13"/>
      <c r="O666" s="13"/>
      <c r="P666" s="15"/>
    </row>
    <row r="667">
      <c r="A667" s="15" t="s">
        <v>938</v>
      </c>
      <c r="B667" s="16">
        <v>33.0</v>
      </c>
      <c r="C667" s="16">
        <v>18.0</v>
      </c>
      <c r="D667" s="17">
        <v>44.861475208412</v>
      </c>
      <c r="E667" s="17">
        <v>-93.333411629538</v>
      </c>
      <c r="F667" s="16" t="s">
        <v>510</v>
      </c>
      <c r="G667" s="16" t="s">
        <v>17</v>
      </c>
      <c r="H667" s="18" t="s">
        <v>939</v>
      </c>
      <c r="I667" s="19">
        <v>1775.0</v>
      </c>
      <c r="J667" s="21"/>
      <c r="K667" s="11" t="str">
        <f>IFERROR(__xludf.DUMMYFUNCTION("IF(AND(REGEXMATCH($H667,""50( ?['fF]([oO]{2})?[tT]?)?( ?[eE][rR]{2}[oO][rR])"")=FALSE,$H667&lt;&gt;"""",$I667&lt;&gt;""""),HYPERLINK(""https://www.munzee.com/m/""&amp;$H667&amp;""/""&amp;$I667&amp;""/map/?lat=""&amp;$D667&amp;""&amp;lon=""&amp;$E667&amp;""&amp;type=""&amp;$G667&amp;""&amp;name=""&amp;SUBSTITUTE($A667,""#"&amp;""",""%23""),$H667&amp;""/""&amp;$I667),IF($H667&lt;&gt;"""",IF(REGEXMATCH($H667,""50( ?['fF]([oO]{2})?[tT]?)?( ?[eE][rR]{2}[oO][rR])""),HYPERLINK(""https://www.munzee.com/map/?sandbox=1&amp;lat=""&amp;$D667&amp;""&amp;lon=""&amp;$E667&amp;""&amp;name=""&amp;SUBSTITUTE($A667,""#"",""%23""),""SANDBOX"""&amp;"),HYPERLINK(""https://www.munzee.com/m/""&amp;$H667&amp;""/deploys/0/type/""&amp;IFNA(VLOOKUP($G667,IMPORTRANGE(""https://docs.google.com/spreadsheets/d/1DliIGyDywdzxhd4svtjaewR0p9Y5UBTMNMQ2PcXsqss"",""type data!E2:F""),2,FALSE),$G667)&amp;""/"",$H667)),""""))"),"Pronkrug/1775")</f>
        <v>Pronkrug/1775</v>
      </c>
      <c r="L667" s="19" t="b">
        <v>1</v>
      </c>
      <c r="M667" s="12">
        <f t="shared" si="1"/>
        <v>1</v>
      </c>
      <c r="N667" s="13"/>
      <c r="O667" s="13"/>
      <c r="P667" s="15"/>
    </row>
    <row r="668">
      <c r="A668" s="15" t="s">
        <v>940</v>
      </c>
      <c r="B668" s="16">
        <v>33.0</v>
      </c>
      <c r="C668" s="16">
        <v>19.0</v>
      </c>
      <c r="D668" s="17">
        <v>44.861475208233</v>
      </c>
      <c r="E668" s="17">
        <v>-93.333208853654</v>
      </c>
      <c r="F668" s="16" t="s">
        <v>41</v>
      </c>
      <c r="G668" s="16" t="s">
        <v>17</v>
      </c>
      <c r="H668" s="18" t="s">
        <v>505</v>
      </c>
      <c r="I668" s="19">
        <v>5401.0</v>
      </c>
      <c r="J668" s="21"/>
      <c r="K668" s="11" t="str">
        <f>IFERROR(__xludf.DUMMYFUNCTION("IF(AND(REGEXMATCH($H668,""50( ?['fF]([oO]{2})?[tT]?)?( ?[eE][rR]{2}[oO][rR])"")=FALSE,$H668&lt;&gt;"""",$I668&lt;&gt;""""),HYPERLINK(""https://www.munzee.com/m/""&amp;$H668&amp;""/""&amp;$I668&amp;""/map/?lat=""&amp;$D668&amp;""&amp;lon=""&amp;$E668&amp;""&amp;type=""&amp;$G668&amp;""&amp;name=""&amp;SUBSTITUTE($A668,""#"&amp;""",""%23""),$H668&amp;""/""&amp;$I668),IF($H668&lt;&gt;"""",IF(REGEXMATCH($H668,""50( ?['fF]([oO]{2})?[tT]?)?( ?[eE][rR]{2}[oO][rR])""),HYPERLINK(""https://www.munzee.com/map/?sandbox=1&amp;lat=""&amp;$D668&amp;""&amp;lon=""&amp;$E668&amp;""&amp;name=""&amp;SUBSTITUTE($A668,""#"",""%23""),""SANDBOX"""&amp;"),HYPERLINK(""https://www.munzee.com/m/""&amp;$H668&amp;""/deploys/0/type/""&amp;IFNA(VLOOKUP($G668,IMPORTRANGE(""https://docs.google.com/spreadsheets/d/1DliIGyDywdzxhd4svtjaewR0p9Y5UBTMNMQ2PcXsqss"",""type data!E2:F""),2,FALSE),$G668)&amp;""/"",$H668)),""""))"),"vadotech/5401")</f>
        <v>vadotech/5401</v>
      </c>
      <c r="L668" s="19" t="b">
        <v>1</v>
      </c>
      <c r="M668" s="12">
        <f t="shared" si="1"/>
        <v>4</v>
      </c>
      <c r="N668" s="13"/>
      <c r="O668" s="13"/>
      <c r="P668" s="15"/>
    </row>
    <row r="669">
      <c r="A669" s="15" t="s">
        <v>941</v>
      </c>
      <c r="B669" s="16">
        <v>33.0</v>
      </c>
      <c r="C669" s="16">
        <v>20.0</v>
      </c>
      <c r="D669" s="17">
        <v>44.861475208053</v>
      </c>
      <c r="E669" s="17">
        <v>-93.333006077769</v>
      </c>
      <c r="F669" s="16" t="s">
        <v>41</v>
      </c>
      <c r="G669" s="16" t="s">
        <v>17</v>
      </c>
      <c r="H669" s="18" t="s">
        <v>99</v>
      </c>
      <c r="I669" s="19">
        <v>1864.0</v>
      </c>
      <c r="J669" s="21"/>
      <c r="K669" s="11" t="str">
        <f>IFERROR(__xludf.DUMMYFUNCTION("IF(AND(REGEXMATCH($H669,""50( ?['fF]([oO]{2})?[tT]?)?( ?[eE][rR]{2}[oO][rR])"")=FALSE,$H669&lt;&gt;"""",$I669&lt;&gt;""""),HYPERLINK(""https://www.munzee.com/m/""&amp;$H669&amp;""/""&amp;$I669&amp;""/map/?lat=""&amp;$D669&amp;""&amp;lon=""&amp;$E669&amp;""&amp;type=""&amp;$G669&amp;""&amp;name=""&amp;SUBSTITUTE($A669,""#"&amp;""",""%23""),$H669&amp;""/""&amp;$I669),IF($H669&lt;&gt;"""",IF(REGEXMATCH($H669,""50( ?['fF]([oO]{2})?[tT]?)?( ?[eE][rR]{2}[oO][rR])""),HYPERLINK(""https://www.munzee.com/map/?sandbox=1&amp;lat=""&amp;$D669&amp;""&amp;lon=""&amp;$E669&amp;""&amp;name=""&amp;SUBSTITUTE($A669,""#"",""%23""),""SANDBOX"""&amp;"),HYPERLINK(""https://www.munzee.com/m/""&amp;$H669&amp;""/deploys/0/type/""&amp;IFNA(VLOOKUP($G669,IMPORTRANGE(""https://docs.google.com/spreadsheets/d/1DliIGyDywdzxhd4svtjaewR0p9Y5UBTMNMQ2PcXsqss"",""type data!E2:F""),2,FALSE),$G669)&amp;""/"",$H669)),""""))"),"jsamundson/1864")</f>
        <v>jsamundson/1864</v>
      </c>
      <c r="L669" s="19" t="b">
        <v>1</v>
      </c>
      <c r="M669" s="12">
        <f t="shared" si="1"/>
        <v>20</v>
      </c>
      <c r="N669" s="13"/>
      <c r="O669" s="13"/>
      <c r="P669" s="15"/>
    </row>
    <row r="670">
      <c r="A670" s="15" t="s">
        <v>942</v>
      </c>
      <c r="B670" s="16">
        <v>33.0</v>
      </c>
      <c r="C670" s="16">
        <v>21.0</v>
      </c>
      <c r="D670" s="17">
        <v>44.861475207874</v>
      </c>
      <c r="E670" s="17">
        <v>-93.332803301885</v>
      </c>
      <c r="F670" s="16" t="s">
        <v>41</v>
      </c>
      <c r="G670" s="16" t="s">
        <v>17</v>
      </c>
      <c r="H670" s="18" t="s">
        <v>943</v>
      </c>
      <c r="I670" s="19">
        <v>641.0</v>
      </c>
      <c r="J670" s="40"/>
      <c r="K670" s="11" t="str">
        <f>IFERROR(__xludf.DUMMYFUNCTION("IF(AND(REGEXMATCH($H670,""50( ?['fF]([oO]{2})?[tT]?)?( ?[eE][rR]{2}[oO][rR])"")=FALSE,$H670&lt;&gt;"""",$I670&lt;&gt;""""),HYPERLINK(""https://www.munzee.com/m/""&amp;$H670&amp;""/""&amp;$I670&amp;""/map/?lat=""&amp;$D670&amp;""&amp;lon=""&amp;$E670&amp;""&amp;type=""&amp;$G670&amp;""&amp;name=""&amp;SUBSTITUTE($A670,""#"&amp;""",""%23""),$H670&amp;""/""&amp;$I670),IF($H670&lt;&gt;"""",IF(REGEXMATCH($H670,""50( ?['fF]([oO]{2})?[tT]?)?( ?[eE][rR]{2}[oO][rR])""),HYPERLINK(""https://www.munzee.com/map/?sandbox=1&amp;lat=""&amp;$D670&amp;""&amp;lon=""&amp;$E670&amp;""&amp;name=""&amp;SUBSTITUTE($A670,""#"",""%23""),""SANDBOX"""&amp;"),HYPERLINK(""https://www.munzee.com/m/""&amp;$H670&amp;""/deploys/0/type/""&amp;IFNA(VLOOKUP($G670,IMPORTRANGE(""https://docs.google.com/spreadsheets/d/1DliIGyDywdzxhd4svtjaewR0p9Y5UBTMNMQ2PcXsqss"",""type data!E2:F""),2,FALSE),$G670)&amp;""/"",$H670)),""""))"),"Bumble/641")</f>
        <v>Bumble/641</v>
      </c>
      <c r="L670" s="19" t="b">
        <v>1</v>
      </c>
      <c r="M670" s="12">
        <f t="shared" si="1"/>
        <v>1</v>
      </c>
      <c r="N670" s="13"/>
      <c r="O670" s="13"/>
      <c r="P670" s="15"/>
    </row>
    <row r="671">
      <c r="A671" s="15" t="s">
        <v>944</v>
      </c>
      <c r="B671" s="16">
        <v>33.0</v>
      </c>
      <c r="C671" s="16">
        <v>22.0</v>
      </c>
      <c r="D671" s="17">
        <v>44.861475207694</v>
      </c>
      <c r="E671" s="17">
        <v>-93.332600526001</v>
      </c>
      <c r="F671" s="16" t="s">
        <v>41</v>
      </c>
      <c r="G671" s="16" t="s">
        <v>17</v>
      </c>
      <c r="H671" s="18" t="s">
        <v>815</v>
      </c>
      <c r="I671" s="19">
        <v>5005.0</v>
      </c>
      <c r="J671" s="21"/>
      <c r="K671" s="11" t="str">
        <f>IFERROR(__xludf.DUMMYFUNCTION("IF(AND(REGEXMATCH($H671,""50( ?['fF]([oO]{2})?[tT]?)?( ?[eE][rR]{2}[oO][rR])"")=FALSE,$H671&lt;&gt;"""",$I671&lt;&gt;""""),HYPERLINK(""https://www.munzee.com/m/""&amp;$H671&amp;""/""&amp;$I671&amp;""/map/?lat=""&amp;$D671&amp;""&amp;lon=""&amp;$E671&amp;""&amp;type=""&amp;$G671&amp;""&amp;name=""&amp;SUBSTITUTE($A671,""#"&amp;""",""%23""),$H671&amp;""/""&amp;$I671),IF($H671&lt;&gt;"""",IF(REGEXMATCH($H671,""50( ?['fF]([oO]{2})?[tT]?)?( ?[eE][rR]{2}[oO][rR])""),HYPERLINK(""https://www.munzee.com/map/?sandbox=1&amp;lat=""&amp;$D671&amp;""&amp;lon=""&amp;$E671&amp;""&amp;name=""&amp;SUBSTITUTE($A671,""#"",""%23""),""SANDBOX"""&amp;"),HYPERLINK(""https://www.munzee.com/m/""&amp;$H671&amp;""/deploys/0/type/""&amp;IFNA(VLOOKUP($G671,IMPORTRANGE(""https://docs.google.com/spreadsheets/d/1DliIGyDywdzxhd4svtjaewR0p9Y5UBTMNMQ2PcXsqss"",""type data!E2:F""),2,FALSE),$G671)&amp;""/"",$H671)),""""))"),"Gamsci/5005")</f>
        <v>Gamsci/5005</v>
      </c>
      <c r="L671" s="19" t="b">
        <v>1</v>
      </c>
      <c r="M671" s="12">
        <f t="shared" si="1"/>
        <v>7</v>
      </c>
      <c r="N671" s="13"/>
      <c r="O671" s="13"/>
      <c r="P671" s="29"/>
    </row>
    <row r="672">
      <c r="A672" s="15" t="s">
        <v>945</v>
      </c>
      <c r="B672" s="16">
        <v>33.0</v>
      </c>
      <c r="C672" s="16">
        <v>23.0</v>
      </c>
      <c r="D672" s="17">
        <v>44.861475207515</v>
      </c>
      <c r="E672" s="17">
        <v>-93.332397750116</v>
      </c>
      <c r="F672" s="16" t="s">
        <v>41</v>
      </c>
      <c r="G672" s="16" t="s">
        <v>17</v>
      </c>
      <c r="H672" s="18" t="s">
        <v>856</v>
      </c>
      <c r="I672" s="19">
        <v>8717.0</v>
      </c>
      <c r="J672" s="20"/>
      <c r="K672" s="11" t="str">
        <f>IFERROR(__xludf.DUMMYFUNCTION("IF(AND(REGEXMATCH($H672,""50( ?['fF]([oO]{2})?[tT]?)?( ?[eE][rR]{2}[oO][rR])"")=FALSE,$H672&lt;&gt;"""",$I672&lt;&gt;""""),HYPERLINK(""https://www.munzee.com/m/""&amp;$H672&amp;""/""&amp;$I672&amp;""/map/?lat=""&amp;$D672&amp;""&amp;lon=""&amp;$E672&amp;""&amp;type=""&amp;$G672&amp;""&amp;name=""&amp;SUBSTITUTE($A672,""#"&amp;""",""%23""),$H672&amp;""/""&amp;$I672),IF($H672&lt;&gt;"""",IF(REGEXMATCH($H672,""50( ?['fF]([oO]{2})?[tT]?)?( ?[eE][rR]{2}[oO][rR])""),HYPERLINK(""https://www.munzee.com/map/?sandbox=1&amp;lat=""&amp;$D672&amp;""&amp;lon=""&amp;$E672&amp;""&amp;name=""&amp;SUBSTITUTE($A672,""#"",""%23""),""SANDBOX"""&amp;"),HYPERLINK(""https://www.munzee.com/m/""&amp;$H672&amp;""/deploys/0/type/""&amp;IFNA(VLOOKUP($G672,IMPORTRANGE(""https://docs.google.com/spreadsheets/d/1DliIGyDywdzxhd4svtjaewR0p9Y5UBTMNMQ2PcXsqss"",""type data!E2:F""),2,FALSE),$G672)&amp;""/"",$H672)),""""))"),"earthangel/8717")</f>
        <v>earthangel/8717</v>
      </c>
      <c r="L672" s="19" t="b">
        <v>1</v>
      </c>
      <c r="M672" s="12">
        <f t="shared" si="1"/>
        <v>7</v>
      </c>
      <c r="N672" s="13"/>
      <c r="O672" s="13"/>
      <c r="P672" s="29"/>
    </row>
    <row r="673">
      <c r="A673" s="15" t="s">
        <v>946</v>
      </c>
      <c r="B673" s="16">
        <v>33.0</v>
      </c>
      <c r="C673" s="16">
        <v>24.0</v>
      </c>
      <c r="D673" s="17">
        <v>44.861475207336</v>
      </c>
      <c r="E673" s="17">
        <v>-93.332194974232</v>
      </c>
      <c r="F673" s="16" t="s">
        <v>41</v>
      </c>
      <c r="G673" s="16" t="s">
        <v>17</v>
      </c>
      <c r="H673" s="18" t="s">
        <v>858</v>
      </c>
      <c r="I673" s="19">
        <v>8630.0</v>
      </c>
      <c r="J673" s="20"/>
      <c r="K673" s="11" t="str">
        <f>IFERROR(__xludf.DUMMYFUNCTION("IF(AND(REGEXMATCH($H673,""50( ?['fF]([oO]{2})?[tT]?)?( ?[eE][rR]{2}[oO][rR])"")=FALSE,$H673&lt;&gt;"""",$I673&lt;&gt;""""),HYPERLINK(""https://www.munzee.com/m/""&amp;$H673&amp;""/""&amp;$I673&amp;""/map/?lat=""&amp;$D673&amp;""&amp;lon=""&amp;$E673&amp;""&amp;type=""&amp;$G673&amp;""&amp;name=""&amp;SUBSTITUTE($A673,""#"&amp;""",""%23""),$H673&amp;""/""&amp;$I673),IF($H673&lt;&gt;"""",IF(REGEXMATCH($H673,""50( ?['fF]([oO]{2})?[tT]?)?( ?[eE][rR]{2}[oO][rR])""),HYPERLINK(""https://www.munzee.com/map/?sandbox=1&amp;lat=""&amp;$D673&amp;""&amp;lon=""&amp;$E673&amp;""&amp;name=""&amp;SUBSTITUTE($A673,""#"",""%23""),""SANDBOX"""&amp;"),HYPERLINK(""https://www.munzee.com/m/""&amp;$H673&amp;""/deploys/0/type/""&amp;IFNA(VLOOKUP($G673,IMPORTRANGE(""https://docs.google.com/spreadsheets/d/1DliIGyDywdzxhd4svtjaewR0p9Y5UBTMNMQ2PcXsqss"",""type data!E2:F""),2,FALSE),$G673)&amp;""/"",$H673)),""""))"),"ecorangers/8630")</f>
        <v>ecorangers/8630</v>
      </c>
      <c r="L673" s="19" t="b">
        <v>1</v>
      </c>
      <c r="M673" s="12">
        <f t="shared" si="1"/>
        <v>7</v>
      </c>
      <c r="N673" s="13"/>
      <c r="O673" s="13"/>
      <c r="P673" s="29"/>
    </row>
    <row r="674">
      <c r="A674" s="15" t="s">
        <v>947</v>
      </c>
      <c r="B674" s="16">
        <v>33.0</v>
      </c>
      <c r="C674" s="16">
        <v>25.0</v>
      </c>
      <c r="D674" s="17">
        <v>44.861475207156</v>
      </c>
      <c r="E674" s="17">
        <v>-93.331992198347</v>
      </c>
      <c r="F674" s="16" t="s">
        <v>16</v>
      </c>
      <c r="G674" s="16" t="s">
        <v>17</v>
      </c>
      <c r="H674" s="18" t="s">
        <v>21</v>
      </c>
      <c r="I674" s="19">
        <v>1421.0</v>
      </c>
      <c r="J674" s="39"/>
      <c r="K674" s="11" t="str">
        <f>IFERROR(__xludf.DUMMYFUNCTION("IF(AND(REGEXMATCH($H674,""50( ?['fF]([oO]{2})?[tT]?)?( ?[eE][rR]{2}[oO][rR])"")=FALSE,$H674&lt;&gt;"""",$I674&lt;&gt;""""),HYPERLINK(""https://www.munzee.com/m/""&amp;$H674&amp;""/""&amp;$I674&amp;""/map/?lat=""&amp;$D674&amp;""&amp;lon=""&amp;$E674&amp;""&amp;type=""&amp;$G674&amp;""&amp;name=""&amp;SUBSTITUTE($A674,""#"&amp;""",""%23""),$H674&amp;""/""&amp;$I674),IF($H674&lt;&gt;"""",IF(REGEXMATCH($H674,""50( ?['fF]([oO]{2})?[tT]?)?( ?[eE][rR]{2}[oO][rR])""),HYPERLINK(""https://www.munzee.com/map/?sandbox=1&amp;lat=""&amp;$D674&amp;""&amp;lon=""&amp;$E674&amp;""&amp;name=""&amp;SUBSTITUTE($A674,""#"",""%23""),""SANDBOX"""&amp;"),HYPERLINK(""https://www.munzee.com/m/""&amp;$H674&amp;""/deploys/0/type/""&amp;IFNA(VLOOKUP($G674,IMPORTRANGE(""https://docs.google.com/spreadsheets/d/1DliIGyDywdzxhd4svtjaewR0p9Y5UBTMNMQ2PcXsqss"",""type data!E2:F""),2,FALSE),$G674)&amp;""/"",$H674)),""""))"),"Westmarch/1421")</f>
        <v>Westmarch/1421</v>
      </c>
      <c r="L674" s="19" t="b">
        <v>1</v>
      </c>
      <c r="M674" s="12">
        <f t="shared" si="1"/>
        <v>12</v>
      </c>
      <c r="N674" s="13"/>
      <c r="O674" s="13"/>
      <c r="P674" s="29"/>
    </row>
    <row r="675">
      <c r="A675" s="15" t="s">
        <v>948</v>
      </c>
      <c r="B675" s="16">
        <v>34.0</v>
      </c>
      <c r="C675" s="16">
        <v>4.0</v>
      </c>
      <c r="D675" s="17">
        <v>44.861331480478</v>
      </c>
      <c r="E675" s="17">
        <v>-93.336250501538</v>
      </c>
      <c r="F675" s="16" t="s">
        <v>16</v>
      </c>
      <c r="G675" s="16" t="s">
        <v>17</v>
      </c>
      <c r="H675" s="18" t="s">
        <v>14</v>
      </c>
      <c r="I675" s="19">
        <v>3544.0</v>
      </c>
      <c r="J675" s="39"/>
      <c r="K675" s="11" t="str">
        <f>IFERROR(__xludf.DUMMYFUNCTION("IF(AND(REGEXMATCH($H675,""50( ?['fF]([oO]{2})?[tT]?)?( ?[eE][rR]{2}[oO][rR])"")=FALSE,$H675&lt;&gt;"""",$I675&lt;&gt;""""),HYPERLINK(""https://www.munzee.com/m/""&amp;$H675&amp;""/""&amp;$I675&amp;""/map/?lat=""&amp;$D675&amp;""&amp;lon=""&amp;$E675&amp;""&amp;type=""&amp;$G675&amp;""&amp;name=""&amp;SUBSTITUTE($A675,""#"&amp;""",""%23""),$H675&amp;""/""&amp;$I675),IF($H675&lt;&gt;"""",IF(REGEXMATCH($H675,""50( ?['fF]([oO]{2})?[tT]?)?( ?[eE][rR]{2}[oO][rR])""),HYPERLINK(""https://www.munzee.com/map/?sandbox=1&amp;lat=""&amp;$D675&amp;""&amp;lon=""&amp;$E675&amp;""&amp;name=""&amp;SUBSTITUTE($A675,""#"",""%23""),""SANDBOX"""&amp;"),HYPERLINK(""https://www.munzee.com/m/""&amp;$H675&amp;""/deploys/0/type/""&amp;IFNA(VLOOKUP($G675,IMPORTRANGE(""https://docs.google.com/spreadsheets/d/1DliIGyDywdzxhd4svtjaewR0p9Y5UBTMNMQ2PcXsqss"",""type data!E2:F""),2,FALSE),$G675)&amp;""/"",$H675)),""""))"),"JABIE28/3544")</f>
        <v>JABIE28/3544</v>
      </c>
      <c r="L675" s="19" t="b">
        <v>1</v>
      </c>
      <c r="M675" s="12">
        <f t="shared" si="1"/>
        <v>85</v>
      </c>
      <c r="N675" s="13"/>
      <c r="O675" s="13"/>
      <c r="P675" s="29"/>
    </row>
    <row r="676">
      <c r="A676" s="15" t="s">
        <v>949</v>
      </c>
      <c r="B676" s="16">
        <v>34.0</v>
      </c>
      <c r="C676" s="16">
        <v>5.0</v>
      </c>
      <c r="D676" s="17">
        <v>44.861331480299</v>
      </c>
      <c r="E676" s="17">
        <v>-93.33604772616</v>
      </c>
      <c r="F676" s="16" t="s">
        <v>41</v>
      </c>
      <c r="G676" s="16" t="s">
        <v>17</v>
      </c>
      <c r="H676" s="18" t="s">
        <v>874</v>
      </c>
      <c r="I676" s="19">
        <v>4237.0</v>
      </c>
      <c r="J676" s="21"/>
      <c r="K676" s="11" t="str">
        <f>IFERROR(__xludf.DUMMYFUNCTION("IF(AND(REGEXMATCH($H676,""50( ?['fF]([oO]{2})?[tT]?)?( ?[eE][rR]{2}[oO][rR])"")=FALSE,$H676&lt;&gt;"""",$I676&lt;&gt;""""),HYPERLINK(""https://www.munzee.com/m/""&amp;$H676&amp;""/""&amp;$I676&amp;""/map/?lat=""&amp;$D676&amp;""&amp;lon=""&amp;$E676&amp;""&amp;type=""&amp;$G676&amp;""&amp;name=""&amp;SUBSTITUTE($A676,""#"&amp;""",""%23""),$H676&amp;""/""&amp;$I676),IF($H676&lt;&gt;"""",IF(REGEXMATCH($H676,""50( ?['fF]([oO]{2})?[tT]?)?( ?[eE][rR]{2}[oO][rR])""),HYPERLINK(""https://www.munzee.com/map/?sandbox=1&amp;lat=""&amp;$D676&amp;""&amp;lon=""&amp;$E676&amp;""&amp;name=""&amp;SUBSTITUTE($A676,""#"",""%23""),""SANDBOX"""&amp;"),HYPERLINK(""https://www.munzee.com/m/""&amp;$H676&amp;""/deploys/0/type/""&amp;IFNA(VLOOKUP($G676,IMPORTRANGE(""https://docs.google.com/spreadsheets/d/1DliIGyDywdzxhd4svtjaewR0p9Y5UBTMNMQ2PcXsqss"",""type data!E2:F""),2,FALSE),$G676)&amp;""/"",$H676)),""""))"),"TJACS/4237")</f>
        <v>TJACS/4237</v>
      </c>
      <c r="L676" s="19" t="b">
        <v>1</v>
      </c>
      <c r="M676" s="12">
        <f t="shared" si="1"/>
        <v>11</v>
      </c>
      <c r="N676" s="13"/>
      <c r="O676" s="13"/>
      <c r="P676" s="29"/>
    </row>
    <row r="677">
      <c r="A677" s="15" t="s">
        <v>950</v>
      </c>
      <c r="B677" s="16">
        <v>34.0</v>
      </c>
      <c r="C677" s="16">
        <v>6.0</v>
      </c>
      <c r="D677" s="17">
        <v>44.86133148012</v>
      </c>
      <c r="E677" s="17">
        <v>-93.335844950782</v>
      </c>
      <c r="F677" s="16" t="s">
        <v>41</v>
      </c>
      <c r="G677" s="16" t="s">
        <v>17</v>
      </c>
      <c r="H677" s="18" t="s">
        <v>951</v>
      </c>
      <c r="I677" s="19">
        <v>12329.0</v>
      </c>
      <c r="J677" s="39"/>
      <c r="K677" s="11" t="str">
        <f>IFERROR(__xludf.DUMMYFUNCTION("IF(AND(REGEXMATCH($H677,""50( ?['fF]([oO]{2})?[tT]?)?( ?[eE][rR]{2}[oO][rR])"")=FALSE,$H677&lt;&gt;"""",$I677&lt;&gt;""""),HYPERLINK(""https://www.munzee.com/m/""&amp;$H677&amp;""/""&amp;$I677&amp;""/map/?lat=""&amp;$D677&amp;""&amp;lon=""&amp;$E677&amp;""&amp;type=""&amp;$G677&amp;""&amp;name=""&amp;SUBSTITUTE($A677,""#"&amp;""",""%23""),$H677&amp;""/""&amp;$I677),IF($H677&lt;&gt;"""",IF(REGEXMATCH($H677,""50( ?['fF]([oO]{2})?[tT]?)?( ?[eE][rR]{2}[oO][rR])""),HYPERLINK(""https://www.munzee.com/map/?sandbox=1&amp;lat=""&amp;$D677&amp;""&amp;lon=""&amp;$E677&amp;""&amp;name=""&amp;SUBSTITUTE($A677,""#"",""%23""),""SANDBOX"""&amp;"),HYPERLINK(""https://www.munzee.com/m/""&amp;$H677&amp;""/deploys/0/type/""&amp;IFNA(VLOOKUP($G677,IMPORTRANGE(""https://docs.google.com/spreadsheets/d/1DliIGyDywdzxhd4svtjaewR0p9Y5UBTMNMQ2PcXsqss"",""type data!E2:F""),2,FALSE),$G677)&amp;""/"",$H677)),""""))"),"war1man/12329")</f>
        <v>war1man/12329</v>
      </c>
      <c r="L677" s="19" t="b">
        <v>1</v>
      </c>
      <c r="M677" s="12">
        <f t="shared" si="1"/>
        <v>1</v>
      </c>
      <c r="N677" s="13"/>
      <c r="O677" s="13"/>
      <c r="P677" s="29"/>
    </row>
    <row r="678">
      <c r="A678" s="15" t="s">
        <v>952</v>
      </c>
      <c r="B678" s="16">
        <v>34.0</v>
      </c>
      <c r="C678" s="16">
        <v>7.0</v>
      </c>
      <c r="D678" s="17">
        <v>44.86133147994</v>
      </c>
      <c r="E678" s="17">
        <v>-93.335642175404</v>
      </c>
      <c r="F678" s="16" t="s">
        <v>41</v>
      </c>
      <c r="G678" s="16" t="s">
        <v>17</v>
      </c>
      <c r="H678" s="18" t="s">
        <v>379</v>
      </c>
      <c r="I678" s="19">
        <v>1152.0</v>
      </c>
      <c r="J678" s="21"/>
      <c r="K678" s="11" t="str">
        <f>IFERROR(__xludf.DUMMYFUNCTION("IF(AND(REGEXMATCH($H678,""50( ?['fF]([oO]{2})?[tT]?)?( ?[eE][rR]{2}[oO][rR])"")=FALSE,$H678&lt;&gt;"""",$I678&lt;&gt;""""),HYPERLINK(""https://www.munzee.com/m/""&amp;$H678&amp;""/""&amp;$I678&amp;""/map/?lat=""&amp;$D678&amp;""&amp;lon=""&amp;$E678&amp;""&amp;type=""&amp;$G678&amp;""&amp;name=""&amp;SUBSTITUTE($A678,""#"&amp;""",""%23""),$H678&amp;""/""&amp;$I678),IF($H678&lt;&gt;"""",IF(REGEXMATCH($H678,""50( ?['fF]([oO]{2})?[tT]?)?( ?[eE][rR]{2}[oO][rR])""),HYPERLINK(""https://www.munzee.com/map/?sandbox=1&amp;lat=""&amp;$D678&amp;""&amp;lon=""&amp;$E678&amp;""&amp;name=""&amp;SUBSTITUTE($A678,""#"",""%23""),""SANDBOX"""&amp;"),HYPERLINK(""https://www.munzee.com/m/""&amp;$H678&amp;""/deploys/0/type/""&amp;IFNA(VLOOKUP($G678,IMPORTRANGE(""https://docs.google.com/spreadsheets/d/1DliIGyDywdzxhd4svtjaewR0p9Y5UBTMNMQ2PcXsqss"",""type data!E2:F""),2,FALSE),$G678)&amp;""/"",$H678)),""""))"),"rohdej/1152")</f>
        <v>rohdej/1152</v>
      </c>
      <c r="L678" s="19" t="b">
        <v>1</v>
      </c>
      <c r="M678" s="12">
        <f t="shared" si="1"/>
        <v>10</v>
      </c>
      <c r="N678" s="13"/>
      <c r="O678" s="13"/>
      <c r="P678" s="29"/>
    </row>
    <row r="679">
      <c r="A679" s="15" t="s">
        <v>953</v>
      </c>
      <c r="B679" s="16">
        <v>34.0</v>
      </c>
      <c r="C679" s="16">
        <v>8.0</v>
      </c>
      <c r="D679" s="17">
        <v>44.861331479761</v>
      </c>
      <c r="E679" s="17">
        <v>-93.335439400025</v>
      </c>
      <c r="F679" s="16" t="s">
        <v>41</v>
      </c>
      <c r="G679" s="16" t="s">
        <v>17</v>
      </c>
      <c r="H679" s="18" t="s">
        <v>14</v>
      </c>
      <c r="I679" s="19">
        <v>3522.0</v>
      </c>
      <c r="J679" s="39"/>
      <c r="K679" s="11" t="str">
        <f>IFERROR(__xludf.DUMMYFUNCTION("IF(AND(REGEXMATCH($H679,""50( ?['fF]([oO]{2})?[tT]?)?( ?[eE][rR]{2}[oO][rR])"")=FALSE,$H679&lt;&gt;"""",$I679&lt;&gt;""""),HYPERLINK(""https://www.munzee.com/m/""&amp;$H679&amp;""/""&amp;$I679&amp;""/map/?lat=""&amp;$D679&amp;""&amp;lon=""&amp;$E679&amp;""&amp;type=""&amp;$G679&amp;""&amp;name=""&amp;SUBSTITUTE($A679,""#"&amp;""",""%23""),$H679&amp;""/""&amp;$I679),IF($H679&lt;&gt;"""",IF(REGEXMATCH($H679,""50( ?['fF]([oO]{2})?[tT]?)?( ?[eE][rR]{2}[oO][rR])""),HYPERLINK(""https://www.munzee.com/map/?sandbox=1&amp;lat=""&amp;$D679&amp;""&amp;lon=""&amp;$E679&amp;""&amp;name=""&amp;SUBSTITUTE($A679,""#"",""%23""),""SANDBOX"""&amp;"),HYPERLINK(""https://www.munzee.com/m/""&amp;$H679&amp;""/deploys/0/type/""&amp;IFNA(VLOOKUP($G679,IMPORTRANGE(""https://docs.google.com/spreadsheets/d/1DliIGyDywdzxhd4svtjaewR0p9Y5UBTMNMQ2PcXsqss"",""type data!E2:F""),2,FALSE),$G679)&amp;""/"",$H679)),""""))"),"JABIE28/3522")</f>
        <v>JABIE28/3522</v>
      </c>
      <c r="L679" s="19" t="b">
        <v>1</v>
      </c>
      <c r="M679" s="12">
        <f t="shared" si="1"/>
        <v>85</v>
      </c>
      <c r="N679" s="13"/>
      <c r="O679" s="13"/>
      <c r="P679" s="29"/>
    </row>
    <row r="680">
      <c r="A680" s="15" t="s">
        <v>954</v>
      </c>
      <c r="B680" s="16">
        <v>34.0</v>
      </c>
      <c r="C680" s="16">
        <v>9.0</v>
      </c>
      <c r="D680" s="17">
        <v>44.861331479581</v>
      </c>
      <c r="E680" s="17">
        <v>-93.335236624647</v>
      </c>
      <c r="F680" s="16" t="s">
        <v>41</v>
      </c>
      <c r="G680" s="16" t="s">
        <v>17</v>
      </c>
      <c r="H680" s="18" t="s">
        <v>874</v>
      </c>
      <c r="I680" s="19">
        <v>4236.0</v>
      </c>
      <c r="J680" s="21"/>
      <c r="K680" s="11" t="str">
        <f>IFERROR(__xludf.DUMMYFUNCTION("IF(AND(REGEXMATCH($H680,""50( ?['fF]([oO]{2})?[tT]?)?( ?[eE][rR]{2}[oO][rR])"")=FALSE,$H680&lt;&gt;"""",$I680&lt;&gt;""""),HYPERLINK(""https://www.munzee.com/m/""&amp;$H680&amp;""/""&amp;$I680&amp;""/map/?lat=""&amp;$D680&amp;""&amp;lon=""&amp;$E680&amp;""&amp;type=""&amp;$G680&amp;""&amp;name=""&amp;SUBSTITUTE($A680,""#"&amp;""",""%23""),$H680&amp;""/""&amp;$I680),IF($H680&lt;&gt;"""",IF(REGEXMATCH($H680,""50( ?['fF]([oO]{2})?[tT]?)?( ?[eE][rR]{2}[oO][rR])""),HYPERLINK(""https://www.munzee.com/map/?sandbox=1&amp;lat=""&amp;$D680&amp;""&amp;lon=""&amp;$E680&amp;""&amp;name=""&amp;SUBSTITUTE($A680,""#"",""%23""),""SANDBOX"""&amp;"),HYPERLINK(""https://www.munzee.com/m/""&amp;$H680&amp;""/deploys/0/type/""&amp;IFNA(VLOOKUP($G680,IMPORTRANGE(""https://docs.google.com/spreadsheets/d/1DliIGyDywdzxhd4svtjaewR0p9Y5UBTMNMQ2PcXsqss"",""type data!E2:F""),2,FALSE),$G680)&amp;""/"",$H680)),""""))"),"TJACS/4236")</f>
        <v>TJACS/4236</v>
      </c>
      <c r="L680" s="19" t="b">
        <v>1</v>
      </c>
      <c r="M680" s="12">
        <f t="shared" si="1"/>
        <v>11</v>
      </c>
      <c r="N680" s="13"/>
      <c r="O680" s="13"/>
      <c r="P680" s="29"/>
    </row>
    <row r="681">
      <c r="A681" s="15" t="s">
        <v>955</v>
      </c>
      <c r="B681" s="16">
        <v>34.0</v>
      </c>
      <c r="C681" s="16">
        <v>10.0</v>
      </c>
      <c r="D681" s="17">
        <v>44.861331479402</v>
      </c>
      <c r="E681" s="17">
        <v>-93.335033849269</v>
      </c>
      <c r="F681" s="16" t="s">
        <v>41</v>
      </c>
      <c r="G681" s="16" t="s">
        <v>17</v>
      </c>
      <c r="H681" s="18" t="s">
        <v>956</v>
      </c>
      <c r="I681" s="19">
        <v>13942.0</v>
      </c>
      <c r="J681" s="39"/>
      <c r="K681" s="11" t="str">
        <f>IFERROR(__xludf.DUMMYFUNCTION("IF(AND(REGEXMATCH($H681,""50( ?['fF]([oO]{2})?[tT]?)?( ?[eE][rR]{2}[oO][rR])"")=FALSE,$H681&lt;&gt;"""",$I681&lt;&gt;""""),HYPERLINK(""https://www.munzee.com/m/""&amp;$H681&amp;""/""&amp;$I681&amp;""/map/?lat=""&amp;$D681&amp;""&amp;lon=""&amp;$E681&amp;""&amp;type=""&amp;$G681&amp;""&amp;name=""&amp;SUBSTITUTE($A681,""#"&amp;""",""%23""),$H681&amp;""/""&amp;$I681),IF($H681&lt;&gt;"""",IF(REGEXMATCH($H681,""50( ?['fF]([oO]{2})?[tT]?)?( ?[eE][rR]{2}[oO][rR])""),HYPERLINK(""https://www.munzee.com/map/?sandbox=1&amp;lat=""&amp;$D681&amp;""&amp;lon=""&amp;$E681&amp;""&amp;name=""&amp;SUBSTITUTE($A681,""#"",""%23""),""SANDBOX"""&amp;"),HYPERLINK(""https://www.munzee.com/m/""&amp;$H681&amp;""/deploys/0/type/""&amp;IFNA(VLOOKUP($G681,IMPORTRANGE(""https://docs.google.com/spreadsheets/d/1DliIGyDywdzxhd4svtjaewR0p9Y5UBTMNMQ2PcXsqss"",""type data!E2:F""),2,FALSE),$G681)&amp;""/"",$H681)),""""))"),"rosieree/13942")</f>
        <v>rosieree/13942</v>
      </c>
      <c r="L681" s="19" t="b">
        <v>1</v>
      </c>
      <c r="M681" s="12">
        <f t="shared" si="1"/>
        <v>1</v>
      </c>
      <c r="N681" s="13"/>
      <c r="O681" s="13"/>
      <c r="P681" s="29"/>
    </row>
    <row r="682">
      <c r="A682" s="15" t="s">
        <v>957</v>
      </c>
      <c r="B682" s="16">
        <v>34.0</v>
      </c>
      <c r="C682" s="16">
        <v>11.0</v>
      </c>
      <c r="D682" s="17">
        <v>44.861331479223</v>
      </c>
      <c r="E682" s="17">
        <v>-93.334831073891</v>
      </c>
      <c r="F682" s="16" t="s">
        <v>510</v>
      </c>
      <c r="G682" s="16" t="s">
        <v>17</v>
      </c>
      <c r="H682" s="18" t="s">
        <v>14</v>
      </c>
      <c r="I682" s="19">
        <v>3515.0</v>
      </c>
      <c r="J682" s="39"/>
      <c r="K682" s="11" t="str">
        <f>IFERROR(__xludf.DUMMYFUNCTION("IF(AND(REGEXMATCH($H682,""50( ?['fF]([oO]{2})?[tT]?)?( ?[eE][rR]{2}[oO][rR])"")=FALSE,$H682&lt;&gt;"""",$I682&lt;&gt;""""),HYPERLINK(""https://www.munzee.com/m/""&amp;$H682&amp;""/""&amp;$I682&amp;""/map/?lat=""&amp;$D682&amp;""&amp;lon=""&amp;$E682&amp;""&amp;type=""&amp;$G682&amp;""&amp;name=""&amp;SUBSTITUTE($A682,""#"&amp;""",""%23""),$H682&amp;""/""&amp;$I682),IF($H682&lt;&gt;"""",IF(REGEXMATCH($H682,""50( ?['fF]([oO]{2})?[tT]?)?( ?[eE][rR]{2}[oO][rR])""),HYPERLINK(""https://www.munzee.com/map/?sandbox=1&amp;lat=""&amp;$D682&amp;""&amp;lon=""&amp;$E682&amp;""&amp;name=""&amp;SUBSTITUTE($A682,""#"",""%23""),""SANDBOX"""&amp;"),HYPERLINK(""https://www.munzee.com/m/""&amp;$H682&amp;""/deploys/0/type/""&amp;IFNA(VLOOKUP($G682,IMPORTRANGE(""https://docs.google.com/spreadsheets/d/1DliIGyDywdzxhd4svtjaewR0p9Y5UBTMNMQ2PcXsqss"",""type data!E2:F""),2,FALSE),$G682)&amp;""/"",$H682)),""""))"),"JABIE28/3515")</f>
        <v>JABIE28/3515</v>
      </c>
      <c r="L682" s="19" t="b">
        <v>1</v>
      </c>
      <c r="M682" s="12">
        <f t="shared" si="1"/>
        <v>85</v>
      </c>
      <c r="N682" s="13"/>
      <c r="O682" s="13"/>
      <c r="P682" s="29"/>
    </row>
    <row r="683">
      <c r="A683" s="15" t="s">
        <v>958</v>
      </c>
      <c r="B683" s="16">
        <v>34.0</v>
      </c>
      <c r="C683" s="16">
        <v>12.0</v>
      </c>
      <c r="D683" s="17">
        <v>44.861331479043</v>
      </c>
      <c r="E683" s="17">
        <v>-93.334628298513</v>
      </c>
      <c r="F683" s="16" t="s">
        <v>510</v>
      </c>
      <c r="G683" s="16" t="s">
        <v>17</v>
      </c>
      <c r="H683" s="18" t="s">
        <v>874</v>
      </c>
      <c r="I683" s="19">
        <v>4235.0</v>
      </c>
      <c r="J683" s="21"/>
      <c r="K683" s="11" t="str">
        <f>IFERROR(__xludf.DUMMYFUNCTION("IF(AND(REGEXMATCH($H683,""50( ?['fF]([oO]{2})?[tT]?)?( ?[eE][rR]{2}[oO][rR])"")=FALSE,$H683&lt;&gt;"""",$I683&lt;&gt;""""),HYPERLINK(""https://www.munzee.com/m/""&amp;$H683&amp;""/""&amp;$I683&amp;""/map/?lat=""&amp;$D683&amp;""&amp;lon=""&amp;$E683&amp;""&amp;type=""&amp;$G683&amp;""&amp;name=""&amp;SUBSTITUTE($A683,""#"&amp;""",""%23""),$H683&amp;""/""&amp;$I683),IF($H683&lt;&gt;"""",IF(REGEXMATCH($H683,""50( ?['fF]([oO]{2})?[tT]?)?( ?[eE][rR]{2}[oO][rR])""),HYPERLINK(""https://www.munzee.com/map/?sandbox=1&amp;lat=""&amp;$D683&amp;""&amp;lon=""&amp;$E683&amp;""&amp;name=""&amp;SUBSTITUTE($A683,""#"",""%23""),""SANDBOX"""&amp;"),HYPERLINK(""https://www.munzee.com/m/""&amp;$H683&amp;""/deploys/0/type/""&amp;IFNA(VLOOKUP($G683,IMPORTRANGE(""https://docs.google.com/spreadsheets/d/1DliIGyDywdzxhd4svtjaewR0p9Y5UBTMNMQ2PcXsqss"",""type data!E2:F""),2,FALSE),$G683)&amp;""/"",$H683)),""""))"),"TJACS/4235")</f>
        <v>TJACS/4235</v>
      </c>
      <c r="L683" s="19" t="b">
        <v>1</v>
      </c>
      <c r="M683" s="12">
        <f t="shared" si="1"/>
        <v>11</v>
      </c>
      <c r="N683" s="13"/>
      <c r="O683" s="13"/>
      <c r="P683" s="29"/>
    </row>
    <row r="684">
      <c r="A684" s="15" t="s">
        <v>959</v>
      </c>
      <c r="B684" s="16">
        <v>34.0</v>
      </c>
      <c r="C684" s="16">
        <v>13.0</v>
      </c>
      <c r="D684" s="17">
        <v>44.861331478864</v>
      </c>
      <c r="E684" s="17">
        <v>-93.334425523135</v>
      </c>
      <c r="F684" s="16" t="s">
        <v>16</v>
      </c>
      <c r="G684" s="16" t="s">
        <v>17</v>
      </c>
      <c r="H684" s="18" t="s">
        <v>838</v>
      </c>
      <c r="I684" s="19">
        <v>6736.0</v>
      </c>
      <c r="J684" s="21"/>
      <c r="K684" s="11" t="str">
        <f>IFERROR(__xludf.DUMMYFUNCTION("IF(AND(REGEXMATCH($H684,""50( ?['fF]([oO]{2})?[tT]?)?( ?[eE][rR]{2}[oO][rR])"")=FALSE,$H684&lt;&gt;"""",$I684&lt;&gt;""""),HYPERLINK(""https://www.munzee.com/m/""&amp;$H684&amp;""/""&amp;$I684&amp;""/map/?lat=""&amp;$D684&amp;""&amp;lon=""&amp;$E684&amp;""&amp;type=""&amp;$G684&amp;""&amp;name=""&amp;SUBSTITUTE($A684,""#"&amp;""",""%23""),$H684&amp;""/""&amp;$I684),IF($H684&lt;&gt;"""",IF(REGEXMATCH($H684,""50( ?['fF]([oO]{2})?[tT]?)?( ?[eE][rR]{2}[oO][rR])""),HYPERLINK(""https://www.munzee.com/map/?sandbox=1&amp;lat=""&amp;$D684&amp;""&amp;lon=""&amp;$E684&amp;""&amp;name=""&amp;SUBSTITUTE($A684,""#"",""%23""),""SANDBOX"""&amp;"),HYPERLINK(""https://www.munzee.com/m/""&amp;$H684&amp;""/deploys/0/type/""&amp;IFNA(VLOOKUP($G684,IMPORTRANGE(""https://docs.google.com/spreadsheets/d/1DliIGyDywdzxhd4svtjaewR0p9Y5UBTMNMQ2PcXsqss"",""type data!E2:F""),2,FALSE),$G684)&amp;""/"",$H684)),""""))"),"Munzeeprof /6736")</f>
        <v>Munzeeprof /6736</v>
      </c>
      <c r="L684" s="19" t="b">
        <v>1</v>
      </c>
      <c r="M684" s="12">
        <f t="shared" si="1"/>
        <v>5</v>
      </c>
      <c r="N684" s="13"/>
      <c r="O684" s="13"/>
      <c r="P684" s="29"/>
    </row>
    <row r="685">
      <c r="A685" s="15" t="s">
        <v>960</v>
      </c>
      <c r="B685" s="16">
        <v>34.0</v>
      </c>
      <c r="C685" s="16">
        <v>16.0</v>
      </c>
      <c r="D685" s="17">
        <v>44.861331478326</v>
      </c>
      <c r="E685" s="17">
        <v>-93.333817197</v>
      </c>
      <c r="F685" s="16" t="s">
        <v>16</v>
      </c>
      <c r="G685" s="16" t="s">
        <v>17</v>
      </c>
      <c r="H685" s="18" t="s">
        <v>14</v>
      </c>
      <c r="I685" s="19">
        <v>3514.0</v>
      </c>
      <c r="J685" s="39"/>
      <c r="K685" s="11" t="str">
        <f>IFERROR(__xludf.DUMMYFUNCTION("IF(AND(REGEXMATCH($H685,""50( ?['fF]([oO]{2})?[tT]?)?( ?[eE][rR]{2}[oO][rR])"")=FALSE,$H685&lt;&gt;"""",$I685&lt;&gt;""""),HYPERLINK(""https://www.munzee.com/m/""&amp;$H685&amp;""/""&amp;$I685&amp;""/map/?lat=""&amp;$D685&amp;""&amp;lon=""&amp;$E685&amp;""&amp;type=""&amp;$G685&amp;""&amp;name=""&amp;SUBSTITUTE($A685,""#"&amp;""",""%23""),$H685&amp;""/""&amp;$I685),IF($H685&lt;&gt;"""",IF(REGEXMATCH($H685,""50( ?['fF]([oO]{2})?[tT]?)?( ?[eE][rR]{2}[oO][rR])""),HYPERLINK(""https://www.munzee.com/map/?sandbox=1&amp;lat=""&amp;$D685&amp;""&amp;lon=""&amp;$E685&amp;""&amp;name=""&amp;SUBSTITUTE($A685,""#"",""%23""),""SANDBOX"""&amp;"),HYPERLINK(""https://www.munzee.com/m/""&amp;$H685&amp;""/deploys/0/type/""&amp;IFNA(VLOOKUP($G685,IMPORTRANGE(""https://docs.google.com/spreadsheets/d/1DliIGyDywdzxhd4svtjaewR0p9Y5UBTMNMQ2PcXsqss"",""type data!E2:F""),2,FALSE),$G685)&amp;""/"",$H685)),""""))"),"JABIE28/3514")</f>
        <v>JABIE28/3514</v>
      </c>
      <c r="L685" s="19" t="b">
        <v>1</v>
      </c>
      <c r="M685" s="12">
        <f t="shared" si="1"/>
        <v>85</v>
      </c>
      <c r="N685" s="13"/>
      <c r="O685" s="13"/>
      <c r="P685" s="29"/>
    </row>
    <row r="686">
      <c r="A686" s="15" t="s">
        <v>961</v>
      </c>
      <c r="B686" s="16">
        <v>34.0</v>
      </c>
      <c r="C686" s="16">
        <v>17.0</v>
      </c>
      <c r="D686" s="17">
        <v>44.861331478146</v>
      </c>
      <c r="E686" s="17">
        <v>-93.333614421622</v>
      </c>
      <c r="F686" s="16" t="s">
        <v>510</v>
      </c>
      <c r="G686" s="16" t="s">
        <v>17</v>
      </c>
      <c r="H686" s="18" t="s">
        <v>874</v>
      </c>
      <c r="I686" s="19">
        <v>4230.0</v>
      </c>
      <c r="J686" s="21"/>
      <c r="K686" s="11" t="str">
        <f>IFERROR(__xludf.DUMMYFUNCTION("IF(AND(REGEXMATCH($H686,""50( ?['fF]([oO]{2})?[tT]?)?( ?[eE][rR]{2}[oO][rR])"")=FALSE,$H686&lt;&gt;"""",$I686&lt;&gt;""""),HYPERLINK(""https://www.munzee.com/m/""&amp;$H686&amp;""/""&amp;$I686&amp;""/map/?lat=""&amp;$D686&amp;""&amp;lon=""&amp;$E686&amp;""&amp;type=""&amp;$G686&amp;""&amp;name=""&amp;SUBSTITUTE($A686,""#"&amp;""",""%23""),$H686&amp;""/""&amp;$I686),IF($H686&lt;&gt;"""",IF(REGEXMATCH($H686,""50( ?['fF]([oO]{2})?[tT]?)?( ?[eE][rR]{2}[oO][rR])""),HYPERLINK(""https://www.munzee.com/map/?sandbox=1&amp;lat=""&amp;$D686&amp;""&amp;lon=""&amp;$E686&amp;""&amp;name=""&amp;SUBSTITUTE($A686,""#"",""%23""),""SANDBOX"""&amp;"),HYPERLINK(""https://www.munzee.com/m/""&amp;$H686&amp;""/deploys/0/type/""&amp;IFNA(VLOOKUP($G686,IMPORTRANGE(""https://docs.google.com/spreadsheets/d/1DliIGyDywdzxhd4svtjaewR0p9Y5UBTMNMQ2PcXsqss"",""type data!E2:F""),2,FALSE),$G686)&amp;""/"",$H686)),""""))"),"TJACS/4230")</f>
        <v>TJACS/4230</v>
      </c>
      <c r="L686" s="19" t="b">
        <v>1</v>
      </c>
      <c r="M686" s="12">
        <f t="shared" si="1"/>
        <v>11</v>
      </c>
      <c r="N686" s="13"/>
      <c r="O686" s="13"/>
      <c r="P686" s="29"/>
    </row>
    <row r="687">
      <c r="A687" s="15" t="s">
        <v>962</v>
      </c>
      <c r="B687" s="16">
        <v>34.0</v>
      </c>
      <c r="C687" s="16">
        <v>18.0</v>
      </c>
      <c r="D687" s="17">
        <v>44.861331477967</v>
      </c>
      <c r="E687" s="17">
        <v>-93.333411646244</v>
      </c>
      <c r="F687" s="16" t="s">
        <v>510</v>
      </c>
      <c r="G687" s="16" t="s">
        <v>17</v>
      </c>
      <c r="H687" s="18" t="s">
        <v>273</v>
      </c>
      <c r="I687" s="19">
        <v>1923.0</v>
      </c>
      <c r="J687" s="21"/>
      <c r="K687" s="11" t="str">
        <f>IFERROR(__xludf.DUMMYFUNCTION("IF(AND(REGEXMATCH($H687,""50( ?['fF]([oO]{2})?[tT]?)?( ?[eE][rR]{2}[oO][rR])"")=FALSE,$H687&lt;&gt;"""",$I687&lt;&gt;""""),HYPERLINK(""https://www.munzee.com/m/""&amp;$H687&amp;""/""&amp;$I687&amp;""/map/?lat=""&amp;$D687&amp;""&amp;lon=""&amp;$E687&amp;""&amp;type=""&amp;$G687&amp;""&amp;name=""&amp;SUBSTITUTE($A687,""#"&amp;""",""%23""),$H687&amp;""/""&amp;$I687),IF($H687&lt;&gt;"""",IF(REGEXMATCH($H687,""50( ?['fF]([oO]{2})?[tT]?)?( ?[eE][rR]{2}[oO][rR])""),HYPERLINK(""https://www.munzee.com/map/?sandbox=1&amp;lat=""&amp;$D687&amp;""&amp;lon=""&amp;$E687&amp;""&amp;name=""&amp;SUBSTITUTE($A687,""#"",""%23""),""SANDBOX"""&amp;"),HYPERLINK(""https://www.munzee.com/m/""&amp;$H687&amp;""/deploys/0/type/""&amp;IFNA(VLOOKUP($G687,IMPORTRANGE(""https://docs.google.com/spreadsheets/d/1DliIGyDywdzxhd4svtjaewR0p9Y5UBTMNMQ2PcXsqss"",""type data!E2:F""),2,FALSE),$G687)&amp;""/"",$H687)),""""))"),"yhtak57/1923")</f>
        <v>yhtak57/1923</v>
      </c>
      <c r="L687" s="19" t="b">
        <v>1</v>
      </c>
      <c r="M687" s="12">
        <f t="shared" si="1"/>
        <v>12</v>
      </c>
      <c r="N687" s="13"/>
      <c r="O687" s="13"/>
      <c r="P687" s="29"/>
    </row>
    <row r="688">
      <c r="A688" s="15" t="s">
        <v>963</v>
      </c>
      <c r="B688" s="16">
        <v>34.0</v>
      </c>
      <c r="C688" s="16">
        <v>19.0</v>
      </c>
      <c r="D688" s="17">
        <v>44.861331477787</v>
      </c>
      <c r="E688" s="17">
        <v>-93.333208870866</v>
      </c>
      <c r="F688" s="16" t="s">
        <v>41</v>
      </c>
      <c r="G688" s="16" t="s">
        <v>17</v>
      </c>
      <c r="H688" s="18" t="s">
        <v>14</v>
      </c>
      <c r="I688" s="19">
        <v>3240.0</v>
      </c>
      <c r="J688" s="39"/>
      <c r="K688" s="11" t="str">
        <f>IFERROR(__xludf.DUMMYFUNCTION("IF(AND(REGEXMATCH($H688,""50( ?['fF]([oO]{2})?[tT]?)?( ?[eE][rR]{2}[oO][rR])"")=FALSE,$H688&lt;&gt;"""",$I688&lt;&gt;""""),HYPERLINK(""https://www.munzee.com/m/""&amp;$H688&amp;""/""&amp;$I688&amp;""/map/?lat=""&amp;$D688&amp;""&amp;lon=""&amp;$E688&amp;""&amp;type=""&amp;$G688&amp;""&amp;name=""&amp;SUBSTITUTE($A688,""#"&amp;""",""%23""),$H688&amp;""/""&amp;$I688),IF($H688&lt;&gt;"""",IF(REGEXMATCH($H688,""50( ?['fF]([oO]{2})?[tT]?)?( ?[eE][rR]{2}[oO][rR])""),HYPERLINK(""https://www.munzee.com/map/?sandbox=1&amp;lat=""&amp;$D688&amp;""&amp;lon=""&amp;$E688&amp;""&amp;name=""&amp;SUBSTITUTE($A688,""#"",""%23""),""SANDBOX"""&amp;"),HYPERLINK(""https://www.munzee.com/m/""&amp;$H688&amp;""/deploys/0/type/""&amp;IFNA(VLOOKUP($G688,IMPORTRANGE(""https://docs.google.com/spreadsheets/d/1DliIGyDywdzxhd4svtjaewR0p9Y5UBTMNMQ2PcXsqss"",""type data!E2:F""),2,FALSE),$G688)&amp;""/"",$H688)),""""))"),"JABIE28/3240")</f>
        <v>JABIE28/3240</v>
      </c>
      <c r="L688" s="19" t="b">
        <v>1</v>
      </c>
      <c r="M688" s="12">
        <f t="shared" si="1"/>
        <v>85</v>
      </c>
      <c r="N688" s="13"/>
      <c r="O688" s="13"/>
      <c r="P688" s="29"/>
    </row>
    <row r="689">
      <c r="A689" s="15" t="s">
        <v>964</v>
      </c>
      <c r="B689" s="16">
        <v>34.0</v>
      </c>
      <c r="C689" s="16">
        <v>20.0</v>
      </c>
      <c r="D689" s="17">
        <v>44.861331477608</v>
      </c>
      <c r="E689" s="17">
        <v>-93.333006095487</v>
      </c>
      <c r="F689" s="16" t="s">
        <v>41</v>
      </c>
      <c r="G689" s="16" t="s">
        <v>17</v>
      </c>
      <c r="H689" s="18" t="s">
        <v>874</v>
      </c>
      <c r="I689" s="19">
        <v>4240.0</v>
      </c>
      <c r="J689" s="21"/>
      <c r="K689" s="11" t="str">
        <f>IFERROR(__xludf.DUMMYFUNCTION("IF(AND(REGEXMATCH($H689,""50( ?['fF]([oO]{2})?[tT]?)?( ?[eE][rR]{2}[oO][rR])"")=FALSE,$H689&lt;&gt;"""",$I689&lt;&gt;""""),HYPERLINK(""https://www.munzee.com/m/""&amp;$H689&amp;""/""&amp;$I689&amp;""/map/?lat=""&amp;$D689&amp;""&amp;lon=""&amp;$E689&amp;""&amp;type=""&amp;$G689&amp;""&amp;name=""&amp;SUBSTITUTE($A689,""#"&amp;""",""%23""),$H689&amp;""/""&amp;$I689),IF($H689&lt;&gt;"""",IF(REGEXMATCH($H689,""50( ?['fF]([oO]{2})?[tT]?)?( ?[eE][rR]{2}[oO][rR])""),HYPERLINK(""https://www.munzee.com/map/?sandbox=1&amp;lat=""&amp;$D689&amp;""&amp;lon=""&amp;$E689&amp;""&amp;name=""&amp;SUBSTITUTE($A689,""#"",""%23""),""SANDBOX"""&amp;"),HYPERLINK(""https://www.munzee.com/m/""&amp;$H689&amp;""/deploys/0/type/""&amp;IFNA(VLOOKUP($G689,IMPORTRANGE(""https://docs.google.com/spreadsheets/d/1DliIGyDywdzxhd4svtjaewR0p9Y5UBTMNMQ2PcXsqss"",""type data!E2:F""),2,FALSE),$G689)&amp;""/"",$H689)),""""))"),"TJACS/4240")</f>
        <v>TJACS/4240</v>
      </c>
      <c r="L689" s="19" t="b">
        <v>1</v>
      </c>
      <c r="M689" s="12">
        <f t="shared" si="1"/>
        <v>11</v>
      </c>
      <c r="N689" s="13"/>
      <c r="O689" s="13"/>
      <c r="P689" s="29"/>
    </row>
    <row r="690">
      <c r="A690" s="15" t="s">
        <v>965</v>
      </c>
      <c r="B690" s="16">
        <v>34.0</v>
      </c>
      <c r="C690" s="16">
        <v>21.0</v>
      </c>
      <c r="D690" s="17">
        <v>44.861331477428</v>
      </c>
      <c r="E690" s="17">
        <v>-93.332803320109</v>
      </c>
      <c r="F690" s="16" t="s">
        <v>41</v>
      </c>
      <c r="G690" s="16" t="s">
        <v>17</v>
      </c>
      <c r="H690" s="18" t="s">
        <v>95</v>
      </c>
      <c r="I690" s="19">
        <v>1693.0</v>
      </c>
      <c r="J690" s="21"/>
      <c r="K690" s="11" t="str">
        <f>IFERROR(__xludf.DUMMYFUNCTION("IF(AND(REGEXMATCH($H690,""50( ?['fF]([oO]{2})?[tT]?)?( ?[eE][rR]{2}[oO][rR])"")=FALSE,$H690&lt;&gt;"""",$I690&lt;&gt;""""),HYPERLINK(""https://www.munzee.com/m/""&amp;$H690&amp;""/""&amp;$I690&amp;""/map/?lat=""&amp;$D690&amp;""&amp;lon=""&amp;$E690&amp;""&amp;type=""&amp;$G690&amp;""&amp;name=""&amp;SUBSTITUTE($A690,""#"&amp;""",""%23""),$H690&amp;""/""&amp;$I690),IF($H690&lt;&gt;"""",IF(REGEXMATCH($H690,""50( ?['fF]([oO]{2})?[tT]?)?( ?[eE][rR]{2}[oO][rR])""),HYPERLINK(""https://www.munzee.com/map/?sandbox=1&amp;lat=""&amp;$D690&amp;""&amp;lon=""&amp;$E690&amp;""&amp;name=""&amp;SUBSTITUTE($A690,""#"",""%23""),""SANDBOX"""&amp;"),HYPERLINK(""https://www.munzee.com/m/""&amp;$H690&amp;""/deploys/0/type/""&amp;IFNA(VLOOKUP($G690,IMPORTRANGE(""https://docs.google.com/spreadsheets/d/1DliIGyDywdzxhd4svtjaewR0p9Y5UBTMNMQ2PcXsqss"",""type data!E2:F""),2,FALSE),$G690)&amp;""/"",$H690)),""""))"),"munzeepa/1693")</f>
        <v>munzeepa/1693</v>
      </c>
      <c r="L690" s="19" t="b">
        <v>1</v>
      </c>
      <c r="M690" s="12">
        <f t="shared" si="1"/>
        <v>20</v>
      </c>
      <c r="N690" s="13"/>
      <c r="O690" s="13"/>
      <c r="P690" s="29"/>
    </row>
    <row r="691">
      <c r="A691" s="15" t="s">
        <v>966</v>
      </c>
      <c r="B691" s="16">
        <v>34.0</v>
      </c>
      <c r="C691" s="16">
        <v>22.0</v>
      </c>
      <c r="D691" s="17">
        <v>44.861331477249</v>
      </c>
      <c r="E691" s="17">
        <v>-93.332600544731</v>
      </c>
      <c r="F691" s="16" t="s">
        <v>41</v>
      </c>
      <c r="G691" s="16" t="s">
        <v>17</v>
      </c>
      <c r="H691" s="18" t="s">
        <v>967</v>
      </c>
      <c r="I691" s="19">
        <v>44.0</v>
      </c>
      <c r="J691" s="20"/>
      <c r="K691" s="11" t="str">
        <f>IFERROR(__xludf.DUMMYFUNCTION("IF(AND(REGEXMATCH($H691,""50( ?['fF]([oO]{2})?[tT]?)?( ?[eE][rR]{2}[oO][rR])"")=FALSE,$H691&lt;&gt;"""",$I691&lt;&gt;""""),HYPERLINK(""https://www.munzee.com/m/""&amp;$H691&amp;""/""&amp;$I691&amp;""/map/?lat=""&amp;$D691&amp;""&amp;lon=""&amp;$E691&amp;""&amp;type=""&amp;$G691&amp;""&amp;name=""&amp;SUBSTITUTE($A691,""#"&amp;""",""%23""),$H691&amp;""/""&amp;$I691),IF($H691&lt;&gt;"""",IF(REGEXMATCH($H691,""50( ?['fF]([oO]{2})?[tT]?)?( ?[eE][rR]{2}[oO][rR])""),HYPERLINK(""https://www.munzee.com/map/?sandbox=1&amp;lat=""&amp;$D691&amp;""&amp;lon=""&amp;$E691&amp;""&amp;name=""&amp;SUBSTITUTE($A691,""#"",""%23""),""SANDBOX"""&amp;"),HYPERLINK(""https://www.munzee.com/m/""&amp;$H691&amp;""/deploys/0/type/""&amp;IFNA(VLOOKUP($G691,IMPORTRANGE(""https://docs.google.com/spreadsheets/d/1DliIGyDywdzxhd4svtjaewR0p9Y5UBTMNMQ2PcXsqss"",""type data!E2:F""),2,FALSE),$G691)&amp;""/"",$H691)),""""))"),"TSwag/44")</f>
        <v>TSwag/44</v>
      </c>
      <c r="L691" s="19" t="b">
        <v>1</v>
      </c>
      <c r="M691" s="12">
        <f t="shared" si="1"/>
        <v>1</v>
      </c>
      <c r="N691" s="13"/>
      <c r="O691" s="13"/>
      <c r="P691" s="29"/>
    </row>
    <row r="692">
      <c r="A692" s="15" t="s">
        <v>968</v>
      </c>
      <c r="B692" s="16">
        <v>34.0</v>
      </c>
      <c r="C692" s="16">
        <v>23.0</v>
      </c>
      <c r="D692" s="17">
        <v>44.86133147707</v>
      </c>
      <c r="E692" s="17">
        <v>-93.332397769353</v>
      </c>
      <c r="F692" s="16" t="s">
        <v>41</v>
      </c>
      <c r="G692" s="16" t="s">
        <v>17</v>
      </c>
      <c r="H692" s="18" t="s">
        <v>719</v>
      </c>
      <c r="I692" s="19">
        <v>3837.0</v>
      </c>
      <c r="J692" s="21"/>
      <c r="K692" s="11" t="str">
        <f>IFERROR(__xludf.DUMMYFUNCTION("IF(AND(REGEXMATCH($H692,""50( ?['fF]([oO]{2})?[tT]?)?( ?[eE][rR]{2}[oO][rR])"")=FALSE,$H692&lt;&gt;"""",$I692&lt;&gt;""""),HYPERLINK(""https://www.munzee.com/m/""&amp;$H692&amp;""/""&amp;$I692&amp;""/map/?lat=""&amp;$D692&amp;""&amp;lon=""&amp;$E692&amp;""&amp;type=""&amp;$G692&amp;""&amp;name=""&amp;SUBSTITUTE($A692,""#"&amp;""",""%23""),$H692&amp;""/""&amp;$I692),IF($H692&lt;&gt;"""",IF(REGEXMATCH($H692,""50( ?['fF]([oO]{2})?[tT]?)?( ?[eE][rR]{2}[oO][rR])""),HYPERLINK(""https://www.munzee.com/map/?sandbox=1&amp;lat=""&amp;$D692&amp;""&amp;lon=""&amp;$E692&amp;""&amp;name=""&amp;SUBSTITUTE($A692,""#"",""%23""),""SANDBOX"""&amp;"),HYPERLINK(""https://www.munzee.com/m/""&amp;$H692&amp;""/deploys/0/type/""&amp;IFNA(VLOOKUP($G692,IMPORTRANGE(""https://docs.google.com/spreadsheets/d/1DliIGyDywdzxhd4svtjaewR0p9Y5UBTMNMQ2PcXsqss"",""type data!E2:F""),2,FALSE),$G692)&amp;""/"",$H692)),""""))"),"MrsMouse/3837")</f>
        <v>MrsMouse/3837</v>
      </c>
      <c r="L692" s="19" t="b">
        <v>1</v>
      </c>
      <c r="M692" s="12">
        <f t="shared" si="1"/>
        <v>2</v>
      </c>
      <c r="N692" s="13"/>
      <c r="O692" s="13"/>
      <c r="P692" s="29"/>
    </row>
    <row r="693">
      <c r="A693" s="15" t="s">
        <v>969</v>
      </c>
      <c r="B693" s="16">
        <v>34.0</v>
      </c>
      <c r="C693" s="16">
        <v>24.0</v>
      </c>
      <c r="D693" s="17">
        <v>44.86133147689</v>
      </c>
      <c r="E693" s="17">
        <v>-93.332194993975</v>
      </c>
      <c r="F693" s="16" t="s">
        <v>41</v>
      </c>
      <c r="G693" s="16" t="s">
        <v>17</v>
      </c>
      <c r="H693" s="18" t="s">
        <v>838</v>
      </c>
      <c r="I693" s="19">
        <v>6737.0</v>
      </c>
      <c r="J693" s="21"/>
      <c r="K693" s="11" t="str">
        <f>IFERROR(__xludf.DUMMYFUNCTION("IF(AND(REGEXMATCH($H693,""50( ?['fF]([oO]{2})?[tT]?)?( ?[eE][rR]{2}[oO][rR])"")=FALSE,$H693&lt;&gt;"""",$I693&lt;&gt;""""),HYPERLINK(""https://www.munzee.com/m/""&amp;$H693&amp;""/""&amp;$I693&amp;""/map/?lat=""&amp;$D693&amp;""&amp;lon=""&amp;$E693&amp;""&amp;type=""&amp;$G693&amp;""&amp;name=""&amp;SUBSTITUTE($A693,""#"&amp;""",""%23""),$H693&amp;""/""&amp;$I693),IF($H693&lt;&gt;"""",IF(REGEXMATCH($H693,""50( ?['fF]([oO]{2})?[tT]?)?( ?[eE][rR]{2}[oO][rR])""),HYPERLINK(""https://www.munzee.com/map/?sandbox=1&amp;lat=""&amp;$D693&amp;""&amp;lon=""&amp;$E693&amp;""&amp;name=""&amp;SUBSTITUTE($A693,""#"",""%23""),""SANDBOX"""&amp;"),HYPERLINK(""https://www.munzee.com/m/""&amp;$H693&amp;""/deploys/0/type/""&amp;IFNA(VLOOKUP($G693,IMPORTRANGE(""https://docs.google.com/spreadsheets/d/1DliIGyDywdzxhd4svtjaewR0p9Y5UBTMNMQ2PcXsqss"",""type data!E2:F""),2,FALSE),$G693)&amp;""/"",$H693)),""""))"),"Munzeeprof /6737")</f>
        <v>Munzeeprof /6737</v>
      </c>
      <c r="L693" s="19" t="b">
        <v>1</v>
      </c>
      <c r="M693" s="12">
        <f t="shared" si="1"/>
        <v>5</v>
      </c>
      <c r="N693" s="13"/>
      <c r="O693" s="13"/>
      <c r="P693" s="29"/>
    </row>
    <row r="694">
      <c r="A694" s="15" t="s">
        <v>970</v>
      </c>
      <c r="B694" s="16">
        <v>34.0</v>
      </c>
      <c r="C694" s="16">
        <v>25.0</v>
      </c>
      <c r="D694" s="17">
        <v>44.861331476711</v>
      </c>
      <c r="E694" s="17">
        <v>-93.331992218597</v>
      </c>
      <c r="F694" s="16" t="s">
        <v>16</v>
      </c>
      <c r="G694" s="16" t="s">
        <v>17</v>
      </c>
      <c r="H694" s="18" t="s">
        <v>971</v>
      </c>
      <c r="I694" s="19">
        <v>4044.0</v>
      </c>
      <c r="J694" s="39"/>
      <c r="K694" s="11" t="str">
        <f>IFERROR(__xludf.DUMMYFUNCTION("IF(AND(REGEXMATCH($H694,""50( ?['fF]([oO]{2})?[tT]?)?( ?[eE][rR]{2}[oO][rR])"")=FALSE,$H694&lt;&gt;"""",$I694&lt;&gt;""""),HYPERLINK(""https://www.munzee.com/m/""&amp;$H694&amp;""/""&amp;$I694&amp;""/map/?lat=""&amp;$D694&amp;""&amp;lon=""&amp;$E694&amp;""&amp;type=""&amp;$G694&amp;""&amp;name=""&amp;SUBSTITUTE($A694,""#"&amp;""",""%23""),$H694&amp;""/""&amp;$I694),IF($H694&lt;&gt;"""",IF(REGEXMATCH($H694,""50( ?['fF]([oO]{2})?[tT]?)?( ?[eE][rR]{2}[oO][rR])""),HYPERLINK(""https://www.munzee.com/map/?sandbox=1&amp;lat=""&amp;$D694&amp;""&amp;lon=""&amp;$E694&amp;""&amp;name=""&amp;SUBSTITUTE($A694,""#"",""%23""),""SANDBOX"""&amp;"),HYPERLINK(""https://www.munzee.com/m/""&amp;$H694&amp;""/deploys/0/type/""&amp;IFNA(VLOOKUP($G694,IMPORTRANGE(""https://docs.google.com/spreadsheets/d/1DliIGyDywdzxhd4svtjaewR0p9Y5UBTMNMQ2PcXsqss"",""type data!E2:F""),2,FALSE),$G694)&amp;""/"",$H694)),""""))"),"BonnieB1/4044")</f>
        <v>BonnieB1/4044</v>
      </c>
      <c r="L694" s="19" t="b">
        <v>1</v>
      </c>
      <c r="M694" s="12">
        <f t="shared" si="1"/>
        <v>1</v>
      </c>
      <c r="N694" s="13"/>
      <c r="O694" s="13"/>
      <c r="P694" s="29"/>
    </row>
    <row r="695">
      <c r="A695" s="15" t="s">
        <v>972</v>
      </c>
      <c r="B695" s="16">
        <v>35.0</v>
      </c>
      <c r="C695" s="16">
        <v>4.0</v>
      </c>
      <c r="D695" s="17">
        <v>44.861187750033</v>
      </c>
      <c r="E695" s="17">
        <v>-93.336250511156</v>
      </c>
      <c r="F695" s="16" t="s">
        <v>16</v>
      </c>
      <c r="G695" s="16" t="s">
        <v>17</v>
      </c>
      <c r="H695" s="18" t="s">
        <v>599</v>
      </c>
      <c r="I695" s="19">
        <v>226.0</v>
      </c>
      <c r="J695" s="20"/>
      <c r="K695" s="11" t="str">
        <f>IFERROR(__xludf.DUMMYFUNCTION("IF(AND(REGEXMATCH($H695,""50( ?['fF]([oO]{2})?[tT]?)?( ?[eE][rR]{2}[oO][rR])"")=FALSE,$H695&lt;&gt;"""",$I695&lt;&gt;""""),HYPERLINK(""https://www.munzee.com/m/""&amp;$H695&amp;""/""&amp;$I695&amp;""/map/?lat=""&amp;$D695&amp;""&amp;lon=""&amp;$E695&amp;""&amp;type=""&amp;$G695&amp;""&amp;name=""&amp;SUBSTITUTE($A695,""#"&amp;""",""%23""),$H695&amp;""/""&amp;$I695),IF($H695&lt;&gt;"""",IF(REGEXMATCH($H695,""50( ?['fF]([oO]{2})?[tT]?)?( ?[eE][rR]{2}[oO][rR])""),HYPERLINK(""https://www.munzee.com/map/?sandbox=1&amp;lat=""&amp;$D695&amp;""&amp;lon=""&amp;$E695&amp;""&amp;name=""&amp;SUBSTITUTE($A695,""#"",""%23""),""SANDBOX"""&amp;"),HYPERLINK(""https://www.munzee.com/m/""&amp;$H695&amp;""/deploys/0/type/""&amp;IFNA(VLOOKUP($G695,IMPORTRANGE(""https://docs.google.com/spreadsheets/d/1DliIGyDywdzxhd4svtjaewR0p9Y5UBTMNMQ2PcXsqss"",""type data!E2:F""),2,FALSE),$G695)&amp;""/"",$H695)),""""))"),"Dreamcatchr/226")</f>
        <v>Dreamcatchr/226</v>
      </c>
      <c r="L695" s="19" t="b">
        <v>1</v>
      </c>
      <c r="M695" s="12">
        <f t="shared" si="1"/>
        <v>3</v>
      </c>
      <c r="N695" s="13"/>
      <c r="O695" s="13"/>
      <c r="P695" s="29"/>
    </row>
    <row r="696">
      <c r="A696" s="15" t="s">
        <v>973</v>
      </c>
      <c r="B696" s="16">
        <v>35.0</v>
      </c>
      <c r="C696" s="16">
        <v>5.0</v>
      </c>
      <c r="D696" s="17">
        <v>44.861187749854</v>
      </c>
      <c r="E696" s="17">
        <v>-93.336047736284</v>
      </c>
      <c r="F696" s="16" t="s">
        <v>41</v>
      </c>
      <c r="G696" s="16" t="s">
        <v>17</v>
      </c>
      <c r="H696" s="18" t="s">
        <v>749</v>
      </c>
      <c r="I696" s="19">
        <v>1606.0</v>
      </c>
      <c r="J696" s="20"/>
      <c r="K696" s="11" t="str">
        <f>IFERROR(__xludf.DUMMYFUNCTION("IF(AND(REGEXMATCH($H696,""50( ?['fF]([oO]{2})?[tT]?)?( ?[eE][rR]{2}[oO][rR])"")=FALSE,$H696&lt;&gt;"""",$I696&lt;&gt;""""),HYPERLINK(""https://www.munzee.com/m/""&amp;$H696&amp;""/""&amp;$I696&amp;""/map/?lat=""&amp;$D696&amp;""&amp;lon=""&amp;$E696&amp;""&amp;type=""&amp;$G696&amp;""&amp;name=""&amp;SUBSTITUTE($A696,""#"&amp;""",""%23""),$H696&amp;""/""&amp;$I696),IF($H696&lt;&gt;"""",IF(REGEXMATCH($H696,""50( ?['fF]([oO]{2})?[tT]?)?( ?[eE][rR]{2}[oO][rR])""),HYPERLINK(""https://www.munzee.com/map/?sandbox=1&amp;lat=""&amp;$D696&amp;""&amp;lon=""&amp;$E696&amp;""&amp;name=""&amp;SUBSTITUTE($A696,""#"",""%23""),""SANDBOX"""&amp;"),HYPERLINK(""https://www.munzee.com/m/""&amp;$H696&amp;""/deploys/0/type/""&amp;IFNA(VLOOKUP($G696,IMPORTRANGE(""https://docs.google.com/spreadsheets/d/1DliIGyDywdzxhd4svtjaewR0p9Y5UBTMNMQ2PcXsqss"",""type data!E2:F""),2,FALSE),$G696)&amp;""/"",$H696)),""""))"),"Blutengel/1606")</f>
        <v>Blutengel/1606</v>
      </c>
      <c r="L696" s="19" t="b">
        <v>1</v>
      </c>
      <c r="M696" s="12">
        <f t="shared" si="1"/>
        <v>9</v>
      </c>
      <c r="N696" s="13"/>
      <c r="O696" s="13"/>
      <c r="P696" s="29"/>
    </row>
    <row r="697">
      <c r="A697" s="15" t="s">
        <v>974</v>
      </c>
      <c r="B697" s="16">
        <v>35.0</v>
      </c>
      <c r="C697" s="16">
        <v>6.0</v>
      </c>
      <c r="D697" s="17">
        <v>44.861187749674</v>
      </c>
      <c r="E697" s="17">
        <v>-93.335844961412</v>
      </c>
      <c r="F697" s="16" t="s">
        <v>41</v>
      </c>
      <c r="G697" s="16" t="s">
        <v>17</v>
      </c>
      <c r="H697" s="18" t="s">
        <v>567</v>
      </c>
      <c r="I697" s="19">
        <v>5951.0</v>
      </c>
      <c r="J697" s="39"/>
      <c r="K697" s="11" t="str">
        <f>IFERROR(__xludf.DUMMYFUNCTION("IF(AND(REGEXMATCH($H697,""50( ?['fF]([oO]{2})?[tT]?)?( ?[eE][rR]{2}[oO][rR])"")=FALSE,$H697&lt;&gt;"""",$I697&lt;&gt;""""),HYPERLINK(""https://www.munzee.com/m/""&amp;$H697&amp;""/""&amp;$I697&amp;""/map/?lat=""&amp;$D697&amp;""&amp;lon=""&amp;$E697&amp;""&amp;type=""&amp;$G697&amp;""&amp;name=""&amp;SUBSTITUTE($A697,""#"&amp;""",""%23""),$H697&amp;""/""&amp;$I697),IF($H697&lt;&gt;"""",IF(REGEXMATCH($H697,""50( ?['fF]([oO]{2})?[tT]?)?( ?[eE][rR]{2}[oO][rR])""),HYPERLINK(""https://www.munzee.com/map/?sandbox=1&amp;lat=""&amp;$D697&amp;""&amp;lon=""&amp;$E697&amp;""&amp;name=""&amp;SUBSTITUTE($A697,""#"",""%23""),""SANDBOX"""&amp;"),HYPERLINK(""https://www.munzee.com/m/""&amp;$H697&amp;""/deploys/0/type/""&amp;IFNA(VLOOKUP($G697,IMPORTRANGE(""https://docs.google.com/spreadsheets/d/1DliIGyDywdzxhd4svtjaewR0p9Y5UBTMNMQ2PcXsqss"",""type data!E2:F""),2,FALSE),$G697)&amp;""/"",$H697)),""""))"),"bazfum/5951")</f>
        <v>bazfum/5951</v>
      </c>
      <c r="L697" s="19" t="b">
        <v>1</v>
      </c>
      <c r="M697" s="12">
        <f t="shared" si="1"/>
        <v>2</v>
      </c>
      <c r="N697" s="13"/>
      <c r="O697" s="13"/>
      <c r="P697" s="29"/>
    </row>
    <row r="698">
      <c r="A698" s="15" t="s">
        <v>975</v>
      </c>
      <c r="B698" s="16">
        <v>35.0</v>
      </c>
      <c r="C698" s="16">
        <v>7.0</v>
      </c>
      <c r="D698" s="17">
        <v>44.861187749495</v>
      </c>
      <c r="E698" s="17">
        <v>-93.33564218654</v>
      </c>
      <c r="F698" s="16" t="s">
        <v>41</v>
      </c>
      <c r="G698" s="16" t="s">
        <v>17</v>
      </c>
      <c r="H698" s="18" t="s">
        <v>683</v>
      </c>
      <c r="I698" s="19">
        <v>2953.0</v>
      </c>
      <c r="J698" s="39"/>
      <c r="K698" s="11" t="str">
        <f>IFERROR(__xludf.DUMMYFUNCTION("IF(AND(REGEXMATCH($H698,""50( ?['fF]([oO]{2})?[tT]?)?( ?[eE][rR]{2}[oO][rR])"")=FALSE,$H698&lt;&gt;"""",$I698&lt;&gt;""""),HYPERLINK(""https://www.munzee.com/m/""&amp;$H698&amp;""/""&amp;$I698&amp;""/map/?lat=""&amp;$D698&amp;""&amp;lon=""&amp;$E698&amp;""&amp;type=""&amp;$G698&amp;""&amp;name=""&amp;SUBSTITUTE($A698,""#"&amp;""",""%23""),$H698&amp;""/""&amp;$I698),IF($H698&lt;&gt;"""",IF(REGEXMATCH($H698,""50( ?['fF]([oO]{2})?[tT]?)?( ?[eE][rR]{2}[oO][rR])""),HYPERLINK(""https://www.munzee.com/map/?sandbox=1&amp;lat=""&amp;$D698&amp;""&amp;lon=""&amp;$E698&amp;""&amp;name=""&amp;SUBSTITUTE($A698,""#"",""%23""),""SANDBOX"""&amp;"),HYPERLINK(""https://www.munzee.com/m/""&amp;$H698&amp;""/deploys/0/type/""&amp;IFNA(VLOOKUP($G698,IMPORTRANGE(""https://docs.google.com/spreadsheets/d/1DliIGyDywdzxhd4svtjaewR0p9Y5UBTMNMQ2PcXsqss"",""type data!E2:F""),2,FALSE),$G698)&amp;""/"",$H698)),""""))"),"GrizzSteve/2953")</f>
        <v>GrizzSteve/2953</v>
      </c>
      <c r="L698" s="19" t="b">
        <v>1</v>
      </c>
      <c r="M698" s="12">
        <f t="shared" si="1"/>
        <v>5</v>
      </c>
      <c r="N698" s="13"/>
      <c r="O698" s="13"/>
      <c r="P698" s="29"/>
    </row>
    <row r="699">
      <c r="A699" s="15" t="s">
        <v>976</v>
      </c>
      <c r="B699" s="16">
        <v>35.0</v>
      </c>
      <c r="C699" s="16">
        <v>8.0</v>
      </c>
      <c r="D699" s="17">
        <v>44.861187749315</v>
      </c>
      <c r="E699" s="17">
        <v>-93.335439411668</v>
      </c>
      <c r="F699" s="16" t="s">
        <v>41</v>
      </c>
      <c r="G699" s="16" t="s">
        <v>17</v>
      </c>
      <c r="H699" s="18" t="s">
        <v>838</v>
      </c>
      <c r="I699" s="19">
        <v>6738.0</v>
      </c>
      <c r="J699" s="21"/>
      <c r="K699" s="11" t="str">
        <f>IFERROR(__xludf.DUMMYFUNCTION("IF(AND(REGEXMATCH($H699,""50( ?['fF]([oO]{2})?[tT]?)?( ?[eE][rR]{2}[oO][rR])"")=FALSE,$H699&lt;&gt;"""",$I699&lt;&gt;""""),HYPERLINK(""https://www.munzee.com/m/""&amp;$H699&amp;""/""&amp;$I699&amp;""/map/?lat=""&amp;$D699&amp;""&amp;lon=""&amp;$E699&amp;""&amp;type=""&amp;$G699&amp;""&amp;name=""&amp;SUBSTITUTE($A699,""#"&amp;""",""%23""),$H699&amp;""/""&amp;$I699),IF($H699&lt;&gt;"""",IF(REGEXMATCH($H699,""50( ?['fF]([oO]{2})?[tT]?)?( ?[eE][rR]{2}[oO][rR])""),HYPERLINK(""https://www.munzee.com/map/?sandbox=1&amp;lat=""&amp;$D699&amp;""&amp;lon=""&amp;$E699&amp;""&amp;name=""&amp;SUBSTITUTE($A699,""#"",""%23""),""SANDBOX"""&amp;"),HYPERLINK(""https://www.munzee.com/m/""&amp;$H699&amp;""/deploys/0/type/""&amp;IFNA(VLOOKUP($G699,IMPORTRANGE(""https://docs.google.com/spreadsheets/d/1DliIGyDywdzxhd4svtjaewR0p9Y5UBTMNMQ2PcXsqss"",""type data!E2:F""),2,FALSE),$G699)&amp;""/"",$H699)),""""))"),"Munzeeprof /6738")</f>
        <v>Munzeeprof /6738</v>
      </c>
      <c r="L699" s="19" t="b">
        <v>1</v>
      </c>
      <c r="M699" s="12">
        <f t="shared" si="1"/>
        <v>5</v>
      </c>
      <c r="N699" s="13"/>
      <c r="O699" s="13"/>
      <c r="P699" s="29"/>
    </row>
    <row r="700">
      <c r="A700" s="15" t="s">
        <v>977</v>
      </c>
      <c r="B700" s="16">
        <v>35.0</v>
      </c>
      <c r="C700" s="16">
        <v>9.0</v>
      </c>
      <c r="D700" s="17">
        <v>44.861187749136</v>
      </c>
      <c r="E700" s="17">
        <v>-93.335236636796</v>
      </c>
      <c r="F700" s="16" t="s">
        <v>41</v>
      </c>
      <c r="G700" s="16" t="s">
        <v>17</v>
      </c>
      <c r="H700" s="18" t="s">
        <v>95</v>
      </c>
      <c r="I700" s="19">
        <v>1689.0</v>
      </c>
      <c r="J700" s="21"/>
      <c r="K700" s="11" t="str">
        <f>IFERROR(__xludf.DUMMYFUNCTION("IF(AND(REGEXMATCH($H700,""50( ?['fF]([oO]{2})?[tT]?)?( ?[eE][rR]{2}[oO][rR])"")=FALSE,$H700&lt;&gt;"""",$I700&lt;&gt;""""),HYPERLINK(""https://www.munzee.com/m/""&amp;$H700&amp;""/""&amp;$I700&amp;""/map/?lat=""&amp;$D700&amp;""&amp;lon=""&amp;$E700&amp;""&amp;type=""&amp;$G700&amp;""&amp;name=""&amp;SUBSTITUTE($A700,""#"&amp;""",""%23""),$H700&amp;""/""&amp;$I700),IF($H700&lt;&gt;"""",IF(REGEXMATCH($H700,""50( ?['fF]([oO]{2})?[tT]?)?( ?[eE][rR]{2}[oO][rR])""),HYPERLINK(""https://www.munzee.com/map/?sandbox=1&amp;lat=""&amp;$D700&amp;""&amp;lon=""&amp;$E700&amp;""&amp;name=""&amp;SUBSTITUTE($A700,""#"",""%23""),""SANDBOX"""&amp;"),HYPERLINK(""https://www.munzee.com/m/""&amp;$H700&amp;""/deploys/0/type/""&amp;IFNA(VLOOKUP($G700,IMPORTRANGE(""https://docs.google.com/spreadsheets/d/1DliIGyDywdzxhd4svtjaewR0p9Y5UBTMNMQ2PcXsqss"",""type data!E2:F""),2,FALSE),$G700)&amp;""/"",$H700)),""""))"),"munzeepa/1689")</f>
        <v>munzeepa/1689</v>
      </c>
      <c r="L700" s="19" t="b">
        <v>1</v>
      </c>
      <c r="M700" s="12">
        <f t="shared" si="1"/>
        <v>20</v>
      </c>
      <c r="N700" s="13"/>
      <c r="O700" s="13"/>
      <c r="P700" s="29"/>
    </row>
    <row r="701">
      <c r="A701" s="15" t="s">
        <v>978</v>
      </c>
      <c r="B701" s="16">
        <v>35.0</v>
      </c>
      <c r="C701" s="16">
        <v>10.0</v>
      </c>
      <c r="D701" s="17">
        <v>44.861187748957</v>
      </c>
      <c r="E701" s="17">
        <v>-93.335033861924</v>
      </c>
      <c r="F701" s="16" t="s">
        <v>41</v>
      </c>
      <c r="G701" s="16" t="s">
        <v>17</v>
      </c>
      <c r="H701" s="18" t="s">
        <v>99</v>
      </c>
      <c r="I701" s="19">
        <v>1868.0</v>
      </c>
      <c r="J701" s="21"/>
      <c r="K701" s="11" t="str">
        <f>IFERROR(__xludf.DUMMYFUNCTION("IF(AND(REGEXMATCH($H701,""50( ?['fF]([oO]{2})?[tT]?)?( ?[eE][rR]{2}[oO][rR])"")=FALSE,$H701&lt;&gt;"""",$I701&lt;&gt;""""),HYPERLINK(""https://www.munzee.com/m/""&amp;$H701&amp;""/""&amp;$I701&amp;""/map/?lat=""&amp;$D701&amp;""&amp;lon=""&amp;$E701&amp;""&amp;type=""&amp;$G701&amp;""&amp;name=""&amp;SUBSTITUTE($A701,""#"&amp;""",""%23""),$H701&amp;""/""&amp;$I701),IF($H701&lt;&gt;"""",IF(REGEXMATCH($H701,""50( ?['fF]([oO]{2})?[tT]?)?( ?[eE][rR]{2}[oO][rR])""),HYPERLINK(""https://www.munzee.com/map/?sandbox=1&amp;lat=""&amp;$D701&amp;""&amp;lon=""&amp;$E701&amp;""&amp;name=""&amp;SUBSTITUTE($A701,""#"",""%23""),""SANDBOX"""&amp;"),HYPERLINK(""https://www.munzee.com/m/""&amp;$H701&amp;""/deploys/0/type/""&amp;IFNA(VLOOKUP($G701,IMPORTRANGE(""https://docs.google.com/spreadsheets/d/1DliIGyDywdzxhd4svtjaewR0p9Y5UBTMNMQ2PcXsqss"",""type data!E2:F""),2,FALSE),$G701)&amp;""/"",$H701)),""""))"),"jsamundson/1868")</f>
        <v>jsamundson/1868</v>
      </c>
      <c r="L701" s="19" t="b">
        <v>1</v>
      </c>
      <c r="M701" s="12">
        <f t="shared" si="1"/>
        <v>20</v>
      </c>
      <c r="N701" s="13"/>
      <c r="O701" s="13"/>
      <c r="P701" s="29"/>
    </row>
    <row r="702">
      <c r="A702" s="15" t="s">
        <v>979</v>
      </c>
      <c r="B702" s="16">
        <v>35.0</v>
      </c>
      <c r="C702" s="16">
        <v>11.0</v>
      </c>
      <c r="D702" s="17">
        <v>44.861187748777</v>
      </c>
      <c r="E702" s="17">
        <v>-93.334831087052</v>
      </c>
      <c r="F702" s="16" t="s">
        <v>41</v>
      </c>
      <c r="G702" s="16" t="s">
        <v>17</v>
      </c>
      <c r="H702" s="18" t="s">
        <v>980</v>
      </c>
      <c r="I702" s="19">
        <v>6917.0</v>
      </c>
      <c r="J702" s="39"/>
      <c r="K702" s="11" t="str">
        <f>IFERROR(__xludf.DUMMYFUNCTION("IF(AND(REGEXMATCH($H702,""50( ?['fF]([oO]{2})?[tT]?)?( ?[eE][rR]{2}[oO][rR])"")=FALSE,$H702&lt;&gt;"""",$I702&lt;&gt;""""),HYPERLINK(""https://www.munzee.com/m/""&amp;$H702&amp;""/""&amp;$I702&amp;""/map/?lat=""&amp;$D702&amp;""&amp;lon=""&amp;$E702&amp;""&amp;type=""&amp;$G702&amp;""&amp;name=""&amp;SUBSTITUTE($A702,""#"&amp;""",""%23""),$H702&amp;""/""&amp;$I702),IF($H702&lt;&gt;"""",IF(REGEXMATCH($H702,""50( ?['fF]([oO]{2})?[tT]?)?( ?[eE][rR]{2}[oO][rR])""),HYPERLINK(""https://www.munzee.com/map/?sandbox=1&amp;lat=""&amp;$D702&amp;""&amp;lon=""&amp;$E702&amp;""&amp;name=""&amp;SUBSTITUTE($A702,""#"",""%23""),""SANDBOX"""&amp;"),HYPERLINK(""https://www.munzee.com/m/""&amp;$H702&amp;""/deploys/0/type/""&amp;IFNA(VLOOKUP($G702,IMPORTRANGE(""https://docs.google.com/spreadsheets/d/1DliIGyDywdzxhd4svtjaewR0p9Y5UBTMNMQ2PcXsqss"",""type data!E2:F""),2,FALSE),$G702)&amp;""/"",$H702)),""""))"),"MsYB/6917")</f>
        <v>MsYB/6917</v>
      </c>
      <c r="L702" s="19" t="b">
        <v>1</v>
      </c>
      <c r="M702" s="12">
        <f t="shared" si="1"/>
        <v>2</v>
      </c>
      <c r="N702" s="13"/>
      <c r="O702" s="13"/>
      <c r="P702" s="29"/>
    </row>
    <row r="703">
      <c r="A703" s="15" t="s">
        <v>981</v>
      </c>
      <c r="B703" s="16">
        <v>35.0</v>
      </c>
      <c r="C703" s="16">
        <v>12.0</v>
      </c>
      <c r="D703" s="17">
        <v>44.861187748598</v>
      </c>
      <c r="E703" s="17">
        <v>-93.33462831218</v>
      </c>
      <c r="F703" s="16" t="s">
        <v>41</v>
      </c>
      <c r="G703" s="16" t="s">
        <v>17</v>
      </c>
      <c r="H703" s="18" t="s">
        <v>910</v>
      </c>
      <c r="I703" s="19">
        <v>2133.0</v>
      </c>
      <c r="J703" s="21"/>
      <c r="K703" s="11" t="str">
        <f>IFERROR(__xludf.DUMMYFUNCTION("IF(AND(REGEXMATCH($H703,""50( ?['fF]([oO]{2})?[tT]?)?( ?[eE][rR]{2}[oO][rR])"")=FALSE,$H703&lt;&gt;"""",$I703&lt;&gt;""""),HYPERLINK(""https://www.munzee.com/m/""&amp;$H703&amp;""/""&amp;$I703&amp;""/map/?lat=""&amp;$D703&amp;""&amp;lon=""&amp;$E703&amp;""&amp;type=""&amp;$G703&amp;""&amp;name=""&amp;SUBSTITUTE($A703,""#"&amp;""",""%23""),$H703&amp;""/""&amp;$I703),IF($H703&lt;&gt;"""",IF(REGEXMATCH($H703,""50( ?['fF]([oO]{2})?[tT]?)?( ?[eE][rR]{2}[oO][rR])""),HYPERLINK(""https://www.munzee.com/map/?sandbox=1&amp;lat=""&amp;$D703&amp;""&amp;lon=""&amp;$E703&amp;""&amp;name=""&amp;SUBSTITUTE($A703,""#"",""%23""),""SANDBOX"""&amp;"),HYPERLINK(""https://www.munzee.com/m/""&amp;$H703&amp;""/deploys/0/type/""&amp;IFNA(VLOOKUP($G703,IMPORTRANGE(""https://docs.google.com/spreadsheets/d/1DliIGyDywdzxhd4svtjaewR0p9Y5UBTMNMQ2PcXsqss"",""type data!E2:F""),2,FALSE),$G703)&amp;""/"",$H703)),""""))"),"belladivadee /2133")</f>
        <v>belladivadee /2133</v>
      </c>
      <c r="L703" s="19" t="b">
        <v>1</v>
      </c>
      <c r="M703" s="12">
        <f t="shared" si="1"/>
        <v>3</v>
      </c>
      <c r="N703" s="13"/>
      <c r="O703" s="13"/>
      <c r="P703" s="29"/>
    </row>
    <row r="704">
      <c r="A704" s="15" t="s">
        <v>982</v>
      </c>
      <c r="B704" s="16">
        <v>35.0</v>
      </c>
      <c r="C704" s="16">
        <v>13.0</v>
      </c>
      <c r="D704" s="17">
        <v>44.861187748418</v>
      </c>
      <c r="E704" s="17">
        <v>-93.334425537309</v>
      </c>
      <c r="F704" s="16" t="s">
        <v>16</v>
      </c>
      <c r="G704" s="16" t="s">
        <v>17</v>
      </c>
      <c r="H704" s="18" t="s">
        <v>653</v>
      </c>
      <c r="I704" s="19">
        <v>8559.0</v>
      </c>
      <c r="J704" s="21"/>
      <c r="K704" s="11" t="str">
        <f>IFERROR(__xludf.DUMMYFUNCTION("IF(AND(REGEXMATCH($H704,""50( ?['fF]([oO]{2})?[tT]?)?( ?[eE][rR]{2}[oO][rR])"")=FALSE,$H704&lt;&gt;"""",$I704&lt;&gt;""""),HYPERLINK(""https://www.munzee.com/m/""&amp;$H704&amp;""/""&amp;$I704&amp;""/map/?lat=""&amp;$D704&amp;""&amp;lon=""&amp;$E704&amp;""&amp;type=""&amp;$G704&amp;""&amp;name=""&amp;SUBSTITUTE($A704,""#"&amp;""",""%23""),$H704&amp;""/""&amp;$I704),IF($H704&lt;&gt;"""",IF(REGEXMATCH($H704,""50( ?['fF]([oO]{2})?[tT]?)?( ?[eE][rR]{2}[oO][rR])""),HYPERLINK(""https://www.munzee.com/map/?sandbox=1&amp;lat=""&amp;$D704&amp;""&amp;lon=""&amp;$E704&amp;""&amp;name=""&amp;SUBSTITUTE($A704,""#"",""%23""),""SANDBOX"""&amp;"),HYPERLINK(""https://www.munzee.com/m/""&amp;$H704&amp;""/deploys/0/type/""&amp;IFNA(VLOOKUP($G704,IMPORTRANGE(""https://docs.google.com/spreadsheets/d/1DliIGyDywdzxhd4svtjaewR0p9Y5UBTMNMQ2PcXsqss"",""type data!E2:F""),2,FALSE),$G704)&amp;""/"",$H704)),""""))"),"chickenrun/8559")</f>
        <v>chickenrun/8559</v>
      </c>
      <c r="L704" s="19" t="b">
        <v>1</v>
      </c>
      <c r="M704" s="12">
        <f t="shared" si="1"/>
        <v>5</v>
      </c>
      <c r="N704" s="13"/>
      <c r="O704" s="13"/>
      <c r="P704" s="29"/>
    </row>
    <row r="705">
      <c r="A705" s="15" t="s">
        <v>983</v>
      </c>
      <c r="B705" s="16">
        <v>35.0</v>
      </c>
      <c r="C705" s="16">
        <v>16.0</v>
      </c>
      <c r="D705" s="17">
        <v>44.86118774788</v>
      </c>
      <c r="E705" s="17">
        <v>-93.333817212693</v>
      </c>
      <c r="F705" s="16" t="s">
        <v>16</v>
      </c>
      <c r="G705" s="16" t="s">
        <v>17</v>
      </c>
      <c r="H705" s="18" t="s">
        <v>322</v>
      </c>
      <c r="I705" s="19">
        <v>5076.0</v>
      </c>
      <c r="J705" s="20"/>
      <c r="K705" s="11" t="str">
        <f>IFERROR(__xludf.DUMMYFUNCTION("IF(AND(REGEXMATCH($H705,""50( ?['fF]([oO]{2})?[tT]?)?( ?[eE][rR]{2}[oO][rR])"")=FALSE,$H705&lt;&gt;"""",$I705&lt;&gt;""""),HYPERLINK(""https://www.munzee.com/m/""&amp;$H705&amp;""/""&amp;$I705&amp;""/map/?lat=""&amp;$D705&amp;""&amp;lon=""&amp;$E705&amp;""&amp;type=""&amp;$G705&amp;""&amp;name=""&amp;SUBSTITUTE($A705,""#"&amp;""",""%23""),$H705&amp;""/""&amp;$I705),IF($H705&lt;&gt;"""",IF(REGEXMATCH($H705,""50( ?['fF]([oO]{2})?[tT]?)?( ?[eE][rR]{2}[oO][rR])""),HYPERLINK(""https://www.munzee.com/map/?sandbox=1&amp;lat=""&amp;$D705&amp;""&amp;lon=""&amp;$E705&amp;""&amp;name=""&amp;SUBSTITUTE($A705,""#"",""%23""),""SANDBOX"""&amp;"),HYPERLINK(""https://www.munzee.com/m/""&amp;$H705&amp;""/deploys/0/type/""&amp;IFNA(VLOOKUP($G705,IMPORTRANGE(""https://docs.google.com/spreadsheets/d/1DliIGyDywdzxhd4svtjaewR0p9Y5UBTMNMQ2PcXsqss"",""type data!E2:F""),2,FALSE),$G705)&amp;""/"",$H705)),""""))"),"donbadabon/5076")</f>
        <v>donbadabon/5076</v>
      </c>
      <c r="L705" s="19" t="b">
        <v>1</v>
      </c>
      <c r="M705" s="12">
        <f t="shared" si="1"/>
        <v>5</v>
      </c>
      <c r="N705" s="13"/>
      <c r="O705" s="13"/>
      <c r="P705" s="29"/>
    </row>
    <row r="706">
      <c r="A706" s="15" t="s">
        <v>984</v>
      </c>
      <c r="B706" s="16">
        <v>35.0</v>
      </c>
      <c r="C706" s="16">
        <v>17.0</v>
      </c>
      <c r="D706" s="17">
        <v>44.861187747701</v>
      </c>
      <c r="E706" s="17">
        <v>-93.333614437821</v>
      </c>
      <c r="F706" s="16" t="s">
        <v>41</v>
      </c>
      <c r="G706" s="16" t="s">
        <v>17</v>
      </c>
      <c r="H706" s="18" t="s">
        <v>856</v>
      </c>
      <c r="I706" s="19">
        <v>8712.0</v>
      </c>
      <c r="J706" s="20"/>
      <c r="K706" s="11" t="str">
        <f>IFERROR(__xludf.DUMMYFUNCTION("IF(AND(REGEXMATCH($H706,""50( ?['fF]([oO]{2})?[tT]?)?( ?[eE][rR]{2}[oO][rR])"")=FALSE,$H706&lt;&gt;"""",$I706&lt;&gt;""""),HYPERLINK(""https://www.munzee.com/m/""&amp;$H706&amp;""/""&amp;$I706&amp;""/map/?lat=""&amp;$D706&amp;""&amp;lon=""&amp;$E706&amp;""&amp;type=""&amp;$G706&amp;""&amp;name=""&amp;SUBSTITUTE($A706,""#"&amp;""",""%23""),$H706&amp;""/""&amp;$I706),IF($H706&lt;&gt;"""",IF(REGEXMATCH($H706,""50( ?['fF]([oO]{2})?[tT]?)?( ?[eE][rR]{2}[oO][rR])""),HYPERLINK(""https://www.munzee.com/map/?sandbox=1&amp;lat=""&amp;$D706&amp;""&amp;lon=""&amp;$E706&amp;""&amp;name=""&amp;SUBSTITUTE($A706,""#"",""%23""),""SANDBOX"""&amp;"),HYPERLINK(""https://www.munzee.com/m/""&amp;$H706&amp;""/deploys/0/type/""&amp;IFNA(VLOOKUP($G706,IMPORTRANGE(""https://docs.google.com/spreadsheets/d/1DliIGyDywdzxhd4svtjaewR0p9Y5UBTMNMQ2PcXsqss"",""type data!E2:F""),2,FALSE),$G706)&amp;""/"",$H706)),""""))"),"earthangel/8712")</f>
        <v>earthangel/8712</v>
      </c>
      <c r="L706" s="19" t="b">
        <v>1</v>
      </c>
      <c r="M706" s="12">
        <f t="shared" si="1"/>
        <v>7</v>
      </c>
      <c r="N706" s="13"/>
      <c r="O706" s="13"/>
      <c r="P706" s="29"/>
    </row>
    <row r="707">
      <c r="A707" s="15" t="s">
        <v>985</v>
      </c>
      <c r="B707" s="16">
        <v>35.0</v>
      </c>
      <c r="C707" s="16">
        <v>18.0</v>
      </c>
      <c r="D707" s="17">
        <v>44.861187747521</v>
      </c>
      <c r="E707" s="17">
        <v>-93.333411662949</v>
      </c>
      <c r="F707" s="16" t="s">
        <v>41</v>
      </c>
      <c r="G707" s="16" t="s">
        <v>17</v>
      </c>
      <c r="H707" s="18" t="s">
        <v>858</v>
      </c>
      <c r="I707" s="19">
        <v>8632.0</v>
      </c>
      <c r="J707" s="20"/>
      <c r="K707" s="11" t="str">
        <f>IFERROR(__xludf.DUMMYFUNCTION("IF(AND(REGEXMATCH($H707,""50( ?['fF]([oO]{2})?[tT]?)?( ?[eE][rR]{2}[oO][rR])"")=FALSE,$H707&lt;&gt;"""",$I707&lt;&gt;""""),HYPERLINK(""https://www.munzee.com/m/""&amp;$H707&amp;""/""&amp;$I707&amp;""/map/?lat=""&amp;$D707&amp;""&amp;lon=""&amp;$E707&amp;""&amp;type=""&amp;$G707&amp;""&amp;name=""&amp;SUBSTITUTE($A707,""#"&amp;""",""%23""),$H707&amp;""/""&amp;$I707),IF($H707&lt;&gt;"""",IF(REGEXMATCH($H707,""50( ?['fF]([oO]{2})?[tT]?)?( ?[eE][rR]{2}[oO][rR])""),HYPERLINK(""https://www.munzee.com/map/?sandbox=1&amp;lat=""&amp;$D707&amp;""&amp;lon=""&amp;$E707&amp;""&amp;name=""&amp;SUBSTITUTE($A707,""#"",""%23""),""SANDBOX"""&amp;"),HYPERLINK(""https://www.munzee.com/m/""&amp;$H707&amp;""/deploys/0/type/""&amp;IFNA(VLOOKUP($G707,IMPORTRANGE(""https://docs.google.com/spreadsheets/d/1DliIGyDywdzxhd4svtjaewR0p9Y5UBTMNMQ2PcXsqss"",""type data!E2:F""),2,FALSE),$G707)&amp;""/"",$H707)),""""))"),"ecorangers/8632")</f>
        <v>ecorangers/8632</v>
      </c>
      <c r="L707" s="19" t="b">
        <v>1</v>
      </c>
      <c r="M707" s="12">
        <f t="shared" si="1"/>
        <v>7</v>
      </c>
      <c r="N707" s="13"/>
      <c r="O707" s="13"/>
      <c r="P707" s="29"/>
    </row>
    <row r="708">
      <c r="A708" s="15" t="s">
        <v>986</v>
      </c>
      <c r="B708" s="16">
        <v>35.0</v>
      </c>
      <c r="C708" s="16">
        <v>19.0</v>
      </c>
      <c r="D708" s="17">
        <v>44.861187747342</v>
      </c>
      <c r="E708" s="17">
        <v>-93.333208888077</v>
      </c>
      <c r="F708" s="16" t="s">
        <v>41</v>
      </c>
      <c r="G708" s="16" t="s">
        <v>17</v>
      </c>
      <c r="H708" s="18" t="s">
        <v>980</v>
      </c>
      <c r="I708" s="19">
        <v>6947.0</v>
      </c>
      <c r="J708" s="39"/>
      <c r="K708" s="11" t="str">
        <f>IFERROR(__xludf.DUMMYFUNCTION("IF(AND(REGEXMATCH($H708,""50( ?['fF]([oO]{2})?[tT]?)?( ?[eE][rR]{2}[oO][rR])"")=FALSE,$H708&lt;&gt;"""",$I708&lt;&gt;""""),HYPERLINK(""https://www.munzee.com/m/""&amp;$H708&amp;""/""&amp;$I708&amp;""/map/?lat=""&amp;$D708&amp;""&amp;lon=""&amp;$E708&amp;""&amp;type=""&amp;$G708&amp;""&amp;name=""&amp;SUBSTITUTE($A708,""#"&amp;""",""%23""),$H708&amp;""/""&amp;$I708),IF($H708&lt;&gt;"""",IF(REGEXMATCH($H708,""50( ?['fF]([oO]{2})?[tT]?)?( ?[eE][rR]{2}[oO][rR])""),HYPERLINK(""https://www.munzee.com/map/?sandbox=1&amp;lat=""&amp;$D708&amp;""&amp;lon=""&amp;$E708&amp;""&amp;name=""&amp;SUBSTITUTE($A708,""#"",""%23""),""SANDBOX"""&amp;"),HYPERLINK(""https://www.munzee.com/m/""&amp;$H708&amp;""/deploys/0/type/""&amp;IFNA(VLOOKUP($G708,IMPORTRANGE(""https://docs.google.com/spreadsheets/d/1DliIGyDywdzxhd4svtjaewR0p9Y5UBTMNMQ2PcXsqss"",""type data!E2:F""),2,FALSE),$G708)&amp;""/"",$H708)),""""))"),"MsYB/6947")</f>
        <v>MsYB/6947</v>
      </c>
      <c r="L708" s="19" t="b">
        <v>1</v>
      </c>
      <c r="M708" s="12">
        <f t="shared" si="1"/>
        <v>2</v>
      </c>
      <c r="N708" s="13"/>
      <c r="O708" s="13"/>
      <c r="P708" s="29"/>
    </row>
    <row r="709">
      <c r="A709" s="15" t="s">
        <v>987</v>
      </c>
      <c r="B709" s="16">
        <v>35.0</v>
      </c>
      <c r="C709" s="16">
        <v>20.0</v>
      </c>
      <c r="D709" s="17">
        <v>44.861187747162</v>
      </c>
      <c r="E709" s="17">
        <v>-93.333006113205</v>
      </c>
      <c r="F709" s="16" t="s">
        <v>41</v>
      </c>
      <c r="G709" s="16" t="s">
        <v>17</v>
      </c>
      <c r="H709" s="18" t="s">
        <v>988</v>
      </c>
      <c r="I709" s="19">
        <v>13038.0</v>
      </c>
      <c r="J709" s="21"/>
      <c r="K709" s="11" t="str">
        <f>IFERROR(__xludf.DUMMYFUNCTION("IF(AND(REGEXMATCH($H709,""50( ?['fF]([oO]{2})?[tT]?)?( ?[eE][rR]{2}[oO][rR])"")=FALSE,$H709&lt;&gt;"""",$I709&lt;&gt;""""),HYPERLINK(""https://www.munzee.com/m/""&amp;$H709&amp;""/""&amp;$I709&amp;""/map/?lat=""&amp;$D709&amp;""&amp;lon=""&amp;$E709&amp;""&amp;type=""&amp;$G709&amp;""&amp;name=""&amp;SUBSTITUTE($A709,""#"&amp;""",""%23""),$H709&amp;""/""&amp;$I709),IF($H709&lt;&gt;"""",IF(REGEXMATCH($H709,""50( ?['fF]([oO]{2})?[tT]?)?( ?[eE][rR]{2}[oO][rR])""),HYPERLINK(""https://www.munzee.com/map/?sandbox=1&amp;lat=""&amp;$D709&amp;""&amp;lon=""&amp;$E709&amp;""&amp;name=""&amp;SUBSTITUTE($A709,""#"",""%23""),""SANDBOX"""&amp;"),HYPERLINK(""https://www.munzee.com/m/""&amp;$H709&amp;""/deploys/0/type/""&amp;IFNA(VLOOKUP($G709,IMPORTRANGE(""https://docs.google.com/spreadsheets/d/1DliIGyDywdzxhd4svtjaewR0p9Y5UBTMNMQ2PcXsqss"",""type data!E2:F""),2,FALSE),$G709)&amp;""/"",$H709)),""""))"),"Belboz/13038")</f>
        <v>Belboz/13038</v>
      </c>
      <c r="L709" s="19" t="b">
        <v>1</v>
      </c>
      <c r="M709" s="12">
        <f t="shared" si="1"/>
        <v>1</v>
      </c>
      <c r="N709" s="13"/>
      <c r="O709" s="13"/>
      <c r="P709" s="29"/>
    </row>
    <row r="710">
      <c r="A710" s="15" t="s">
        <v>989</v>
      </c>
      <c r="B710" s="16">
        <v>35.0</v>
      </c>
      <c r="C710" s="16">
        <v>21.0</v>
      </c>
      <c r="D710" s="17">
        <v>44.861187746983</v>
      </c>
      <c r="E710" s="17">
        <v>-93.332803338333</v>
      </c>
      <c r="F710" s="16" t="s">
        <v>41</v>
      </c>
      <c r="G710" s="16" t="s">
        <v>17</v>
      </c>
      <c r="H710" s="18" t="s">
        <v>322</v>
      </c>
      <c r="I710" s="19">
        <v>5077.0</v>
      </c>
      <c r="J710" s="21"/>
      <c r="K710" s="11" t="str">
        <f>IFERROR(__xludf.DUMMYFUNCTION("IF(AND(REGEXMATCH($H710,""50( ?['fF]([oO]{2})?[tT]?)?( ?[eE][rR]{2}[oO][rR])"")=FALSE,$H710&lt;&gt;"""",$I710&lt;&gt;""""),HYPERLINK(""https://www.munzee.com/m/""&amp;$H710&amp;""/""&amp;$I710&amp;""/map/?lat=""&amp;$D710&amp;""&amp;lon=""&amp;$E710&amp;""&amp;type=""&amp;$G710&amp;""&amp;name=""&amp;SUBSTITUTE($A710,""#"&amp;""",""%23""),$H710&amp;""/""&amp;$I710),IF($H710&lt;&gt;"""",IF(REGEXMATCH($H710,""50( ?['fF]([oO]{2})?[tT]?)?( ?[eE][rR]{2}[oO][rR])""),HYPERLINK(""https://www.munzee.com/map/?sandbox=1&amp;lat=""&amp;$D710&amp;""&amp;lon=""&amp;$E710&amp;""&amp;name=""&amp;SUBSTITUTE($A710,""#"",""%23""),""SANDBOX"""&amp;"),HYPERLINK(""https://www.munzee.com/m/""&amp;$H710&amp;""/deploys/0/type/""&amp;IFNA(VLOOKUP($G710,IMPORTRANGE(""https://docs.google.com/spreadsheets/d/1DliIGyDywdzxhd4svtjaewR0p9Y5UBTMNMQ2PcXsqss"",""type data!E2:F""),2,FALSE),$G710)&amp;""/"",$H710)),""""))"),"donbadabon/5077")</f>
        <v>donbadabon/5077</v>
      </c>
      <c r="L710" s="19" t="b">
        <v>1</v>
      </c>
      <c r="M710" s="12">
        <f t="shared" si="1"/>
        <v>5</v>
      </c>
      <c r="N710" s="13"/>
      <c r="O710" s="13"/>
      <c r="P710" s="29"/>
    </row>
    <row r="711">
      <c r="A711" s="15" t="s">
        <v>990</v>
      </c>
      <c r="B711" s="16">
        <v>35.0</v>
      </c>
      <c r="C711" s="16">
        <v>22.0</v>
      </c>
      <c r="D711" s="17">
        <v>44.861187746804</v>
      </c>
      <c r="E711" s="17">
        <v>-93.332600563461</v>
      </c>
      <c r="F711" s="16" t="s">
        <v>41</v>
      </c>
      <c r="G711" s="16" t="s">
        <v>17</v>
      </c>
      <c r="H711" s="18" t="s">
        <v>273</v>
      </c>
      <c r="I711" s="19">
        <v>1940.0</v>
      </c>
      <c r="J711" s="21"/>
      <c r="K711" s="11" t="str">
        <f>IFERROR(__xludf.DUMMYFUNCTION("IF(AND(REGEXMATCH($H711,""50( ?['fF]([oO]{2})?[tT]?)?( ?[eE][rR]{2}[oO][rR])"")=FALSE,$H711&lt;&gt;"""",$I711&lt;&gt;""""),HYPERLINK(""https://www.munzee.com/m/""&amp;$H711&amp;""/""&amp;$I711&amp;""/map/?lat=""&amp;$D711&amp;""&amp;lon=""&amp;$E711&amp;""&amp;type=""&amp;$G711&amp;""&amp;name=""&amp;SUBSTITUTE($A711,""#"&amp;""",""%23""),$H711&amp;""/""&amp;$I711),IF($H711&lt;&gt;"""",IF(REGEXMATCH($H711,""50( ?['fF]([oO]{2})?[tT]?)?( ?[eE][rR]{2}[oO][rR])""),HYPERLINK(""https://www.munzee.com/map/?sandbox=1&amp;lat=""&amp;$D711&amp;""&amp;lon=""&amp;$E711&amp;""&amp;name=""&amp;SUBSTITUTE($A711,""#"",""%23""),""SANDBOX"""&amp;"),HYPERLINK(""https://www.munzee.com/m/""&amp;$H711&amp;""/deploys/0/type/""&amp;IFNA(VLOOKUP($G711,IMPORTRANGE(""https://docs.google.com/spreadsheets/d/1DliIGyDywdzxhd4svtjaewR0p9Y5UBTMNMQ2PcXsqss"",""type data!E2:F""),2,FALSE),$G711)&amp;""/"",$H711)),""""))"),"yhtak57/1940")</f>
        <v>yhtak57/1940</v>
      </c>
      <c r="L711" s="19" t="b">
        <v>1</v>
      </c>
      <c r="M711" s="12">
        <f t="shared" si="1"/>
        <v>12</v>
      </c>
      <c r="N711" s="13"/>
      <c r="O711" s="13"/>
      <c r="P711" s="29"/>
    </row>
    <row r="712">
      <c r="A712" s="15" t="s">
        <v>991</v>
      </c>
      <c r="B712" s="16">
        <v>35.0</v>
      </c>
      <c r="C712" s="16">
        <v>23.0</v>
      </c>
      <c r="D712" s="17">
        <v>44.861187746624</v>
      </c>
      <c r="E712" s="17">
        <v>-93.332397788589</v>
      </c>
      <c r="F712" s="16" t="s">
        <v>41</v>
      </c>
      <c r="G712" s="16" t="s">
        <v>17</v>
      </c>
      <c r="H712" s="18" t="s">
        <v>99</v>
      </c>
      <c r="I712" s="19">
        <v>1865.0</v>
      </c>
      <c r="J712" s="21"/>
      <c r="K712" s="11" t="str">
        <f>IFERROR(__xludf.DUMMYFUNCTION("IF(AND(REGEXMATCH($H712,""50( ?['fF]([oO]{2})?[tT]?)?( ?[eE][rR]{2}[oO][rR])"")=FALSE,$H712&lt;&gt;"""",$I712&lt;&gt;""""),HYPERLINK(""https://www.munzee.com/m/""&amp;$H712&amp;""/""&amp;$I712&amp;""/map/?lat=""&amp;$D712&amp;""&amp;lon=""&amp;$E712&amp;""&amp;type=""&amp;$G712&amp;""&amp;name=""&amp;SUBSTITUTE($A712,""#"&amp;""",""%23""),$H712&amp;""/""&amp;$I712),IF($H712&lt;&gt;"""",IF(REGEXMATCH($H712,""50( ?['fF]([oO]{2})?[tT]?)?( ?[eE][rR]{2}[oO][rR])""),HYPERLINK(""https://www.munzee.com/map/?sandbox=1&amp;lat=""&amp;$D712&amp;""&amp;lon=""&amp;$E712&amp;""&amp;name=""&amp;SUBSTITUTE($A712,""#"",""%23""),""SANDBOX"""&amp;"),HYPERLINK(""https://www.munzee.com/m/""&amp;$H712&amp;""/deploys/0/type/""&amp;IFNA(VLOOKUP($G712,IMPORTRANGE(""https://docs.google.com/spreadsheets/d/1DliIGyDywdzxhd4svtjaewR0p9Y5UBTMNMQ2PcXsqss"",""type data!E2:F""),2,FALSE),$G712)&amp;""/"",$H712)),""""))"),"jsamundson/1865")</f>
        <v>jsamundson/1865</v>
      </c>
      <c r="L712" s="19" t="b">
        <v>1</v>
      </c>
      <c r="M712" s="12">
        <f t="shared" si="1"/>
        <v>20</v>
      </c>
      <c r="N712" s="13"/>
      <c r="O712" s="13"/>
      <c r="P712" s="29"/>
    </row>
    <row r="713">
      <c r="A713" s="15" t="s">
        <v>992</v>
      </c>
      <c r="B713" s="16">
        <v>35.0</v>
      </c>
      <c r="C713" s="16">
        <v>24.0</v>
      </c>
      <c r="D713" s="17">
        <v>44.861187746445</v>
      </c>
      <c r="E713" s="17">
        <v>-93.332195013717</v>
      </c>
      <c r="F713" s="16" t="s">
        <v>41</v>
      </c>
      <c r="G713" s="16" t="s">
        <v>17</v>
      </c>
      <c r="H713" s="18" t="s">
        <v>583</v>
      </c>
      <c r="I713" s="19">
        <v>6469.0</v>
      </c>
      <c r="J713" s="21"/>
      <c r="K713" s="11" t="str">
        <f>IFERROR(__xludf.DUMMYFUNCTION("IF(AND(REGEXMATCH($H713,""50( ?['fF]([oO]{2})?[tT]?)?( ?[eE][rR]{2}[oO][rR])"")=FALSE,$H713&lt;&gt;"""",$I713&lt;&gt;""""),HYPERLINK(""https://www.munzee.com/m/""&amp;$H713&amp;""/""&amp;$I713&amp;""/map/?lat=""&amp;$D713&amp;""&amp;lon=""&amp;$E713&amp;""&amp;type=""&amp;$G713&amp;""&amp;name=""&amp;SUBSTITUTE($A713,""#"&amp;""",""%23""),$H713&amp;""/""&amp;$I713),IF($H713&lt;&gt;"""",IF(REGEXMATCH($H713,""50( ?['fF]([oO]{2})?[tT]?)?( ?[eE][rR]{2}[oO][rR])""),HYPERLINK(""https://www.munzee.com/map/?sandbox=1&amp;lat=""&amp;$D713&amp;""&amp;lon=""&amp;$E713&amp;""&amp;name=""&amp;SUBSTITUTE($A713,""#"",""%23""),""SANDBOX"""&amp;"),HYPERLINK(""https://www.munzee.com/m/""&amp;$H713&amp;""/deploys/0/type/""&amp;IFNA(VLOOKUP($G713,IMPORTRANGE(""https://docs.google.com/spreadsheets/d/1DliIGyDywdzxhd4svtjaewR0p9Y5UBTMNMQ2PcXsqss"",""type data!E2:F""),2,FALSE),$G713)&amp;""/"",$H713)),""""))"),"Traycee/6469")</f>
        <v>Traycee/6469</v>
      </c>
      <c r="L713" s="19" t="b">
        <v>1</v>
      </c>
      <c r="M713" s="12">
        <f t="shared" si="1"/>
        <v>5</v>
      </c>
      <c r="N713" s="13"/>
      <c r="O713" s="13"/>
      <c r="P713" s="29"/>
    </row>
    <row r="714">
      <c r="A714" s="15" t="s">
        <v>993</v>
      </c>
      <c r="B714" s="16">
        <v>35.0</v>
      </c>
      <c r="C714" s="16">
        <v>25.0</v>
      </c>
      <c r="D714" s="17">
        <v>44.861187746265</v>
      </c>
      <c r="E714" s="17">
        <v>-93.331992238845</v>
      </c>
      <c r="F714" s="16" t="s">
        <v>16</v>
      </c>
      <c r="G714" s="16" t="s">
        <v>17</v>
      </c>
      <c r="H714" s="33" t="s">
        <v>194</v>
      </c>
      <c r="I714" s="19">
        <v>8539.0</v>
      </c>
      <c r="J714" s="20"/>
      <c r="K714" s="11" t="str">
        <f>IFERROR(__xludf.DUMMYFUNCTION("IF(AND(REGEXMATCH($H714,""50( ?['fF]([oO]{2})?[tT]?)?( ?[eE][rR]{2}[oO][rR])"")=FALSE,$H714&lt;&gt;"""",$I714&lt;&gt;""""),HYPERLINK(""https://www.munzee.com/m/""&amp;$H714&amp;""/""&amp;$I714&amp;""/map/?lat=""&amp;$D714&amp;""&amp;lon=""&amp;$E714&amp;""&amp;type=""&amp;$G714&amp;""&amp;name=""&amp;SUBSTITUTE($A714,""#"&amp;""",""%23""),$H714&amp;""/""&amp;$I714),IF($H714&lt;&gt;"""",IF(REGEXMATCH($H714,""50( ?['fF]([oO]{2})?[tT]?)?( ?[eE][rR]{2}[oO][rR])""),HYPERLINK(""https://www.munzee.com/map/?sandbox=1&amp;lat=""&amp;$D714&amp;""&amp;lon=""&amp;$E714&amp;""&amp;name=""&amp;SUBSTITUTE($A714,""#"",""%23""),""SANDBOX"""&amp;"),HYPERLINK(""https://www.munzee.com/m/""&amp;$H714&amp;""/deploys/0/type/""&amp;IFNA(VLOOKUP($G714,IMPORTRANGE(""https://docs.google.com/spreadsheets/d/1DliIGyDywdzxhd4svtjaewR0p9Y5UBTMNMQ2PcXsqss"",""type data!E2:F""),2,FALSE),$G714)&amp;""/"",$H714)),""""))"),"warped6/8539")</f>
        <v>warped6/8539</v>
      </c>
      <c r="L714" s="19" t="b">
        <v>1</v>
      </c>
      <c r="M714" s="12">
        <f t="shared" si="1"/>
        <v>24</v>
      </c>
      <c r="N714" s="13"/>
      <c r="O714" s="13"/>
      <c r="P714" s="29"/>
    </row>
    <row r="715">
      <c r="A715" s="15" t="s">
        <v>994</v>
      </c>
      <c r="B715" s="16">
        <v>36.0</v>
      </c>
      <c r="C715" s="16">
        <v>4.0</v>
      </c>
      <c r="D715" s="17">
        <v>44.861044019588</v>
      </c>
      <c r="E715" s="17">
        <v>-93.336250520774</v>
      </c>
      <c r="F715" s="16" t="s">
        <v>16</v>
      </c>
      <c r="G715" s="16" t="s">
        <v>17</v>
      </c>
      <c r="H715" s="18" t="s">
        <v>275</v>
      </c>
      <c r="I715" s="19">
        <v>3213.0</v>
      </c>
      <c r="J715" s="21"/>
      <c r="K715" s="11" t="str">
        <f>IFERROR(__xludf.DUMMYFUNCTION("IF(AND(REGEXMATCH($H715,""50( ?['fF]([oO]{2})?[tT]?)?( ?[eE][rR]{2}[oO][rR])"")=FALSE,$H715&lt;&gt;"""",$I715&lt;&gt;""""),HYPERLINK(""https://www.munzee.com/m/""&amp;$H715&amp;""/""&amp;$I715&amp;""/map/?lat=""&amp;$D715&amp;""&amp;lon=""&amp;$E715&amp;""&amp;type=""&amp;$G715&amp;""&amp;name=""&amp;SUBSTITUTE($A715,""#"&amp;""",""%23""),$H715&amp;""/""&amp;$I715),IF($H715&lt;&gt;"""",IF(REGEXMATCH($H715,""50( ?['fF]([oO]{2})?[tT]?)?( ?[eE][rR]{2}[oO][rR])""),HYPERLINK(""https://www.munzee.com/map/?sandbox=1&amp;lat=""&amp;$D715&amp;""&amp;lon=""&amp;$E715&amp;""&amp;name=""&amp;SUBSTITUTE($A715,""#"",""%23""),""SANDBOX"""&amp;"),HYPERLINK(""https://www.munzee.com/m/""&amp;$H715&amp;""/deploys/0/type/""&amp;IFNA(VLOOKUP($G715,IMPORTRANGE(""https://docs.google.com/spreadsheets/d/1DliIGyDywdzxhd4svtjaewR0p9Y5UBTMNMQ2PcXsqss"",""type data!E2:F""),2,FALSE),$G715)&amp;""/"",$H715)),""""))"),"beckiweber/3213")</f>
        <v>beckiweber/3213</v>
      </c>
      <c r="L715" s="19" t="b">
        <v>1</v>
      </c>
      <c r="M715" s="12">
        <f t="shared" si="1"/>
        <v>5</v>
      </c>
      <c r="N715" s="13"/>
      <c r="O715" s="13"/>
      <c r="P715" s="29"/>
    </row>
    <row r="716">
      <c r="A716" s="15" t="s">
        <v>995</v>
      </c>
      <c r="B716" s="16">
        <v>36.0</v>
      </c>
      <c r="C716" s="16">
        <v>5.0</v>
      </c>
      <c r="D716" s="17">
        <v>44.861044019408</v>
      </c>
      <c r="E716" s="17">
        <v>-93.336047746408</v>
      </c>
      <c r="F716" s="16" t="s">
        <v>16</v>
      </c>
      <c r="G716" s="16" t="s">
        <v>17</v>
      </c>
      <c r="H716" s="18" t="s">
        <v>494</v>
      </c>
      <c r="I716" s="19">
        <v>729.0</v>
      </c>
      <c r="J716" s="21"/>
      <c r="K716" s="11" t="str">
        <f>IFERROR(__xludf.DUMMYFUNCTION("IF(AND(REGEXMATCH($H716,""50( ?['fF]([oO]{2})?[tT]?)?( ?[eE][rR]{2}[oO][rR])"")=FALSE,$H716&lt;&gt;"""",$I716&lt;&gt;""""),HYPERLINK(""https://www.munzee.com/m/""&amp;$H716&amp;""/""&amp;$I716&amp;""/map/?lat=""&amp;$D716&amp;""&amp;lon=""&amp;$E716&amp;""&amp;type=""&amp;$G716&amp;""&amp;name=""&amp;SUBSTITUTE($A716,""#"&amp;""",""%23""),$H716&amp;""/""&amp;$I716),IF($H716&lt;&gt;"""",IF(REGEXMATCH($H716,""50( ?['fF]([oO]{2})?[tT]?)?( ?[eE][rR]{2}[oO][rR])""),HYPERLINK(""https://www.munzee.com/map/?sandbox=1&amp;lat=""&amp;$D716&amp;""&amp;lon=""&amp;$E716&amp;""&amp;name=""&amp;SUBSTITUTE($A716,""#"",""%23""),""SANDBOX"""&amp;"),HYPERLINK(""https://www.munzee.com/m/""&amp;$H716&amp;""/deploys/0/type/""&amp;IFNA(VLOOKUP($G716,IMPORTRANGE(""https://docs.google.com/spreadsheets/d/1DliIGyDywdzxhd4svtjaewR0p9Y5UBTMNMQ2PcXsqss"",""type data!E2:F""),2,FALSE),$G716)&amp;""/"",$H716)),""""))"),"BarbMitchell/729")</f>
        <v>BarbMitchell/729</v>
      </c>
      <c r="L716" s="19" t="b">
        <v>1</v>
      </c>
      <c r="M716" s="12">
        <f t="shared" si="1"/>
        <v>10</v>
      </c>
      <c r="N716" s="13"/>
      <c r="O716" s="13"/>
      <c r="P716" s="29"/>
    </row>
    <row r="717">
      <c r="A717" s="15" t="s">
        <v>996</v>
      </c>
      <c r="B717" s="16">
        <v>36.0</v>
      </c>
      <c r="C717" s="16">
        <v>6.0</v>
      </c>
      <c r="D717" s="17">
        <v>44.861044019229</v>
      </c>
      <c r="E717" s="17">
        <v>-93.335844972043</v>
      </c>
      <c r="F717" s="16" t="s">
        <v>41</v>
      </c>
      <c r="G717" s="16" t="s">
        <v>17</v>
      </c>
      <c r="H717" s="18" t="s">
        <v>825</v>
      </c>
      <c r="I717" s="19">
        <v>8551.0</v>
      </c>
      <c r="J717" s="39"/>
      <c r="K717" s="11" t="str">
        <f>IFERROR(__xludf.DUMMYFUNCTION("IF(AND(REGEXMATCH($H717,""50( ?['fF]([oO]{2})?[tT]?)?( ?[eE][rR]{2}[oO][rR])"")=FALSE,$H717&lt;&gt;"""",$I717&lt;&gt;""""),HYPERLINK(""https://www.munzee.com/m/""&amp;$H717&amp;""/""&amp;$I717&amp;""/map/?lat=""&amp;$D717&amp;""&amp;lon=""&amp;$E717&amp;""&amp;type=""&amp;$G717&amp;""&amp;name=""&amp;SUBSTITUTE($A717,""#"&amp;""",""%23""),$H717&amp;""/""&amp;$I717),IF($H717&lt;&gt;"""",IF(REGEXMATCH($H717,""50( ?['fF]([oO]{2})?[tT]?)?( ?[eE][rR]{2}[oO][rR])""),HYPERLINK(""https://www.munzee.com/map/?sandbox=1&amp;lat=""&amp;$D717&amp;""&amp;lon=""&amp;$E717&amp;""&amp;name=""&amp;SUBSTITUTE($A717,""#"",""%23""),""SANDBOX"""&amp;"),HYPERLINK(""https://www.munzee.com/m/""&amp;$H717&amp;""/deploys/0/type/""&amp;IFNA(VLOOKUP($G717,IMPORTRANGE(""https://docs.google.com/spreadsheets/d/1DliIGyDywdzxhd4svtjaewR0p9Y5UBTMNMQ2PcXsqss"",""type data!E2:F""),2,FALSE),$G717)&amp;""/"",$H717)),""""))"),"wemissmo/8551")</f>
        <v>wemissmo/8551</v>
      </c>
      <c r="L717" s="19" t="b">
        <v>1</v>
      </c>
      <c r="M717" s="12">
        <f t="shared" si="1"/>
        <v>3</v>
      </c>
      <c r="N717" s="13"/>
      <c r="O717" s="13"/>
      <c r="P717" s="29"/>
    </row>
    <row r="718">
      <c r="A718" s="15" t="s">
        <v>997</v>
      </c>
      <c r="B718" s="16">
        <v>36.0</v>
      </c>
      <c r="C718" s="16">
        <v>7.0</v>
      </c>
      <c r="D718" s="17">
        <v>44.86104401905</v>
      </c>
      <c r="E718" s="17">
        <v>-93.335642197677</v>
      </c>
      <c r="F718" s="16" t="s">
        <v>41</v>
      </c>
      <c r="G718" s="16" t="s">
        <v>17</v>
      </c>
      <c r="H718" s="18" t="s">
        <v>275</v>
      </c>
      <c r="I718" s="19">
        <v>3212.0</v>
      </c>
      <c r="J718" s="21"/>
      <c r="K718" s="11" t="str">
        <f>IFERROR(__xludf.DUMMYFUNCTION("IF(AND(REGEXMATCH($H718,""50( ?['fF]([oO]{2})?[tT]?)?( ?[eE][rR]{2}[oO][rR])"")=FALSE,$H718&lt;&gt;"""",$I718&lt;&gt;""""),HYPERLINK(""https://www.munzee.com/m/""&amp;$H718&amp;""/""&amp;$I718&amp;""/map/?lat=""&amp;$D718&amp;""&amp;lon=""&amp;$E718&amp;""&amp;type=""&amp;$G718&amp;""&amp;name=""&amp;SUBSTITUTE($A718,""#"&amp;""",""%23""),$H718&amp;""/""&amp;$I718),IF($H718&lt;&gt;"""",IF(REGEXMATCH($H718,""50( ?['fF]([oO]{2})?[tT]?)?( ?[eE][rR]{2}[oO][rR])""),HYPERLINK(""https://www.munzee.com/map/?sandbox=1&amp;lat=""&amp;$D718&amp;""&amp;lon=""&amp;$E718&amp;""&amp;name=""&amp;SUBSTITUTE($A718,""#"",""%23""),""SANDBOX"""&amp;"),HYPERLINK(""https://www.munzee.com/m/""&amp;$H718&amp;""/deploys/0/type/""&amp;IFNA(VLOOKUP($G718,IMPORTRANGE(""https://docs.google.com/spreadsheets/d/1DliIGyDywdzxhd4svtjaewR0p9Y5UBTMNMQ2PcXsqss"",""type data!E2:F""),2,FALSE),$G718)&amp;""/"",$H718)),""""))"),"beckiweber/3212")</f>
        <v>beckiweber/3212</v>
      </c>
      <c r="L718" s="19" t="b">
        <v>1</v>
      </c>
      <c r="M718" s="12">
        <f t="shared" si="1"/>
        <v>5</v>
      </c>
      <c r="N718" s="13"/>
      <c r="O718" s="13"/>
      <c r="P718" s="29"/>
    </row>
    <row r="719">
      <c r="A719" s="15" t="s">
        <v>998</v>
      </c>
      <c r="B719" s="16">
        <v>36.0</v>
      </c>
      <c r="C719" s="16">
        <v>8.0</v>
      </c>
      <c r="D719" s="17">
        <v>44.86104401887</v>
      </c>
      <c r="E719" s="17">
        <v>-93.335439423311</v>
      </c>
      <c r="F719" s="16" t="s">
        <v>41</v>
      </c>
      <c r="G719" s="16" t="s">
        <v>17</v>
      </c>
      <c r="H719" s="18" t="s">
        <v>531</v>
      </c>
      <c r="I719" s="19">
        <v>7462.0</v>
      </c>
      <c r="J719" s="20"/>
      <c r="K719" s="11" t="str">
        <f>IFERROR(__xludf.DUMMYFUNCTION("IF(AND(REGEXMATCH($H719,""50( ?['fF]([oO]{2})?[tT]?)?( ?[eE][rR]{2}[oO][rR])"")=FALSE,$H719&lt;&gt;"""",$I719&lt;&gt;""""),HYPERLINK(""https://www.munzee.com/m/""&amp;$H719&amp;""/""&amp;$I719&amp;""/map/?lat=""&amp;$D719&amp;""&amp;lon=""&amp;$E719&amp;""&amp;type=""&amp;$G719&amp;""&amp;name=""&amp;SUBSTITUTE($A719,""#"&amp;""",""%23""),$H719&amp;""/""&amp;$I719),IF($H719&lt;&gt;"""",IF(REGEXMATCH($H719,""50( ?['fF]([oO]{2})?[tT]?)?( ?[eE][rR]{2}[oO][rR])""),HYPERLINK(""https://www.munzee.com/map/?sandbox=1&amp;lat=""&amp;$D719&amp;""&amp;lon=""&amp;$E719&amp;""&amp;name=""&amp;SUBSTITUTE($A719,""#"",""%23""),""SANDBOX"""&amp;"),HYPERLINK(""https://www.munzee.com/m/""&amp;$H719&amp;""/deploys/0/type/""&amp;IFNA(VLOOKUP($G719,IMPORTRANGE(""https://docs.google.com/spreadsheets/d/1DliIGyDywdzxhd4svtjaewR0p9Y5UBTMNMQ2PcXsqss"",""type data!E2:F""),2,FALSE),$G719)&amp;""/"",$H719)),""""))"),"QueenofDNile/7462")</f>
        <v>QueenofDNile/7462</v>
      </c>
      <c r="L719" s="19" t="b">
        <v>1</v>
      </c>
      <c r="M719" s="12">
        <f t="shared" si="1"/>
        <v>7</v>
      </c>
      <c r="N719" s="13"/>
      <c r="O719" s="13"/>
      <c r="P719" s="29"/>
    </row>
    <row r="720">
      <c r="A720" s="15" t="s">
        <v>999</v>
      </c>
      <c r="B720" s="16">
        <v>36.0</v>
      </c>
      <c r="C720" s="16">
        <v>9.0</v>
      </c>
      <c r="D720" s="17">
        <v>44.861044018691</v>
      </c>
      <c r="E720" s="17">
        <v>-93.335236648946</v>
      </c>
      <c r="F720" s="16" t="s">
        <v>41</v>
      </c>
      <c r="G720" s="16" t="s">
        <v>17</v>
      </c>
      <c r="H720" s="18" t="s">
        <v>1000</v>
      </c>
      <c r="I720" s="19">
        <v>8487.0</v>
      </c>
      <c r="J720" s="21"/>
      <c r="K720" s="11" t="str">
        <f>IFERROR(__xludf.DUMMYFUNCTION("IF(AND(REGEXMATCH($H720,""50( ?['fF]([oO]{2})?[tT]?)?( ?[eE][rR]{2}[oO][rR])"")=FALSE,$H720&lt;&gt;"""",$I720&lt;&gt;""""),HYPERLINK(""https://www.munzee.com/m/""&amp;$H720&amp;""/""&amp;$I720&amp;""/map/?lat=""&amp;$D720&amp;""&amp;lon=""&amp;$E720&amp;""&amp;type=""&amp;$G720&amp;""&amp;name=""&amp;SUBSTITUTE($A720,""#"&amp;""",""%23""),$H720&amp;""/""&amp;$I720),IF($H720&lt;&gt;"""",IF(REGEXMATCH($H720,""50( ?['fF]([oO]{2})?[tT]?)?( ?[eE][rR]{2}[oO][rR])""),HYPERLINK(""https://www.munzee.com/map/?sandbox=1&amp;lat=""&amp;$D720&amp;""&amp;lon=""&amp;$E720&amp;""&amp;name=""&amp;SUBSTITUTE($A720,""#"",""%23""),""SANDBOX"""&amp;"),HYPERLINK(""https://www.munzee.com/m/""&amp;$H720&amp;""/deploys/0/type/""&amp;IFNA(VLOOKUP($G720,IMPORTRANGE(""https://docs.google.com/spreadsheets/d/1DliIGyDywdzxhd4svtjaewR0p9Y5UBTMNMQ2PcXsqss"",""type data!E2:F""),2,FALSE),$G720)&amp;""/"",$H720)),""""))"),"ChickenRun/8487")</f>
        <v>ChickenRun/8487</v>
      </c>
      <c r="L720" s="19" t="b">
        <v>1</v>
      </c>
      <c r="M720" s="12">
        <f t="shared" si="1"/>
        <v>5</v>
      </c>
      <c r="N720" s="13"/>
      <c r="O720" s="13"/>
      <c r="P720" s="29"/>
    </row>
    <row r="721">
      <c r="A721" s="15" t="s">
        <v>1001</v>
      </c>
      <c r="B721" s="16">
        <v>36.0</v>
      </c>
      <c r="C721" s="16">
        <v>10.0</v>
      </c>
      <c r="D721" s="17">
        <v>44.861044018511</v>
      </c>
      <c r="E721" s="17">
        <v>-93.33503387458</v>
      </c>
      <c r="F721" s="16" t="s">
        <v>41</v>
      </c>
      <c r="G721" s="16" t="s">
        <v>17</v>
      </c>
      <c r="H721" s="18" t="s">
        <v>275</v>
      </c>
      <c r="I721" s="19">
        <v>3211.0</v>
      </c>
      <c r="J721" s="21"/>
      <c r="K721" s="11" t="str">
        <f>IFERROR(__xludf.DUMMYFUNCTION("IF(AND(REGEXMATCH($H721,""50( ?['fF]([oO]{2})?[tT]?)?( ?[eE][rR]{2}[oO][rR])"")=FALSE,$H721&lt;&gt;"""",$I721&lt;&gt;""""),HYPERLINK(""https://www.munzee.com/m/""&amp;$H721&amp;""/""&amp;$I721&amp;""/map/?lat=""&amp;$D721&amp;""&amp;lon=""&amp;$E721&amp;""&amp;type=""&amp;$G721&amp;""&amp;name=""&amp;SUBSTITUTE($A721,""#"&amp;""",""%23""),$H721&amp;""/""&amp;$I721),IF($H721&lt;&gt;"""",IF(REGEXMATCH($H721,""50( ?['fF]([oO]{2})?[tT]?)?( ?[eE][rR]{2}[oO][rR])""),HYPERLINK(""https://www.munzee.com/map/?sandbox=1&amp;lat=""&amp;$D721&amp;""&amp;lon=""&amp;$E721&amp;""&amp;name=""&amp;SUBSTITUTE($A721,""#"",""%23""),""SANDBOX"""&amp;"),HYPERLINK(""https://www.munzee.com/m/""&amp;$H721&amp;""/deploys/0/type/""&amp;IFNA(VLOOKUP($G721,IMPORTRANGE(""https://docs.google.com/spreadsheets/d/1DliIGyDywdzxhd4svtjaewR0p9Y5UBTMNMQ2PcXsqss"",""type data!E2:F""),2,FALSE),$G721)&amp;""/"",$H721)),""""))"),"beckiweber/3211")</f>
        <v>beckiweber/3211</v>
      </c>
      <c r="L721" s="19" t="b">
        <v>1</v>
      </c>
      <c r="M721" s="12">
        <f t="shared" si="1"/>
        <v>5</v>
      </c>
      <c r="N721" s="13"/>
      <c r="O721" s="13"/>
      <c r="P721" s="29"/>
    </row>
    <row r="722">
      <c r="A722" s="15" t="s">
        <v>1002</v>
      </c>
      <c r="B722" s="16">
        <v>36.0</v>
      </c>
      <c r="C722" s="16">
        <v>11.0</v>
      </c>
      <c r="D722" s="17">
        <v>44.861044018332</v>
      </c>
      <c r="E722" s="17">
        <v>-93.334831100214</v>
      </c>
      <c r="F722" s="16" t="s">
        <v>41</v>
      </c>
      <c r="G722" s="16" t="s">
        <v>17</v>
      </c>
      <c r="H722" s="18" t="s">
        <v>531</v>
      </c>
      <c r="I722" s="19">
        <v>7460.0</v>
      </c>
      <c r="J722" s="20"/>
      <c r="K722" s="11" t="str">
        <f>IFERROR(__xludf.DUMMYFUNCTION("IF(AND(REGEXMATCH($H722,""50( ?['fF]([oO]{2})?[tT]?)?( ?[eE][rR]{2}[oO][rR])"")=FALSE,$H722&lt;&gt;"""",$I722&lt;&gt;""""),HYPERLINK(""https://www.munzee.com/m/""&amp;$H722&amp;""/""&amp;$I722&amp;""/map/?lat=""&amp;$D722&amp;""&amp;lon=""&amp;$E722&amp;""&amp;type=""&amp;$G722&amp;""&amp;name=""&amp;SUBSTITUTE($A722,""#"&amp;""",""%23""),$H722&amp;""/""&amp;$I722),IF($H722&lt;&gt;"""",IF(REGEXMATCH($H722,""50( ?['fF]([oO]{2})?[tT]?)?( ?[eE][rR]{2}[oO][rR])""),HYPERLINK(""https://www.munzee.com/map/?sandbox=1&amp;lat=""&amp;$D722&amp;""&amp;lon=""&amp;$E722&amp;""&amp;name=""&amp;SUBSTITUTE($A722,""#"",""%23""),""SANDBOX"""&amp;"),HYPERLINK(""https://www.munzee.com/m/""&amp;$H722&amp;""/deploys/0/type/""&amp;IFNA(VLOOKUP($G722,IMPORTRANGE(""https://docs.google.com/spreadsheets/d/1DliIGyDywdzxhd4svtjaewR0p9Y5UBTMNMQ2PcXsqss"",""type data!E2:F""),2,FALSE),$G722)&amp;""/"",$H722)),""""))"),"QueenofDNile/7460")</f>
        <v>QueenofDNile/7460</v>
      </c>
      <c r="L722" s="19" t="b">
        <v>1</v>
      </c>
      <c r="M722" s="12">
        <f t="shared" si="1"/>
        <v>7</v>
      </c>
      <c r="N722" s="13"/>
      <c r="O722" s="13"/>
      <c r="P722" s="29"/>
    </row>
    <row r="723">
      <c r="A723" s="15" t="s">
        <v>1003</v>
      </c>
      <c r="B723" s="16">
        <v>36.0</v>
      </c>
      <c r="C723" s="16">
        <v>12.0</v>
      </c>
      <c r="D723" s="17">
        <v>44.861044018153</v>
      </c>
      <c r="E723" s="17">
        <v>-93.334628325848</v>
      </c>
      <c r="F723" s="16" t="s">
        <v>41</v>
      </c>
      <c r="G723" s="16" t="s">
        <v>17</v>
      </c>
      <c r="H723" s="18" t="s">
        <v>273</v>
      </c>
      <c r="I723" s="19">
        <v>1941.0</v>
      </c>
      <c r="J723" s="21"/>
      <c r="K723" s="11" t="str">
        <f>IFERROR(__xludf.DUMMYFUNCTION("IF(AND(REGEXMATCH($H723,""50( ?['fF]([oO]{2})?[tT]?)?( ?[eE][rR]{2}[oO][rR])"")=FALSE,$H723&lt;&gt;"""",$I723&lt;&gt;""""),HYPERLINK(""https://www.munzee.com/m/""&amp;$H723&amp;""/""&amp;$I723&amp;""/map/?lat=""&amp;$D723&amp;""&amp;lon=""&amp;$E723&amp;""&amp;type=""&amp;$G723&amp;""&amp;name=""&amp;SUBSTITUTE($A723,""#"&amp;""",""%23""),$H723&amp;""/""&amp;$I723),IF($H723&lt;&gt;"""",IF(REGEXMATCH($H723,""50( ?['fF]([oO]{2})?[tT]?)?( ?[eE][rR]{2}[oO][rR])""),HYPERLINK(""https://www.munzee.com/map/?sandbox=1&amp;lat=""&amp;$D723&amp;""&amp;lon=""&amp;$E723&amp;""&amp;name=""&amp;SUBSTITUTE($A723,""#"",""%23""),""SANDBOX"""&amp;"),HYPERLINK(""https://www.munzee.com/m/""&amp;$H723&amp;""/deploys/0/type/""&amp;IFNA(VLOOKUP($G723,IMPORTRANGE(""https://docs.google.com/spreadsheets/d/1DliIGyDywdzxhd4svtjaewR0p9Y5UBTMNMQ2PcXsqss"",""type data!E2:F""),2,FALSE),$G723)&amp;""/"",$H723)),""""))"),"yhtak57/1941")</f>
        <v>yhtak57/1941</v>
      </c>
      <c r="L723" s="19" t="b">
        <v>1</v>
      </c>
      <c r="M723" s="12">
        <f t="shared" si="1"/>
        <v>12</v>
      </c>
      <c r="N723" s="13"/>
      <c r="O723" s="13"/>
      <c r="P723" s="29"/>
    </row>
    <row r="724">
      <c r="A724" s="15" t="s">
        <v>1004</v>
      </c>
      <c r="B724" s="16">
        <v>36.0</v>
      </c>
      <c r="C724" s="16">
        <v>13.0</v>
      </c>
      <c r="D724" s="17">
        <v>44.861044017973</v>
      </c>
      <c r="E724" s="17">
        <v>-93.334425551483</v>
      </c>
      <c r="F724" s="16" t="s">
        <v>16</v>
      </c>
      <c r="G724" s="16" t="s">
        <v>17</v>
      </c>
      <c r="H724" s="18" t="s">
        <v>1005</v>
      </c>
      <c r="I724" s="19">
        <v>1159.0</v>
      </c>
      <c r="J724" s="21"/>
      <c r="K724" s="11" t="str">
        <f>IFERROR(__xludf.DUMMYFUNCTION("IF(AND(REGEXMATCH($H724,""50( ?['fF]([oO]{2})?[tT]?)?( ?[eE][rR]{2}[oO][rR])"")=FALSE,$H724&lt;&gt;"""",$I724&lt;&gt;""""),HYPERLINK(""https://www.munzee.com/m/""&amp;$H724&amp;""/""&amp;$I724&amp;""/map/?lat=""&amp;$D724&amp;""&amp;lon=""&amp;$E724&amp;""&amp;type=""&amp;$G724&amp;""&amp;name=""&amp;SUBSTITUTE($A724,""#"&amp;""",""%23""),$H724&amp;""/""&amp;$I724),IF($H724&lt;&gt;"""",IF(REGEXMATCH($H724,""50( ?['fF]([oO]{2})?[tT]?)?( ?[eE][rR]{2}[oO][rR])""),HYPERLINK(""https://www.munzee.com/map/?sandbox=1&amp;lat=""&amp;$D724&amp;""&amp;lon=""&amp;$E724&amp;""&amp;name=""&amp;SUBSTITUTE($A724,""#"",""%23""),""SANDBOX"""&amp;"),HYPERLINK(""https://www.munzee.com/m/""&amp;$H724&amp;""/deploys/0/type/""&amp;IFNA(VLOOKUP($G724,IMPORTRANGE(""https://docs.google.com/spreadsheets/d/1DliIGyDywdzxhd4svtjaewR0p9Y5UBTMNMQ2PcXsqss"",""type data!E2:F""),2,FALSE),$G724)&amp;""/"",$H724)),""""))"),"misstee/1159")</f>
        <v>misstee/1159</v>
      </c>
      <c r="L724" s="19" t="b">
        <v>1</v>
      </c>
      <c r="M724" s="12">
        <f t="shared" si="1"/>
        <v>1</v>
      </c>
      <c r="N724" s="13"/>
      <c r="O724" s="13"/>
      <c r="P724" s="29"/>
    </row>
    <row r="725">
      <c r="A725" s="15" t="s">
        <v>1006</v>
      </c>
      <c r="B725" s="16">
        <v>36.0</v>
      </c>
      <c r="C725" s="16">
        <v>16.0</v>
      </c>
      <c r="D725" s="17">
        <v>44.861044017435</v>
      </c>
      <c r="E725" s="17">
        <v>-93.333817228385</v>
      </c>
      <c r="F725" s="16" t="s">
        <v>16</v>
      </c>
      <c r="G725" s="16" t="s">
        <v>17</v>
      </c>
      <c r="H725" s="18" t="s">
        <v>494</v>
      </c>
      <c r="I725" s="19">
        <v>744.0</v>
      </c>
      <c r="J725" s="21"/>
      <c r="K725" s="11" t="str">
        <f>IFERROR(__xludf.DUMMYFUNCTION("IF(AND(REGEXMATCH($H725,""50( ?['fF]([oO]{2})?[tT]?)?( ?[eE][rR]{2}[oO][rR])"")=FALSE,$H725&lt;&gt;"""",$I725&lt;&gt;""""),HYPERLINK(""https://www.munzee.com/m/""&amp;$H725&amp;""/""&amp;$I725&amp;""/map/?lat=""&amp;$D725&amp;""&amp;lon=""&amp;$E725&amp;""&amp;type=""&amp;$G725&amp;""&amp;name=""&amp;SUBSTITUTE($A725,""#"&amp;""",""%23""),$H725&amp;""/""&amp;$I725),IF($H725&lt;&gt;"""",IF(REGEXMATCH($H725,""50( ?['fF]([oO]{2})?[tT]?)?( ?[eE][rR]{2}[oO][rR])""),HYPERLINK(""https://www.munzee.com/map/?sandbox=1&amp;lat=""&amp;$D725&amp;""&amp;lon=""&amp;$E725&amp;""&amp;name=""&amp;SUBSTITUTE($A725,""#"",""%23""),""SANDBOX"""&amp;"),HYPERLINK(""https://www.munzee.com/m/""&amp;$H725&amp;""/deploys/0/type/""&amp;IFNA(VLOOKUP($G725,IMPORTRANGE(""https://docs.google.com/spreadsheets/d/1DliIGyDywdzxhd4svtjaewR0p9Y5UBTMNMQ2PcXsqss"",""type data!E2:F""),2,FALSE),$G725)&amp;""/"",$H725)),""""))"),"BarbMitchell/744")</f>
        <v>BarbMitchell/744</v>
      </c>
      <c r="L725" s="19" t="b">
        <v>1</v>
      </c>
      <c r="M725" s="12">
        <f t="shared" si="1"/>
        <v>10</v>
      </c>
      <c r="N725" s="13"/>
      <c r="O725" s="13"/>
      <c r="P725" s="29"/>
    </row>
    <row r="726">
      <c r="A726" s="15" t="s">
        <v>1007</v>
      </c>
      <c r="B726" s="16">
        <v>36.0</v>
      </c>
      <c r="C726" s="16">
        <v>17.0</v>
      </c>
      <c r="D726" s="17">
        <v>44.861044017256</v>
      </c>
      <c r="E726" s="17">
        <v>-93.33361445402</v>
      </c>
      <c r="F726" s="16" t="s">
        <v>41</v>
      </c>
      <c r="G726" s="16" t="s">
        <v>17</v>
      </c>
      <c r="H726" s="18" t="s">
        <v>99</v>
      </c>
      <c r="I726" s="19">
        <v>1861.0</v>
      </c>
      <c r="J726" s="21"/>
      <c r="K726" s="11" t="str">
        <f>IFERROR(__xludf.DUMMYFUNCTION("IF(AND(REGEXMATCH($H726,""50( ?['fF]([oO]{2})?[tT]?)?( ?[eE][rR]{2}[oO][rR])"")=FALSE,$H726&lt;&gt;"""",$I726&lt;&gt;""""),HYPERLINK(""https://www.munzee.com/m/""&amp;$H726&amp;""/""&amp;$I726&amp;""/map/?lat=""&amp;$D726&amp;""&amp;lon=""&amp;$E726&amp;""&amp;type=""&amp;$G726&amp;""&amp;name=""&amp;SUBSTITUTE($A726,""#"&amp;""",""%23""),$H726&amp;""/""&amp;$I726),IF($H726&lt;&gt;"""",IF(REGEXMATCH($H726,""50( ?['fF]([oO]{2})?[tT]?)?( ?[eE][rR]{2}[oO][rR])""),HYPERLINK(""https://www.munzee.com/map/?sandbox=1&amp;lat=""&amp;$D726&amp;""&amp;lon=""&amp;$E726&amp;""&amp;name=""&amp;SUBSTITUTE($A726,""#"",""%23""),""SANDBOX"""&amp;"),HYPERLINK(""https://www.munzee.com/m/""&amp;$H726&amp;""/deploys/0/type/""&amp;IFNA(VLOOKUP($G726,IMPORTRANGE(""https://docs.google.com/spreadsheets/d/1DliIGyDywdzxhd4svtjaewR0p9Y5UBTMNMQ2PcXsqss"",""type data!E2:F""),2,FALSE),$G726)&amp;""/"",$H726)),""""))"),"jsamundson/1861")</f>
        <v>jsamundson/1861</v>
      </c>
      <c r="L726" s="19" t="b">
        <v>1</v>
      </c>
      <c r="M726" s="12">
        <f t="shared" si="1"/>
        <v>20</v>
      </c>
      <c r="N726" s="13"/>
      <c r="O726" s="13"/>
      <c r="P726" s="29"/>
    </row>
    <row r="727">
      <c r="A727" s="15" t="s">
        <v>1008</v>
      </c>
      <c r="B727" s="16">
        <v>36.0</v>
      </c>
      <c r="C727" s="16">
        <v>18.0</v>
      </c>
      <c r="D727" s="17">
        <v>44.861044017076</v>
      </c>
      <c r="E727" s="17">
        <v>-93.333411679654</v>
      </c>
      <c r="F727" s="16" t="s">
        <v>41</v>
      </c>
      <c r="G727" s="16" t="s">
        <v>17</v>
      </c>
      <c r="H727" s="18" t="s">
        <v>95</v>
      </c>
      <c r="I727" s="19">
        <v>1690.0</v>
      </c>
      <c r="J727" s="21"/>
      <c r="K727" s="11" t="str">
        <f>IFERROR(__xludf.DUMMYFUNCTION("IF(AND(REGEXMATCH($H727,""50( ?['fF]([oO]{2})?[tT]?)?( ?[eE][rR]{2}[oO][rR])"")=FALSE,$H727&lt;&gt;"""",$I727&lt;&gt;""""),HYPERLINK(""https://www.munzee.com/m/""&amp;$H727&amp;""/""&amp;$I727&amp;""/map/?lat=""&amp;$D727&amp;""&amp;lon=""&amp;$E727&amp;""&amp;type=""&amp;$G727&amp;""&amp;name=""&amp;SUBSTITUTE($A727,""#"&amp;""",""%23""),$H727&amp;""/""&amp;$I727),IF($H727&lt;&gt;"""",IF(REGEXMATCH($H727,""50( ?['fF]([oO]{2})?[tT]?)?( ?[eE][rR]{2}[oO][rR])""),HYPERLINK(""https://www.munzee.com/map/?sandbox=1&amp;lat=""&amp;$D727&amp;""&amp;lon=""&amp;$E727&amp;""&amp;name=""&amp;SUBSTITUTE($A727,""#"",""%23""),""SANDBOX"""&amp;"),HYPERLINK(""https://www.munzee.com/m/""&amp;$H727&amp;""/deploys/0/type/""&amp;IFNA(VLOOKUP($G727,IMPORTRANGE(""https://docs.google.com/spreadsheets/d/1DliIGyDywdzxhd4svtjaewR0p9Y5UBTMNMQ2PcXsqss"",""type data!E2:F""),2,FALSE),$G727)&amp;""/"",$H727)),""""))"),"munzeepa/1690")</f>
        <v>munzeepa/1690</v>
      </c>
      <c r="L727" s="19" t="b">
        <v>1</v>
      </c>
      <c r="M727" s="12">
        <f t="shared" si="1"/>
        <v>20</v>
      </c>
      <c r="N727" s="13"/>
      <c r="O727" s="13"/>
      <c r="P727" s="29"/>
    </row>
    <row r="728">
      <c r="A728" s="15" t="s">
        <v>1009</v>
      </c>
      <c r="B728" s="16">
        <v>36.0</v>
      </c>
      <c r="C728" s="16">
        <v>19.0</v>
      </c>
      <c r="D728" s="17">
        <v>44.861044016897</v>
      </c>
      <c r="E728" s="17">
        <v>-93.333208905288</v>
      </c>
      <c r="F728" s="16" t="s">
        <v>41</v>
      </c>
      <c r="G728" s="16" t="s">
        <v>17</v>
      </c>
      <c r="H728" s="18" t="s">
        <v>275</v>
      </c>
      <c r="I728" s="19">
        <v>3198.0</v>
      </c>
      <c r="J728" s="21"/>
      <c r="K728" s="11" t="str">
        <f>IFERROR(__xludf.DUMMYFUNCTION("IF(AND(REGEXMATCH($H728,""50( ?['fF]([oO]{2})?[tT]?)?( ?[eE][rR]{2}[oO][rR])"")=FALSE,$H728&lt;&gt;"""",$I728&lt;&gt;""""),HYPERLINK(""https://www.munzee.com/m/""&amp;$H728&amp;""/""&amp;$I728&amp;""/map/?lat=""&amp;$D728&amp;""&amp;lon=""&amp;$E728&amp;""&amp;type=""&amp;$G728&amp;""&amp;name=""&amp;SUBSTITUTE($A728,""#"&amp;""",""%23""),$H728&amp;""/""&amp;$I728),IF($H728&lt;&gt;"""",IF(REGEXMATCH($H728,""50( ?['fF]([oO]{2})?[tT]?)?( ?[eE][rR]{2}[oO][rR])""),HYPERLINK(""https://www.munzee.com/map/?sandbox=1&amp;lat=""&amp;$D728&amp;""&amp;lon=""&amp;$E728&amp;""&amp;name=""&amp;SUBSTITUTE($A728,""#"",""%23""),""SANDBOX"""&amp;"),HYPERLINK(""https://www.munzee.com/m/""&amp;$H728&amp;""/deploys/0/type/""&amp;IFNA(VLOOKUP($G728,IMPORTRANGE(""https://docs.google.com/spreadsheets/d/1DliIGyDywdzxhd4svtjaewR0p9Y5UBTMNMQ2PcXsqss"",""type data!E2:F""),2,FALSE),$G728)&amp;""/"",$H728)),""""))"),"beckiweber/3198")</f>
        <v>beckiweber/3198</v>
      </c>
      <c r="L728" s="19" t="b">
        <v>1</v>
      </c>
      <c r="M728" s="12">
        <f t="shared" si="1"/>
        <v>5</v>
      </c>
      <c r="N728" s="13"/>
      <c r="O728" s="13"/>
      <c r="P728" s="29"/>
    </row>
    <row r="729">
      <c r="A729" s="15" t="s">
        <v>1010</v>
      </c>
      <c r="B729" s="16">
        <v>36.0</v>
      </c>
      <c r="C729" s="16">
        <v>20.0</v>
      </c>
      <c r="D729" s="17">
        <v>44.861044016717</v>
      </c>
      <c r="E729" s="17">
        <v>-93.333006130922</v>
      </c>
      <c r="F729" s="16" t="s">
        <v>41</v>
      </c>
      <c r="G729" s="16" t="s">
        <v>17</v>
      </c>
      <c r="H729" s="18" t="s">
        <v>531</v>
      </c>
      <c r="I729" s="19">
        <v>7387.0</v>
      </c>
      <c r="J729" s="20"/>
      <c r="K729" s="11" t="str">
        <f>IFERROR(__xludf.DUMMYFUNCTION("IF(AND(REGEXMATCH($H729,""50( ?['fF]([oO]{2})?[tT]?)?( ?[eE][rR]{2}[oO][rR])"")=FALSE,$H729&lt;&gt;"""",$I729&lt;&gt;""""),HYPERLINK(""https://www.munzee.com/m/""&amp;$H729&amp;""/""&amp;$I729&amp;""/map/?lat=""&amp;$D729&amp;""&amp;lon=""&amp;$E729&amp;""&amp;type=""&amp;$G729&amp;""&amp;name=""&amp;SUBSTITUTE($A729,""#"&amp;""",""%23""),$H729&amp;""/""&amp;$I729),IF($H729&lt;&gt;"""",IF(REGEXMATCH($H729,""50( ?['fF]([oO]{2})?[tT]?)?( ?[eE][rR]{2}[oO][rR])""),HYPERLINK(""https://www.munzee.com/map/?sandbox=1&amp;lat=""&amp;$D729&amp;""&amp;lon=""&amp;$E729&amp;""&amp;name=""&amp;SUBSTITUTE($A729,""#"",""%23""),""SANDBOX"""&amp;"),HYPERLINK(""https://www.munzee.com/m/""&amp;$H729&amp;""/deploys/0/type/""&amp;IFNA(VLOOKUP($G729,IMPORTRANGE(""https://docs.google.com/spreadsheets/d/1DliIGyDywdzxhd4svtjaewR0p9Y5UBTMNMQ2PcXsqss"",""type data!E2:F""),2,FALSE),$G729)&amp;""/"",$H729)),""""))"),"QueenofDNile/7387")</f>
        <v>QueenofDNile/7387</v>
      </c>
      <c r="L729" s="19" t="b">
        <v>1</v>
      </c>
      <c r="M729" s="12">
        <f t="shared" si="1"/>
        <v>7</v>
      </c>
      <c r="N729" s="13"/>
      <c r="O729" s="13"/>
      <c r="P729" s="29"/>
    </row>
    <row r="730">
      <c r="A730" s="15" t="s">
        <v>1011</v>
      </c>
      <c r="B730" s="16">
        <v>36.0</v>
      </c>
      <c r="C730" s="16">
        <v>21.0</v>
      </c>
      <c r="D730" s="17">
        <v>44.861044016538</v>
      </c>
      <c r="E730" s="17">
        <v>-93.332803356557</v>
      </c>
      <c r="F730" s="16" t="s">
        <v>41</v>
      </c>
      <c r="G730" s="16" t="s">
        <v>17</v>
      </c>
      <c r="H730" s="18" t="s">
        <v>154</v>
      </c>
      <c r="I730" s="19">
        <v>7702.0</v>
      </c>
      <c r="J730" s="20"/>
      <c r="K730" s="11" t="str">
        <f>IFERROR(__xludf.DUMMYFUNCTION("IF(AND(REGEXMATCH($H730,""50( ?['fF]([oO]{2})?[tT]?)?( ?[eE][rR]{2}[oO][rR])"")=FALSE,$H730&lt;&gt;"""",$I730&lt;&gt;""""),HYPERLINK(""https://www.munzee.com/m/""&amp;$H730&amp;""/""&amp;$I730&amp;""/map/?lat=""&amp;$D730&amp;""&amp;lon=""&amp;$E730&amp;""&amp;type=""&amp;$G730&amp;""&amp;name=""&amp;SUBSTITUTE($A730,""#"&amp;""",""%23""),$H730&amp;""/""&amp;$I730),IF($H730&lt;&gt;"""",IF(REGEXMATCH($H730,""50( ?['fF]([oO]{2})?[tT]?)?( ?[eE][rR]{2}[oO][rR])""),HYPERLINK(""https://www.munzee.com/map/?sandbox=1&amp;lat=""&amp;$D730&amp;""&amp;lon=""&amp;$E730&amp;""&amp;name=""&amp;SUBSTITUTE($A730,""#"",""%23""),""SANDBOX"""&amp;"),HYPERLINK(""https://www.munzee.com/m/""&amp;$H730&amp;""/deploys/0/type/""&amp;IFNA(VLOOKUP($G730,IMPORTRANGE(""https://docs.google.com/spreadsheets/d/1DliIGyDywdzxhd4svtjaewR0p9Y5UBTMNMQ2PcXsqss"",""type data!E2:F""),2,FALSE),$G730)&amp;""/"",$H730)),""""))"),"geomatrix /7702")</f>
        <v>geomatrix /7702</v>
      </c>
      <c r="L730" s="19" t="b">
        <v>1</v>
      </c>
      <c r="M730" s="12">
        <f t="shared" si="1"/>
        <v>5</v>
      </c>
      <c r="N730" s="13"/>
      <c r="O730" s="13"/>
      <c r="P730" s="29"/>
    </row>
    <row r="731">
      <c r="A731" s="15" t="s">
        <v>1012</v>
      </c>
      <c r="B731" s="16">
        <v>36.0</v>
      </c>
      <c r="C731" s="16">
        <v>22.0</v>
      </c>
      <c r="D731" s="17">
        <v>44.861044016359</v>
      </c>
      <c r="E731" s="17">
        <v>-93.332600582191</v>
      </c>
      <c r="F731" s="16" t="s">
        <v>41</v>
      </c>
      <c r="G731" s="16" t="s">
        <v>17</v>
      </c>
      <c r="H731" s="18" t="s">
        <v>1013</v>
      </c>
      <c r="I731" s="19">
        <v>1433.0</v>
      </c>
      <c r="J731" s="20"/>
      <c r="K731" s="11" t="str">
        <f>IFERROR(__xludf.DUMMYFUNCTION("IF(AND(REGEXMATCH($H731,""50( ?['fF]([oO]{2})?[tT]?)?( ?[eE][rR]{2}[oO][rR])"")=FALSE,$H731&lt;&gt;"""",$I731&lt;&gt;""""),HYPERLINK(""https://www.munzee.com/m/""&amp;$H731&amp;""/""&amp;$I731&amp;""/map/?lat=""&amp;$D731&amp;""&amp;lon=""&amp;$E731&amp;""&amp;type=""&amp;$G731&amp;""&amp;name=""&amp;SUBSTITUTE($A731,""#"&amp;""",""%23""),$H731&amp;""/""&amp;$I731),IF($H731&lt;&gt;"""",IF(REGEXMATCH($H731,""50( ?['fF]([oO]{2})?[tT]?)?( ?[eE][rR]{2}[oO][rR])""),HYPERLINK(""https://www.munzee.com/map/?sandbox=1&amp;lat=""&amp;$D731&amp;""&amp;lon=""&amp;$E731&amp;""&amp;name=""&amp;SUBSTITUTE($A731,""#"",""%23""),""SANDBOX"""&amp;"),HYPERLINK(""https://www.munzee.com/m/""&amp;$H731&amp;""/deploys/0/type/""&amp;IFNA(VLOOKUP($G731,IMPORTRANGE(""https://docs.google.com/spreadsheets/d/1DliIGyDywdzxhd4svtjaewR0p9Y5UBTMNMQ2PcXsqss"",""type data!E2:F""),2,FALSE),$G731)&amp;""/"",$H731)),""""))"),"wildflower82/1433")</f>
        <v>wildflower82/1433</v>
      </c>
      <c r="L731" s="19" t="b">
        <v>1</v>
      </c>
      <c r="M731" s="12">
        <f t="shared" si="1"/>
        <v>2</v>
      </c>
      <c r="N731" s="13"/>
      <c r="O731" s="13"/>
      <c r="P731" s="29"/>
    </row>
    <row r="732">
      <c r="A732" s="15" t="s">
        <v>1014</v>
      </c>
      <c r="B732" s="16">
        <v>36.0</v>
      </c>
      <c r="C732" s="16">
        <v>23.0</v>
      </c>
      <c r="D732" s="17">
        <v>44.861044016179</v>
      </c>
      <c r="E732" s="17">
        <v>-93.332397807825</v>
      </c>
      <c r="F732" s="16" t="s">
        <v>41</v>
      </c>
      <c r="G732" s="16" t="s">
        <v>17</v>
      </c>
      <c r="H732" s="18" t="s">
        <v>531</v>
      </c>
      <c r="I732" s="19">
        <v>7384.0</v>
      </c>
      <c r="J732" s="20"/>
      <c r="K732" s="11" t="str">
        <f>IFERROR(__xludf.DUMMYFUNCTION("IF(AND(REGEXMATCH($H732,""50( ?['fF]([oO]{2})?[tT]?)?( ?[eE][rR]{2}[oO][rR])"")=FALSE,$H732&lt;&gt;"""",$I732&lt;&gt;""""),HYPERLINK(""https://www.munzee.com/m/""&amp;$H732&amp;""/""&amp;$I732&amp;""/map/?lat=""&amp;$D732&amp;""&amp;lon=""&amp;$E732&amp;""&amp;type=""&amp;$G732&amp;""&amp;name=""&amp;SUBSTITUTE($A732,""#"&amp;""",""%23""),$H732&amp;""/""&amp;$I732),IF($H732&lt;&gt;"""",IF(REGEXMATCH($H732,""50( ?['fF]([oO]{2})?[tT]?)?( ?[eE][rR]{2}[oO][rR])""),HYPERLINK(""https://www.munzee.com/map/?sandbox=1&amp;lat=""&amp;$D732&amp;""&amp;lon=""&amp;$E732&amp;""&amp;name=""&amp;SUBSTITUTE($A732,""#"",""%23""),""SANDBOX"""&amp;"),HYPERLINK(""https://www.munzee.com/m/""&amp;$H732&amp;""/deploys/0/type/""&amp;IFNA(VLOOKUP($G732,IMPORTRANGE(""https://docs.google.com/spreadsheets/d/1DliIGyDywdzxhd4svtjaewR0p9Y5UBTMNMQ2PcXsqss"",""type data!E2:F""),2,FALSE),$G732)&amp;""/"",$H732)),""""))"),"QueenofDNile/7384")</f>
        <v>QueenofDNile/7384</v>
      </c>
      <c r="L732" s="19" t="b">
        <v>1</v>
      </c>
      <c r="M732" s="12">
        <f t="shared" si="1"/>
        <v>7</v>
      </c>
      <c r="N732" s="13"/>
      <c r="O732" s="13"/>
      <c r="P732" s="29"/>
    </row>
    <row r="733">
      <c r="A733" s="15" t="s">
        <v>1015</v>
      </c>
      <c r="B733" s="16">
        <v>36.0</v>
      </c>
      <c r="C733" s="16">
        <v>24.0</v>
      </c>
      <c r="D733" s="17">
        <v>44.861044016</v>
      </c>
      <c r="E733" s="17">
        <v>-93.33219503346</v>
      </c>
      <c r="F733" s="16" t="s">
        <v>16</v>
      </c>
      <c r="G733" s="16" t="s">
        <v>17</v>
      </c>
      <c r="H733" s="18" t="s">
        <v>494</v>
      </c>
      <c r="I733" s="19">
        <v>745.0</v>
      </c>
      <c r="J733" s="21"/>
      <c r="K733" s="11" t="str">
        <f>IFERROR(__xludf.DUMMYFUNCTION("IF(AND(REGEXMATCH($H733,""50( ?['fF]([oO]{2})?[tT]?)?( ?[eE][rR]{2}[oO][rR])"")=FALSE,$H733&lt;&gt;"""",$I733&lt;&gt;""""),HYPERLINK(""https://www.munzee.com/m/""&amp;$H733&amp;""/""&amp;$I733&amp;""/map/?lat=""&amp;$D733&amp;""&amp;lon=""&amp;$E733&amp;""&amp;type=""&amp;$G733&amp;""&amp;name=""&amp;SUBSTITUTE($A733,""#"&amp;""",""%23""),$H733&amp;""/""&amp;$I733),IF($H733&lt;&gt;"""",IF(REGEXMATCH($H733,""50( ?['fF]([oO]{2})?[tT]?)?( ?[eE][rR]{2}[oO][rR])""),HYPERLINK(""https://www.munzee.com/map/?sandbox=1&amp;lat=""&amp;$D733&amp;""&amp;lon=""&amp;$E733&amp;""&amp;name=""&amp;SUBSTITUTE($A733,""#"",""%23""),""SANDBOX"""&amp;"),HYPERLINK(""https://www.munzee.com/m/""&amp;$H733&amp;""/deploys/0/type/""&amp;IFNA(VLOOKUP($G733,IMPORTRANGE(""https://docs.google.com/spreadsheets/d/1DliIGyDywdzxhd4svtjaewR0p9Y5UBTMNMQ2PcXsqss"",""type data!E2:F""),2,FALSE),$G733)&amp;""/"",$H733)),""""))"),"BarbMitchell/745")</f>
        <v>BarbMitchell/745</v>
      </c>
      <c r="L733" s="19" t="b">
        <v>1</v>
      </c>
      <c r="M733" s="12">
        <f t="shared" si="1"/>
        <v>10</v>
      </c>
      <c r="N733" s="13"/>
      <c r="O733" s="13"/>
      <c r="P733" s="29"/>
    </row>
    <row r="734">
      <c r="A734" s="15" t="s">
        <v>1016</v>
      </c>
      <c r="B734" s="16">
        <v>36.0</v>
      </c>
      <c r="C734" s="16">
        <v>25.0</v>
      </c>
      <c r="D734" s="17">
        <v>44.86104401582</v>
      </c>
      <c r="E734" s="17">
        <v>-93.331992259094</v>
      </c>
      <c r="F734" s="16" t="s">
        <v>16</v>
      </c>
      <c r="G734" s="16" t="s">
        <v>17</v>
      </c>
      <c r="H734" s="18" t="s">
        <v>322</v>
      </c>
      <c r="I734" s="19">
        <v>5078.0</v>
      </c>
      <c r="J734" s="21"/>
      <c r="K734" s="11" t="str">
        <f>IFERROR(__xludf.DUMMYFUNCTION("IF(AND(REGEXMATCH($H734,""50( ?['fF]([oO]{2})?[tT]?)?( ?[eE][rR]{2}[oO][rR])"")=FALSE,$H734&lt;&gt;"""",$I734&lt;&gt;""""),HYPERLINK(""https://www.munzee.com/m/""&amp;$H734&amp;""/""&amp;$I734&amp;""/map/?lat=""&amp;$D734&amp;""&amp;lon=""&amp;$E734&amp;""&amp;type=""&amp;$G734&amp;""&amp;name=""&amp;SUBSTITUTE($A734,""#"&amp;""",""%23""),$H734&amp;""/""&amp;$I734),IF($H734&lt;&gt;"""",IF(REGEXMATCH($H734,""50( ?['fF]([oO]{2})?[tT]?)?( ?[eE][rR]{2}[oO][rR])""),HYPERLINK(""https://www.munzee.com/map/?sandbox=1&amp;lat=""&amp;$D734&amp;""&amp;lon=""&amp;$E734&amp;""&amp;name=""&amp;SUBSTITUTE($A734,""#"",""%23""),""SANDBOX"""&amp;"),HYPERLINK(""https://www.munzee.com/m/""&amp;$H734&amp;""/deploys/0/type/""&amp;IFNA(VLOOKUP($G734,IMPORTRANGE(""https://docs.google.com/spreadsheets/d/1DliIGyDywdzxhd4svtjaewR0p9Y5UBTMNMQ2PcXsqss"",""type data!E2:F""),2,FALSE),$G734)&amp;""/"",$H734)),""""))"),"donbadabon/5078")</f>
        <v>donbadabon/5078</v>
      </c>
      <c r="L734" s="19" t="b">
        <v>1</v>
      </c>
      <c r="M734" s="12">
        <f t="shared" si="1"/>
        <v>5</v>
      </c>
      <c r="N734" s="13"/>
      <c r="O734" s="13"/>
      <c r="P734" s="29"/>
    </row>
    <row r="735">
      <c r="A735" s="15" t="s">
        <v>1017</v>
      </c>
      <c r="B735" s="16">
        <v>37.0</v>
      </c>
      <c r="C735" s="16">
        <v>5.0</v>
      </c>
      <c r="D735" s="17">
        <v>44.860900288963</v>
      </c>
      <c r="E735" s="17">
        <v>-93.336047756532</v>
      </c>
      <c r="F735" s="16" t="s">
        <v>16</v>
      </c>
      <c r="G735" s="16" t="s">
        <v>17</v>
      </c>
      <c r="H735" s="18" t="s">
        <v>379</v>
      </c>
      <c r="I735" s="19">
        <v>1153.0</v>
      </c>
      <c r="J735" s="21"/>
      <c r="K735" s="11" t="str">
        <f>IFERROR(__xludf.DUMMYFUNCTION("IF(AND(REGEXMATCH($H735,""50( ?['fF]([oO]{2})?[tT]?)?( ?[eE][rR]{2}[oO][rR])"")=FALSE,$H735&lt;&gt;"""",$I735&lt;&gt;""""),HYPERLINK(""https://www.munzee.com/m/""&amp;$H735&amp;""/""&amp;$I735&amp;""/map/?lat=""&amp;$D735&amp;""&amp;lon=""&amp;$E735&amp;""&amp;type=""&amp;$G735&amp;""&amp;name=""&amp;SUBSTITUTE($A735,""#"&amp;""",""%23""),$H735&amp;""/""&amp;$I735),IF($H735&lt;&gt;"""",IF(REGEXMATCH($H735,""50( ?['fF]([oO]{2})?[tT]?)?( ?[eE][rR]{2}[oO][rR])""),HYPERLINK(""https://www.munzee.com/map/?sandbox=1&amp;lat=""&amp;$D735&amp;""&amp;lon=""&amp;$E735&amp;""&amp;name=""&amp;SUBSTITUTE($A735,""#"",""%23""),""SANDBOX"""&amp;"),HYPERLINK(""https://www.munzee.com/m/""&amp;$H735&amp;""/deploys/0/type/""&amp;IFNA(VLOOKUP($G735,IMPORTRANGE(""https://docs.google.com/spreadsheets/d/1DliIGyDywdzxhd4svtjaewR0p9Y5UBTMNMQ2PcXsqss"",""type data!E2:F""),2,FALSE),$G735)&amp;""/"",$H735)),""""))"),"rohdej/1153")</f>
        <v>rohdej/1153</v>
      </c>
      <c r="L735" s="19" t="b">
        <v>1</v>
      </c>
      <c r="M735" s="12">
        <f t="shared" si="1"/>
        <v>10</v>
      </c>
      <c r="N735" s="13"/>
      <c r="O735" s="13"/>
      <c r="P735" s="29"/>
    </row>
    <row r="736">
      <c r="A736" s="15" t="s">
        <v>1018</v>
      </c>
      <c r="B736" s="16">
        <v>37.0</v>
      </c>
      <c r="C736" s="16">
        <v>6.0</v>
      </c>
      <c r="D736" s="17">
        <v>44.860900288784</v>
      </c>
      <c r="E736" s="17">
        <v>-93.335844982673</v>
      </c>
      <c r="F736" s="16" t="s">
        <v>16</v>
      </c>
      <c r="G736" s="16" t="s">
        <v>17</v>
      </c>
      <c r="H736" s="18" t="s">
        <v>273</v>
      </c>
      <c r="I736" s="19">
        <v>1998.0</v>
      </c>
      <c r="J736" s="21"/>
      <c r="K736" s="11" t="str">
        <f>IFERROR(__xludf.DUMMYFUNCTION("IF(AND(REGEXMATCH($H736,""50( ?['fF]([oO]{2})?[tT]?)?( ?[eE][rR]{2}[oO][rR])"")=FALSE,$H736&lt;&gt;"""",$I736&lt;&gt;""""),HYPERLINK(""https://www.munzee.com/m/""&amp;$H736&amp;""/""&amp;$I736&amp;""/map/?lat=""&amp;$D736&amp;""&amp;lon=""&amp;$E736&amp;""&amp;type=""&amp;$G736&amp;""&amp;name=""&amp;SUBSTITUTE($A736,""#"&amp;""",""%23""),$H736&amp;""/""&amp;$I736),IF($H736&lt;&gt;"""",IF(REGEXMATCH($H736,""50( ?['fF]([oO]{2})?[tT]?)?( ?[eE][rR]{2}[oO][rR])""),HYPERLINK(""https://www.munzee.com/map/?sandbox=1&amp;lat=""&amp;$D736&amp;""&amp;lon=""&amp;$E736&amp;""&amp;name=""&amp;SUBSTITUTE($A736,""#"",""%23""),""SANDBOX"""&amp;"),HYPERLINK(""https://www.munzee.com/m/""&amp;$H736&amp;""/deploys/0/type/""&amp;IFNA(VLOOKUP($G736,IMPORTRANGE(""https://docs.google.com/spreadsheets/d/1DliIGyDywdzxhd4svtjaewR0p9Y5UBTMNMQ2PcXsqss"",""type data!E2:F""),2,FALSE),$G736)&amp;""/"",$H736)),""""))"),"yhtak57/1998")</f>
        <v>yhtak57/1998</v>
      </c>
      <c r="L736" s="19" t="b">
        <v>1</v>
      </c>
      <c r="M736" s="12">
        <f t="shared" si="1"/>
        <v>12</v>
      </c>
      <c r="N736" s="13"/>
      <c r="O736" s="13"/>
      <c r="P736" s="29"/>
    </row>
    <row r="737">
      <c r="A737" s="15" t="s">
        <v>1019</v>
      </c>
      <c r="B737" s="16">
        <v>37.0</v>
      </c>
      <c r="C737" s="16">
        <v>7.0</v>
      </c>
      <c r="D737" s="17">
        <v>44.860900288604</v>
      </c>
      <c r="E737" s="17">
        <v>-93.335642208813</v>
      </c>
      <c r="F737" s="16" t="s">
        <v>16</v>
      </c>
      <c r="G737" s="16" t="s">
        <v>17</v>
      </c>
      <c r="H737" s="18" t="s">
        <v>14</v>
      </c>
      <c r="I737" s="19">
        <v>3184.0</v>
      </c>
      <c r="J737" s="39"/>
      <c r="K737" s="11" t="str">
        <f>IFERROR(__xludf.DUMMYFUNCTION("IF(AND(REGEXMATCH($H737,""50( ?['fF]([oO]{2})?[tT]?)?( ?[eE][rR]{2}[oO][rR])"")=FALSE,$H737&lt;&gt;"""",$I737&lt;&gt;""""),HYPERLINK(""https://www.munzee.com/m/""&amp;$H737&amp;""/""&amp;$I737&amp;""/map/?lat=""&amp;$D737&amp;""&amp;lon=""&amp;$E737&amp;""&amp;type=""&amp;$G737&amp;""&amp;name=""&amp;SUBSTITUTE($A737,""#"&amp;""",""%23""),$H737&amp;""/""&amp;$I737),IF($H737&lt;&gt;"""",IF(REGEXMATCH($H737,""50( ?['fF]([oO]{2})?[tT]?)?( ?[eE][rR]{2}[oO][rR])""),HYPERLINK(""https://www.munzee.com/map/?sandbox=1&amp;lat=""&amp;$D737&amp;""&amp;lon=""&amp;$E737&amp;""&amp;name=""&amp;SUBSTITUTE($A737,""#"",""%23""),""SANDBOX"""&amp;"),HYPERLINK(""https://www.munzee.com/m/""&amp;$H737&amp;""/deploys/0/type/""&amp;IFNA(VLOOKUP($G737,IMPORTRANGE(""https://docs.google.com/spreadsheets/d/1DliIGyDywdzxhd4svtjaewR0p9Y5UBTMNMQ2PcXsqss"",""type data!E2:F""),2,FALSE),$G737)&amp;""/"",$H737)),""""))"),"JABIE28/3184")</f>
        <v>JABIE28/3184</v>
      </c>
      <c r="L737" s="19" t="b">
        <v>1</v>
      </c>
      <c r="M737" s="12">
        <f t="shared" si="1"/>
        <v>85</v>
      </c>
      <c r="N737" s="13"/>
      <c r="O737" s="13"/>
      <c r="P737" s="29"/>
    </row>
    <row r="738">
      <c r="A738" s="15" t="s">
        <v>1020</v>
      </c>
      <c r="B738" s="16">
        <v>37.0</v>
      </c>
      <c r="C738" s="16">
        <v>8.0</v>
      </c>
      <c r="D738" s="17">
        <v>44.860900288425</v>
      </c>
      <c r="E738" s="17">
        <v>-93.335439434954</v>
      </c>
      <c r="F738" s="16" t="s">
        <v>16</v>
      </c>
      <c r="G738" s="16" t="s">
        <v>17</v>
      </c>
      <c r="H738" s="18" t="s">
        <v>856</v>
      </c>
      <c r="I738" s="19">
        <v>8711.0</v>
      </c>
      <c r="J738" s="20"/>
      <c r="K738" s="11" t="str">
        <f>IFERROR(__xludf.DUMMYFUNCTION("IF(AND(REGEXMATCH($H738,""50( ?['fF]([oO]{2})?[tT]?)?( ?[eE][rR]{2}[oO][rR])"")=FALSE,$H738&lt;&gt;"""",$I738&lt;&gt;""""),HYPERLINK(""https://www.munzee.com/m/""&amp;$H738&amp;""/""&amp;$I738&amp;""/map/?lat=""&amp;$D738&amp;""&amp;lon=""&amp;$E738&amp;""&amp;type=""&amp;$G738&amp;""&amp;name=""&amp;SUBSTITUTE($A738,""#"&amp;""",""%23""),$H738&amp;""/""&amp;$I738),IF($H738&lt;&gt;"""",IF(REGEXMATCH($H738,""50( ?['fF]([oO]{2})?[tT]?)?( ?[eE][rR]{2}[oO][rR])""),HYPERLINK(""https://www.munzee.com/map/?sandbox=1&amp;lat=""&amp;$D738&amp;""&amp;lon=""&amp;$E738&amp;""&amp;name=""&amp;SUBSTITUTE($A738,""#"",""%23""),""SANDBOX"""&amp;"),HYPERLINK(""https://www.munzee.com/m/""&amp;$H738&amp;""/deploys/0/type/""&amp;IFNA(VLOOKUP($G738,IMPORTRANGE(""https://docs.google.com/spreadsheets/d/1DliIGyDywdzxhd4svtjaewR0p9Y5UBTMNMQ2PcXsqss"",""type data!E2:F""),2,FALSE),$G738)&amp;""/"",$H738)),""""))"),"earthangel/8711")</f>
        <v>earthangel/8711</v>
      </c>
      <c r="L738" s="19" t="b">
        <v>1</v>
      </c>
      <c r="M738" s="12">
        <f t="shared" si="1"/>
        <v>7</v>
      </c>
      <c r="N738" s="13"/>
      <c r="O738" s="13"/>
      <c r="P738" s="29"/>
    </row>
    <row r="739">
      <c r="A739" s="15" t="s">
        <v>1021</v>
      </c>
      <c r="B739" s="16">
        <v>37.0</v>
      </c>
      <c r="C739" s="16">
        <v>9.0</v>
      </c>
      <c r="D739" s="17">
        <v>44.860900288245</v>
      </c>
      <c r="E739" s="17">
        <v>-93.335236661094</v>
      </c>
      <c r="F739" s="16" t="s">
        <v>16</v>
      </c>
      <c r="G739" s="16" t="s">
        <v>17</v>
      </c>
      <c r="H739" s="18" t="s">
        <v>858</v>
      </c>
      <c r="I739" s="19">
        <v>8634.0</v>
      </c>
      <c r="J739" s="20"/>
      <c r="K739" s="11" t="str">
        <f>IFERROR(__xludf.DUMMYFUNCTION("IF(AND(REGEXMATCH($H739,""50( ?['fF]([oO]{2})?[tT]?)?( ?[eE][rR]{2}[oO][rR])"")=FALSE,$H739&lt;&gt;"""",$I739&lt;&gt;""""),HYPERLINK(""https://www.munzee.com/m/""&amp;$H739&amp;""/""&amp;$I739&amp;""/map/?lat=""&amp;$D739&amp;""&amp;lon=""&amp;$E739&amp;""&amp;type=""&amp;$G739&amp;""&amp;name=""&amp;SUBSTITUTE($A739,""#"&amp;""",""%23""),$H739&amp;""/""&amp;$I739),IF($H739&lt;&gt;"""",IF(REGEXMATCH($H739,""50( ?['fF]([oO]{2})?[tT]?)?( ?[eE][rR]{2}[oO][rR])""),HYPERLINK(""https://www.munzee.com/map/?sandbox=1&amp;lat=""&amp;$D739&amp;""&amp;lon=""&amp;$E739&amp;""&amp;name=""&amp;SUBSTITUTE($A739,""#"",""%23""),""SANDBOX"""&amp;"),HYPERLINK(""https://www.munzee.com/m/""&amp;$H739&amp;""/deploys/0/type/""&amp;IFNA(VLOOKUP($G739,IMPORTRANGE(""https://docs.google.com/spreadsheets/d/1DliIGyDywdzxhd4svtjaewR0p9Y5UBTMNMQ2PcXsqss"",""type data!E2:F""),2,FALSE),$G739)&amp;""/"",$H739)),""""))"),"ecorangers/8634")</f>
        <v>ecorangers/8634</v>
      </c>
      <c r="L739" s="19" t="b">
        <v>1</v>
      </c>
      <c r="M739" s="12">
        <f t="shared" si="1"/>
        <v>7</v>
      </c>
      <c r="N739" s="13"/>
      <c r="O739" s="13"/>
      <c r="P739" s="29"/>
    </row>
    <row r="740">
      <c r="A740" s="15" t="s">
        <v>1022</v>
      </c>
      <c r="B740" s="16">
        <v>37.0</v>
      </c>
      <c r="C740" s="16">
        <v>10.0</v>
      </c>
      <c r="D740" s="17">
        <v>44.860900288066</v>
      </c>
      <c r="E740" s="17">
        <v>-93.335033887235</v>
      </c>
      <c r="F740" s="16" t="s">
        <v>16</v>
      </c>
      <c r="G740" s="16" t="s">
        <v>17</v>
      </c>
      <c r="H740" s="18" t="s">
        <v>379</v>
      </c>
      <c r="I740" s="19">
        <v>1157.0</v>
      </c>
      <c r="J740" s="21"/>
      <c r="K740" s="11" t="str">
        <f>IFERROR(__xludf.DUMMYFUNCTION("IF(AND(REGEXMATCH($H740,""50( ?['fF]([oO]{2})?[tT]?)?( ?[eE][rR]{2}[oO][rR])"")=FALSE,$H740&lt;&gt;"""",$I740&lt;&gt;""""),HYPERLINK(""https://www.munzee.com/m/""&amp;$H740&amp;""/""&amp;$I740&amp;""/map/?lat=""&amp;$D740&amp;""&amp;lon=""&amp;$E740&amp;""&amp;type=""&amp;$G740&amp;""&amp;name=""&amp;SUBSTITUTE($A740,""#"&amp;""",""%23""),$H740&amp;""/""&amp;$I740),IF($H740&lt;&gt;"""",IF(REGEXMATCH($H740,""50( ?['fF]([oO]{2})?[tT]?)?( ?[eE][rR]{2}[oO][rR])""),HYPERLINK(""https://www.munzee.com/map/?sandbox=1&amp;lat=""&amp;$D740&amp;""&amp;lon=""&amp;$E740&amp;""&amp;name=""&amp;SUBSTITUTE($A740,""#"",""%23""),""SANDBOX"""&amp;"),HYPERLINK(""https://www.munzee.com/m/""&amp;$H740&amp;""/deploys/0/type/""&amp;IFNA(VLOOKUP($G740,IMPORTRANGE(""https://docs.google.com/spreadsheets/d/1DliIGyDywdzxhd4svtjaewR0p9Y5UBTMNMQ2PcXsqss"",""type data!E2:F""),2,FALSE),$G740)&amp;""/"",$H740)),""""))"),"rohdej/1157")</f>
        <v>rohdej/1157</v>
      </c>
      <c r="L740" s="19" t="b">
        <v>1</v>
      </c>
      <c r="M740" s="12">
        <f t="shared" si="1"/>
        <v>10</v>
      </c>
      <c r="N740" s="13"/>
      <c r="O740" s="13"/>
      <c r="P740" s="29"/>
    </row>
    <row r="741">
      <c r="A741" s="15" t="s">
        <v>1023</v>
      </c>
      <c r="B741" s="16">
        <v>37.0</v>
      </c>
      <c r="C741" s="16">
        <v>11.0</v>
      </c>
      <c r="D741" s="17">
        <v>44.860900287887</v>
      </c>
      <c r="E741" s="17">
        <v>-93.334831113375</v>
      </c>
      <c r="F741" s="16" t="s">
        <v>16</v>
      </c>
      <c r="G741" s="16" t="s">
        <v>410</v>
      </c>
      <c r="H741" s="18" t="s">
        <v>14</v>
      </c>
      <c r="I741" s="19">
        <v>3180.0</v>
      </c>
      <c r="J741" s="39"/>
      <c r="K741" s="11" t="str">
        <f>IFERROR(__xludf.DUMMYFUNCTION("IF(AND(REGEXMATCH($H741,""50( ?['fF]([oO]{2})?[tT]?)?( ?[eE][rR]{2}[oO][rR])"")=FALSE,$H741&lt;&gt;"""",$I741&lt;&gt;""""),HYPERLINK(""https://www.munzee.com/m/""&amp;$H741&amp;""/""&amp;$I741&amp;""/map/?lat=""&amp;$D741&amp;""&amp;lon=""&amp;$E741&amp;""&amp;type=""&amp;$G741&amp;""&amp;name=""&amp;SUBSTITUTE($A741,""#"&amp;""",""%23""),$H741&amp;""/""&amp;$I741),IF($H741&lt;&gt;"""",IF(REGEXMATCH($H741,""50( ?['fF]([oO]{2})?[tT]?)?( ?[eE][rR]{2}[oO][rR])""),HYPERLINK(""https://www.munzee.com/map/?sandbox=1&amp;lat=""&amp;$D741&amp;""&amp;lon=""&amp;$E741&amp;""&amp;name=""&amp;SUBSTITUTE($A741,""#"",""%23""),""SANDBOX"""&amp;"),HYPERLINK(""https://www.munzee.com/m/""&amp;$H741&amp;""/deploys/0/type/""&amp;IFNA(VLOOKUP($G741,IMPORTRANGE(""https://docs.google.com/spreadsheets/d/1DliIGyDywdzxhd4svtjaewR0p9Y5UBTMNMQ2PcXsqss"",""type data!E2:F""),2,FALSE),$G741)&amp;""/"",$H741)),""""))"),"JABIE28/3180")</f>
        <v>JABIE28/3180</v>
      </c>
      <c r="L741" s="19" t="b">
        <v>1</v>
      </c>
      <c r="M741" s="12">
        <f t="shared" si="1"/>
        <v>85</v>
      </c>
      <c r="N741" s="13"/>
      <c r="O741" s="13"/>
      <c r="P741" s="29"/>
    </row>
    <row r="742">
      <c r="A742" s="15" t="s">
        <v>1024</v>
      </c>
      <c r="B742" s="16">
        <v>37.0</v>
      </c>
      <c r="C742" s="16">
        <v>12.0</v>
      </c>
      <c r="D742" s="17">
        <v>44.860900287707</v>
      </c>
      <c r="E742" s="17">
        <v>-93.334628339516</v>
      </c>
      <c r="F742" s="16" t="s">
        <v>16</v>
      </c>
      <c r="G742" s="16" t="s">
        <v>17</v>
      </c>
      <c r="H742" s="18" t="s">
        <v>494</v>
      </c>
      <c r="I742" s="19">
        <v>728.0</v>
      </c>
      <c r="J742" s="21"/>
      <c r="K742" s="11" t="str">
        <f>IFERROR(__xludf.DUMMYFUNCTION("IF(AND(REGEXMATCH($H742,""50( ?['fF]([oO]{2})?[tT]?)?( ?[eE][rR]{2}[oO][rR])"")=FALSE,$H742&lt;&gt;"""",$I742&lt;&gt;""""),HYPERLINK(""https://www.munzee.com/m/""&amp;$H742&amp;""/""&amp;$I742&amp;""/map/?lat=""&amp;$D742&amp;""&amp;lon=""&amp;$E742&amp;""&amp;type=""&amp;$G742&amp;""&amp;name=""&amp;SUBSTITUTE($A742,""#"&amp;""",""%23""),$H742&amp;""/""&amp;$I742),IF($H742&lt;&gt;"""",IF(REGEXMATCH($H742,""50( ?['fF]([oO]{2})?[tT]?)?( ?[eE][rR]{2}[oO][rR])""),HYPERLINK(""https://www.munzee.com/map/?sandbox=1&amp;lat=""&amp;$D742&amp;""&amp;lon=""&amp;$E742&amp;""&amp;name=""&amp;SUBSTITUTE($A742,""#"",""%23""),""SANDBOX"""&amp;"),HYPERLINK(""https://www.munzee.com/m/""&amp;$H742&amp;""/deploys/0/type/""&amp;IFNA(VLOOKUP($G742,IMPORTRANGE(""https://docs.google.com/spreadsheets/d/1DliIGyDywdzxhd4svtjaewR0p9Y5UBTMNMQ2PcXsqss"",""type data!E2:F""),2,FALSE),$G742)&amp;""/"",$H742)),""""))"),"BarbMitchell/728")</f>
        <v>BarbMitchell/728</v>
      </c>
      <c r="L742" s="19" t="b">
        <v>1</v>
      </c>
      <c r="M742" s="12">
        <f t="shared" si="1"/>
        <v>10</v>
      </c>
      <c r="N742" s="13"/>
      <c r="O742" s="13"/>
      <c r="P742" s="29"/>
    </row>
    <row r="743">
      <c r="A743" s="15" t="s">
        <v>1025</v>
      </c>
      <c r="B743" s="16">
        <v>37.0</v>
      </c>
      <c r="C743" s="16">
        <v>17.0</v>
      </c>
      <c r="D743" s="17">
        <v>44.86090028681</v>
      </c>
      <c r="E743" s="17">
        <v>-93.333614470218</v>
      </c>
      <c r="F743" s="16" t="s">
        <v>16</v>
      </c>
      <c r="G743" s="16" t="s">
        <v>17</v>
      </c>
      <c r="H743" s="41" t="s">
        <v>1026</v>
      </c>
      <c r="I743" s="19">
        <v>2134.0</v>
      </c>
      <c r="J743" s="21"/>
      <c r="K743" s="11" t="str">
        <f>IFERROR(__xludf.DUMMYFUNCTION("IF(AND(REGEXMATCH($H743,""50( ?['fF]([oO]{2})?[tT]?)?( ?[eE][rR]{2}[oO][rR])"")=FALSE,$H743&lt;&gt;"""",$I743&lt;&gt;""""),HYPERLINK(""https://www.munzee.com/m/""&amp;$H743&amp;""/""&amp;$I743&amp;""/map/?lat=""&amp;$D743&amp;""&amp;lon=""&amp;$E743&amp;""&amp;type=""&amp;$G743&amp;""&amp;name=""&amp;SUBSTITUTE($A743,""#"&amp;""",""%23""),$H743&amp;""/""&amp;$I743),IF($H743&lt;&gt;"""",IF(REGEXMATCH($H743,""50( ?['fF]([oO]{2})?[tT]?)?( ?[eE][rR]{2}[oO][rR])""),HYPERLINK(""https://www.munzee.com/map/?sandbox=1&amp;lat=""&amp;$D743&amp;""&amp;lon=""&amp;$E743&amp;""&amp;name=""&amp;SUBSTITUTE($A743,""#"",""%23""),""SANDBOX"""&amp;"),HYPERLINK(""https://www.munzee.com/m/""&amp;$H743&amp;""/deploys/0/type/""&amp;IFNA(VLOOKUP($G743,IMPORTRANGE(""https://docs.google.com/spreadsheets/d/1DliIGyDywdzxhd4svtjaewR0p9Y5UBTMNMQ2PcXsqss"",""type data!E2:F""),2,FALSE),$G743)&amp;""/"",$H743)),""""))"),"Belladivadee /2134")</f>
        <v>Belladivadee /2134</v>
      </c>
      <c r="L743" s="19" t="b">
        <v>1</v>
      </c>
      <c r="M743" s="12">
        <f t="shared" si="1"/>
        <v>3</v>
      </c>
      <c r="N743" s="13"/>
      <c r="O743" s="13"/>
      <c r="P743" s="29"/>
    </row>
    <row r="744">
      <c r="A744" s="15" t="s">
        <v>1027</v>
      </c>
      <c r="B744" s="16">
        <v>37.0</v>
      </c>
      <c r="C744" s="16">
        <v>18.0</v>
      </c>
      <c r="D744" s="17">
        <v>44.860900286631</v>
      </c>
      <c r="E744" s="17">
        <v>-93.333411696358</v>
      </c>
      <c r="F744" s="16" t="s">
        <v>16</v>
      </c>
      <c r="G744" s="16" t="s">
        <v>17</v>
      </c>
      <c r="H744" s="18" t="s">
        <v>14</v>
      </c>
      <c r="I744" s="19">
        <v>3178.0</v>
      </c>
      <c r="J744" s="39"/>
      <c r="K744" s="11" t="str">
        <f>IFERROR(__xludf.DUMMYFUNCTION("IF(AND(REGEXMATCH($H744,""50( ?['fF]([oO]{2})?[tT]?)?( ?[eE][rR]{2}[oO][rR])"")=FALSE,$H744&lt;&gt;"""",$I744&lt;&gt;""""),HYPERLINK(""https://www.munzee.com/m/""&amp;$H744&amp;""/""&amp;$I744&amp;""/map/?lat=""&amp;$D744&amp;""&amp;lon=""&amp;$E744&amp;""&amp;type=""&amp;$G744&amp;""&amp;name=""&amp;SUBSTITUTE($A744,""#"&amp;""",""%23""),$H744&amp;""/""&amp;$I744),IF($H744&lt;&gt;"""",IF(REGEXMATCH($H744,""50( ?['fF]([oO]{2})?[tT]?)?( ?[eE][rR]{2}[oO][rR])""),HYPERLINK(""https://www.munzee.com/map/?sandbox=1&amp;lat=""&amp;$D744&amp;""&amp;lon=""&amp;$E744&amp;""&amp;name=""&amp;SUBSTITUTE($A744,""#"",""%23""),""SANDBOX"""&amp;"),HYPERLINK(""https://www.munzee.com/m/""&amp;$H744&amp;""/deploys/0/type/""&amp;IFNA(VLOOKUP($G744,IMPORTRANGE(""https://docs.google.com/spreadsheets/d/1DliIGyDywdzxhd4svtjaewR0p9Y5UBTMNMQ2PcXsqss"",""type data!E2:F""),2,FALSE),$G744)&amp;""/"",$H744)),""""))"),"JABIE28/3178")</f>
        <v>JABIE28/3178</v>
      </c>
      <c r="L744" s="19" t="b">
        <v>1</v>
      </c>
      <c r="M744" s="12">
        <f t="shared" si="1"/>
        <v>85</v>
      </c>
      <c r="N744" s="13"/>
      <c r="O744" s="13"/>
      <c r="P744" s="29"/>
    </row>
    <row r="745">
      <c r="A745" s="15" t="s">
        <v>1028</v>
      </c>
      <c r="B745" s="16">
        <v>37.0</v>
      </c>
      <c r="C745" s="16">
        <v>19.0</v>
      </c>
      <c r="D745" s="17">
        <v>44.860900286451</v>
      </c>
      <c r="E745" s="17">
        <v>-93.333208922499</v>
      </c>
      <c r="F745" s="16" t="s">
        <v>16</v>
      </c>
      <c r="G745" s="16" t="s">
        <v>17</v>
      </c>
      <c r="H745" s="18" t="s">
        <v>379</v>
      </c>
      <c r="I745" s="19">
        <v>1158.0</v>
      </c>
      <c r="J745" s="21"/>
      <c r="K745" s="11" t="str">
        <f>IFERROR(__xludf.DUMMYFUNCTION("IF(AND(REGEXMATCH($H745,""50( ?['fF]([oO]{2})?[tT]?)?( ?[eE][rR]{2}[oO][rR])"")=FALSE,$H745&lt;&gt;"""",$I745&lt;&gt;""""),HYPERLINK(""https://www.munzee.com/m/""&amp;$H745&amp;""/""&amp;$I745&amp;""/map/?lat=""&amp;$D745&amp;""&amp;lon=""&amp;$E745&amp;""&amp;type=""&amp;$G745&amp;""&amp;name=""&amp;SUBSTITUTE($A745,""#"&amp;""",""%23""),$H745&amp;""/""&amp;$I745),IF($H745&lt;&gt;"""",IF(REGEXMATCH($H745,""50( ?['fF]([oO]{2})?[tT]?)?( ?[eE][rR]{2}[oO][rR])""),HYPERLINK(""https://www.munzee.com/map/?sandbox=1&amp;lat=""&amp;$D745&amp;""&amp;lon=""&amp;$E745&amp;""&amp;name=""&amp;SUBSTITUTE($A745,""#"",""%23""),""SANDBOX"""&amp;"),HYPERLINK(""https://www.munzee.com/m/""&amp;$H745&amp;""/deploys/0/type/""&amp;IFNA(VLOOKUP($G745,IMPORTRANGE(""https://docs.google.com/spreadsheets/d/1DliIGyDywdzxhd4svtjaewR0p9Y5UBTMNMQ2PcXsqss"",""type data!E2:F""),2,FALSE),$G745)&amp;""/"",$H745)),""""))"),"rohdej/1158")</f>
        <v>rohdej/1158</v>
      </c>
      <c r="L745" s="19" t="b">
        <v>1</v>
      </c>
      <c r="M745" s="12">
        <f t="shared" si="1"/>
        <v>10</v>
      </c>
      <c r="N745" s="13"/>
      <c r="O745" s="13"/>
      <c r="P745" s="29"/>
    </row>
    <row r="746">
      <c r="A746" s="15" t="s">
        <v>1029</v>
      </c>
      <c r="B746" s="16">
        <v>37.0</v>
      </c>
      <c r="C746" s="16">
        <v>20.0</v>
      </c>
      <c r="D746" s="17">
        <v>44.860900286272</v>
      </c>
      <c r="E746" s="17">
        <v>-93.333006148639</v>
      </c>
      <c r="F746" s="16" t="s">
        <v>16</v>
      </c>
      <c r="G746" s="16" t="s">
        <v>17</v>
      </c>
      <c r="H746" s="18" t="s">
        <v>174</v>
      </c>
      <c r="I746" s="19">
        <v>1824.0</v>
      </c>
      <c r="J746" s="21"/>
      <c r="K746" s="11" t="str">
        <f>IFERROR(__xludf.DUMMYFUNCTION("IF(AND(REGEXMATCH($H746,""50( ?['fF]([oO]{2})?[tT]?)?( ?[eE][rR]{2}[oO][rR])"")=FALSE,$H746&lt;&gt;"""",$I746&lt;&gt;""""),HYPERLINK(""https://www.munzee.com/m/""&amp;$H746&amp;""/""&amp;$I746&amp;""/map/?lat=""&amp;$D746&amp;""&amp;lon=""&amp;$E746&amp;""&amp;type=""&amp;$G746&amp;""&amp;name=""&amp;SUBSTITUTE($A746,""#"&amp;""",""%23""),$H746&amp;""/""&amp;$I746),IF($H746&lt;&gt;"""",IF(REGEXMATCH($H746,""50( ?['fF]([oO]{2})?[tT]?)?( ?[eE][rR]{2}[oO][rR])""),HYPERLINK(""https://www.munzee.com/map/?sandbox=1&amp;lat=""&amp;$D746&amp;""&amp;lon=""&amp;$E746&amp;""&amp;name=""&amp;SUBSTITUTE($A746,""#"",""%23""),""SANDBOX"""&amp;"),HYPERLINK(""https://www.munzee.com/m/""&amp;$H746&amp;""/deploys/0/type/""&amp;IFNA(VLOOKUP($G746,IMPORTRANGE(""https://docs.google.com/spreadsheets/d/1DliIGyDywdzxhd4svtjaewR0p9Y5UBTMNMQ2PcXsqss"",""type data!E2:F""),2,FALSE),$G746)&amp;""/"",$H746)),""""))"),"guido/1824")</f>
        <v>guido/1824</v>
      </c>
      <c r="L746" s="19" t="b">
        <v>1</v>
      </c>
      <c r="M746" s="12">
        <f t="shared" si="1"/>
        <v>4</v>
      </c>
      <c r="N746" s="13"/>
      <c r="O746" s="13"/>
      <c r="P746" s="29"/>
    </row>
    <row r="747">
      <c r="A747" s="15" t="s">
        <v>1030</v>
      </c>
      <c r="B747" s="16">
        <v>37.0</v>
      </c>
      <c r="C747" s="16">
        <v>21.0</v>
      </c>
      <c r="D747" s="17">
        <v>44.860900286093</v>
      </c>
      <c r="E747" s="17">
        <v>-93.33280337478</v>
      </c>
      <c r="F747" s="16" t="s">
        <v>16</v>
      </c>
      <c r="G747" s="16" t="s">
        <v>17</v>
      </c>
      <c r="H747" s="18" t="s">
        <v>14</v>
      </c>
      <c r="I747" s="19">
        <v>3176.0</v>
      </c>
      <c r="J747" s="39"/>
      <c r="K747" s="11" t="str">
        <f>IFERROR(__xludf.DUMMYFUNCTION("IF(AND(REGEXMATCH($H747,""50( ?['fF]([oO]{2})?[tT]?)?( ?[eE][rR]{2}[oO][rR])"")=FALSE,$H747&lt;&gt;"""",$I747&lt;&gt;""""),HYPERLINK(""https://www.munzee.com/m/""&amp;$H747&amp;""/""&amp;$I747&amp;""/map/?lat=""&amp;$D747&amp;""&amp;lon=""&amp;$E747&amp;""&amp;type=""&amp;$G747&amp;""&amp;name=""&amp;SUBSTITUTE($A747,""#"&amp;""",""%23""),$H747&amp;""/""&amp;$I747),IF($H747&lt;&gt;"""",IF(REGEXMATCH($H747,""50( ?['fF]([oO]{2})?[tT]?)?( ?[eE][rR]{2}[oO][rR])""),HYPERLINK(""https://www.munzee.com/map/?sandbox=1&amp;lat=""&amp;$D747&amp;""&amp;lon=""&amp;$E747&amp;""&amp;name=""&amp;SUBSTITUTE($A747,""#"",""%23""),""SANDBOX"""&amp;"),HYPERLINK(""https://www.munzee.com/m/""&amp;$H747&amp;""/deploys/0/type/""&amp;IFNA(VLOOKUP($G747,IMPORTRANGE(""https://docs.google.com/spreadsheets/d/1DliIGyDywdzxhd4svtjaewR0p9Y5UBTMNMQ2PcXsqss"",""type data!E2:F""),2,FALSE),$G747)&amp;""/"",$H747)),""""))"),"JABIE28/3176")</f>
        <v>JABIE28/3176</v>
      </c>
      <c r="L747" s="19" t="b">
        <v>1</v>
      </c>
      <c r="M747" s="12">
        <f t="shared" si="1"/>
        <v>85</v>
      </c>
      <c r="N747" s="13"/>
      <c r="O747" s="13"/>
      <c r="P747" s="29"/>
    </row>
    <row r="748">
      <c r="A748" s="15" t="s">
        <v>1031</v>
      </c>
      <c r="B748" s="16">
        <v>37.0</v>
      </c>
      <c r="C748" s="16">
        <v>22.0</v>
      </c>
      <c r="D748" s="17">
        <v>44.860900285913</v>
      </c>
      <c r="E748" s="17">
        <v>-93.33260060092</v>
      </c>
      <c r="F748" s="16" t="s">
        <v>16</v>
      </c>
      <c r="G748" s="16" t="s">
        <v>17</v>
      </c>
      <c r="H748" s="18" t="s">
        <v>328</v>
      </c>
      <c r="I748" s="19">
        <v>750.0</v>
      </c>
      <c r="J748" s="20"/>
      <c r="K748" s="11" t="str">
        <f>IFERROR(__xludf.DUMMYFUNCTION("IF(AND(REGEXMATCH($H748,""50( ?['fF]([oO]{2})?[tT]?)?( ?[eE][rR]{2}[oO][rR])"")=FALSE,$H748&lt;&gt;"""",$I748&lt;&gt;""""),HYPERLINK(""https://www.munzee.com/m/""&amp;$H748&amp;""/""&amp;$I748&amp;""/map/?lat=""&amp;$D748&amp;""&amp;lon=""&amp;$E748&amp;""&amp;type=""&amp;$G748&amp;""&amp;name=""&amp;SUBSTITUTE($A748,""#"&amp;""",""%23""),$H748&amp;""/""&amp;$I748),IF($H748&lt;&gt;"""",IF(REGEXMATCH($H748,""50( ?['fF]([oO]{2})?[tT]?)?( ?[eE][rR]{2}[oO][rR])""),HYPERLINK(""https://www.munzee.com/map/?sandbox=1&amp;lat=""&amp;$D748&amp;""&amp;lon=""&amp;$E748&amp;""&amp;name=""&amp;SUBSTITUTE($A748,""#"",""%23""),""SANDBOX"""&amp;"),HYPERLINK(""https://www.munzee.com/m/""&amp;$H748&amp;""/deploys/0/type/""&amp;IFNA(VLOOKUP($G748,IMPORTRANGE(""https://docs.google.com/spreadsheets/d/1DliIGyDywdzxhd4svtjaewR0p9Y5UBTMNMQ2PcXsqss"",""type data!E2:F""),2,FALSE),$G748)&amp;""/"",$H748)),""""))"),"SKlick/750")</f>
        <v>SKlick/750</v>
      </c>
      <c r="L748" s="19" t="b">
        <v>1</v>
      </c>
      <c r="M748" s="12">
        <f t="shared" si="1"/>
        <v>4</v>
      </c>
      <c r="N748" s="13"/>
      <c r="O748" s="13"/>
      <c r="P748" s="29"/>
    </row>
    <row r="749">
      <c r="A749" s="15" t="s">
        <v>1032</v>
      </c>
      <c r="B749" s="16">
        <v>37.0</v>
      </c>
      <c r="C749" s="16">
        <v>23.0</v>
      </c>
      <c r="D749" s="17">
        <v>44.860900285734</v>
      </c>
      <c r="E749" s="17">
        <v>-93.332397827061</v>
      </c>
      <c r="F749" s="16" t="s">
        <v>16</v>
      </c>
      <c r="G749" s="16" t="s">
        <v>17</v>
      </c>
      <c r="H749" s="18" t="s">
        <v>543</v>
      </c>
      <c r="I749" s="19">
        <v>2574.0</v>
      </c>
      <c r="J749" s="21"/>
      <c r="K749" s="11" t="str">
        <f>IFERROR(__xludf.DUMMYFUNCTION("IF(AND(REGEXMATCH($H749,""50( ?['fF]([oO]{2})?[tT]?)?( ?[eE][rR]{2}[oO][rR])"")=FALSE,$H749&lt;&gt;"""",$I749&lt;&gt;""""),HYPERLINK(""https://www.munzee.com/m/""&amp;$H749&amp;""/""&amp;$I749&amp;""/map/?lat=""&amp;$D749&amp;""&amp;lon=""&amp;$E749&amp;""&amp;type=""&amp;$G749&amp;""&amp;name=""&amp;SUBSTITUTE($A749,""#"&amp;""",""%23""),$H749&amp;""/""&amp;$I749),IF($H749&lt;&gt;"""",IF(REGEXMATCH($H749,""50( ?['fF]([oO]{2})?[tT]?)?( ?[eE][rR]{2}[oO][rR])""),HYPERLINK(""https://www.munzee.com/map/?sandbox=1&amp;lat=""&amp;$D749&amp;""&amp;lon=""&amp;$E749&amp;""&amp;name=""&amp;SUBSTITUTE($A749,""#"",""%23""),""SANDBOX"""&amp;"),HYPERLINK(""https://www.munzee.com/m/""&amp;$H749&amp;""/deploys/0/type/""&amp;IFNA(VLOOKUP($G749,IMPORTRANGE(""https://docs.google.com/spreadsheets/d/1DliIGyDywdzxhd4svtjaewR0p9Y5UBTMNMQ2PcXsqss"",""type data!E2:F""),2,FALSE),$G749)&amp;""/"",$H749)),""""))"),"ivwarrior/2574")</f>
        <v>ivwarrior/2574</v>
      </c>
      <c r="L749" s="19" t="b">
        <v>1</v>
      </c>
      <c r="M749" s="12">
        <f t="shared" si="1"/>
        <v>5</v>
      </c>
      <c r="N749" s="13"/>
      <c r="O749" s="13"/>
      <c r="P749" s="29"/>
    </row>
    <row r="750">
      <c r="A750" s="15" t="s">
        <v>1033</v>
      </c>
      <c r="B750" s="16">
        <v>37.0</v>
      </c>
      <c r="C750" s="16">
        <v>24.0</v>
      </c>
      <c r="D750" s="17">
        <v>44.860900285554</v>
      </c>
      <c r="E750" s="17">
        <v>-93.332195053201</v>
      </c>
      <c r="F750" s="16" t="s">
        <v>16</v>
      </c>
      <c r="G750" s="16" t="s">
        <v>17</v>
      </c>
      <c r="H750" s="18" t="s">
        <v>1034</v>
      </c>
      <c r="I750" s="19">
        <v>2354.0</v>
      </c>
      <c r="J750" s="20"/>
      <c r="K750" s="11" t="str">
        <f>IFERROR(__xludf.DUMMYFUNCTION("IF(AND(REGEXMATCH($H750,""50( ?['fF]([oO]{2})?[tT]?)?( ?[eE][rR]{2}[oO][rR])"")=FALSE,$H750&lt;&gt;"""",$I750&lt;&gt;""""),HYPERLINK(""https://www.munzee.com/m/""&amp;$H750&amp;""/""&amp;$I750&amp;""/map/?lat=""&amp;$D750&amp;""&amp;lon=""&amp;$E750&amp;""&amp;type=""&amp;$G750&amp;""&amp;name=""&amp;SUBSTITUTE($A750,""#"&amp;""",""%23""),$H750&amp;""/""&amp;$I750),IF($H750&lt;&gt;"""",IF(REGEXMATCH($H750,""50( ?['fF]([oO]{2})?[tT]?)?( ?[eE][rR]{2}[oO][rR])""),HYPERLINK(""https://www.munzee.com/map/?sandbox=1&amp;lat=""&amp;$D750&amp;""&amp;lon=""&amp;$E750&amp;""&amp;name=""&amp;SUBSTITUTE($A750,""#"",""%23""),""SANDBOX"""&amp;"),HYPERLINK(""https://www.munzee.com/m/""&amp;$H750&amp;""/deploys/0/type/""&amp;IFNA(VLOOKUP($G750,IMPORTRANGE(""https://docs.google.com/spreadsheets/d/1DliIGyDywdzxhd4svtjaewR0p9Y5UBTMNMQ2PcXsqss"",""type data!E2:F""),2,FALSE),$G750)&amp;""/"",$H750)),""""))"),"amoocow/2354")</f>
        <v>amoocow/2354</v>
      </c>
      <c r="L750" s="19" t="b">
        <v>1</v>
      </c>
      <c r="M750" s="12">
        <f t="shared" si="1"/>
        <v>1</v>
      </c>
      <c r="N750" s="13"/>
      <c r="O750" s="13"/>
      <c r="P750" s="29"/>
    </row>
  </sheetData>
  <customSheetViews>
    <customSheetView guid="{93F2E2A1-3879-4E44-AF0D-F5E4808EC66E}" filter="1" showAutoFilter="1">
      <autoFilter ref="$A$1:$N$750">
        <filterColumn colId="11">
          <filters/>
        </filterColumn>
      </autoFilter>
    </customSheetView>
  </customSheetViews>
  <conditionalFormatting sqref="A2:G750 K2:L750">
    <cfRule type="expression" dxfId="0" priority="1">
      <formula>IF($L2=TRUE,TRUE,FALSE)</formula>
    </cfRule>
  </conditionalFormatting>
  <conditionalFormatting sqref="H2:M750">
    <cfRule type="expression" dxfId="1" priority="2">
      <formula>IF(AND($H2&lt;&gt;"",$I2&lt;&gt;"",$L2=FALSE),TRUE,FALSE)</formula>
    </cfRule>
  </conditionalFormatting>
  <conditionalFormatting sqref="H2:M750">
    <cfRule type="expression" dxfId="2" priority="3">
      <formula>IF(AND($H2&lt;&gt;"",$L2=FALSE),TRUE,FALSE)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25"/>
  </cols>
  <sheetData>
    <row r="1">
      <c r="A1" s="42" t="s">
        <v>1035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/>
      <c r="B2" s="43"/>
      <c r="C2" s="45" t="s">
        <v>1036</v>
      </c>
      <c r="D2" s="46"/>
      <c r="E2" s="47" t="s">
        <v>1037</v>
      </c>
      <c r="F2" s="48" t="s">
        <v>1038</v>
      </c>
      <c r="G2" s="47" t="s">
        <v>1039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9"/>
      <c r="B3" s="43"/>
      <c r="C3" s="50"/>
      <c r="D3" s="50"/>
      <c r="E3" s="50"/>
      <c r="F3" s="51"/>
      <c r="G3" s="50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52"/>
      <c r="B4" s="43"/>
      <c r="C4" s="53" t="s">
        <v>1040</v>
      </c>
      <c r="E4" s="54">
        <f>COUNTIF('Gingerbread Man'!$F$3:$F1020,"="&amp;"Virtual")</f>
        <v>51</v>
      </c>
      <c r="F4" s="55">
        <f>COUNTIFS('Gingerbread Man'!F1:F750,"Virtual",'Gingerbread Man'!H1:H750,"")</f>
        <v>0</v>
      </c>
      <c r="G4" s="55">
        <f>E4-COUNTIFS('Gingerbread Man'!F3:F750,"Virtual",'Gingerbread Man'!I3:I750,"")</f>
        <v>51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B5" s="43"/>
      <c r="C5" s="56" t="s">
        <v>1041</v>
      </c>
      <c r="E5" s="57">
        <f>COUNTIF('Gingerbread Man'!$F$3:$F1020,"="&amp;"virtual Granny Smith Apple")</f>
        <v>4</v>
      </c>
      <c r="F5" s="55">
        <f>COUNTIFS('Gingerbread Man'!F3:F750,"Virtual Granny Smith Apple",'Gingerbread Man'!H3:H750,"")</f>
        <v>0</v>
      </c>
      <c r="G5" s="55">
        <f>E5-COUNTIFS('Gingerbread Man'!F3:F750,"Virtual Granny Smith Apple",'Gingerbread Man'!I3:I750,"")</f>
        <v>4</v>
      </c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58"/>
      <c r="B6" s="43"/>
      <c r="C6" s="59" t="s">
        <v>1042</v>
      </c>
      <c r="E6" s="57">
        <f>COUNTIF('Gingerbread Man'!$F$3:$F1020,"="&amp;"virtual Black")</f>
        <v>148</v>
      </c>
      <c r="F6" s="55">
        <f>COUNTIFS('Gingerbread Man'!F3:F751,"Virtual Black",'Gingerbread Man'!H3:H751,"")</f>
        <v>0</v>
      </c>
      <c r="G6" s="55">
        <f>E6-COUNTIFS('Gingerbread Man'!F3:F751,"Virtual Black",'Gingerbread Man'!I3:I751,"")</f>
        <v>148</v>
      </c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58"/>
      <c r="B7" s="43"/>
      <c r="C7" s="56" t="s">
        <v>1043</v>
      </c>
      <c r="E7" s="57">
        <f>COUNTIF('Gingerbread Man'!$F$3:$F1020,"="&amp;"virtual Raw Sienna")</f>
        <v>509</v>
      </c>
      <c r="F7" s="55">
        <f>COUNTIFS('Gingerbread Man'!F3:F752,"Virtual Raw Sienna",'Gingerbread Man'!H3:H752,"")</f>
        <v>0</v>
      </c>
      <c r="G7" s="55">
        <f>E7-COUNTIFS('Gingerbread Man'!F3:F752,"Virtual Raw Sienna",'Gingerbread Man'!I3:I752,"")</f>
        <v>509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58"/>
      <c r="B8" s="43"/>
      <c r="C8" s="60" t="s">
        <v>1044</v>
      </c>
      <c r="E8" s="57">
        <f>COUNTIF('Gingerbread Man'!$F$3:$F1020,"="&amp;"virtual red")</f>
        <v>8</v>
      </c>
      <c r="F8" s="55">
        <f>COUNTIFS('Gingerbread Man'!F3:F752,"Virtual red",'Gingerbread Man'!H3:H752,"")</f>
        <v>0</v>
      </c>
      <c r="G8" s="55">
        <f>E8-COUNTIFS('Gingerbread Man'!F3:F752,"Virtual red",'Gingerbread Man'!I3:I752,"")</f>
        <v>8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58"/>
      <c r="B9" s="43"/>
      <c r="C9" s="60" t="s">
        <v>1045</v>
      </c>
      <c r="E9" s="57">
        <f>COUNTIF('Gingerbread Man'!$F$3:$F1020,"="&amp;"virtual Yellow")</f>
        <v>4</v>
      </c>
      <c r="F9" s="55">
        <f>COUNTIFS('Gingerbread Man'!F3:F753,"Virtual yellow",'Gingerbread Man'!H3:H753,"")</f>
        <v>0</v>
      </c>
      <c r="G9" s="55">
        <f>E9-COUNTIFS('Gingerbread Man'!F3:F753,"Virtual Yellow",'Gingerbread Man'!I3:I753,"")</f>
        <v>4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58"/>
      <c r="B10" s="43"/>
      <c r="C10" s="60" t="s">
        <v>1046</v>
      </c>
      <c r="E10" s="57">
        <f>COUNTIF('Gingerbread Man'!$F$3:$F1020,"="&amp;"virtual pink")</f>
        <v>20</v>
      </c>
      <c r="F10" s="55">
        <f>COUNTIFS('Gingerbread Man'!F3:F753,"Virtual pink",'Gingerbread Man'!H3:H753,"")</f>
        <v>0</v>
      </c>
      <c r="G10" s="55">
        <f>E10-COUNTIFS('Gingerbread Man'!F3:F753,"Virtual pink",'Gingerbread Man'!I3:I753,"")</f>
        <v>20</v>
      </c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58"/>
      <c r="B11" s="43"/>
      <c r="C11" s="60" t="s">
        <v>1047</v>
      </c>
      <c r="E11" s="57">
        <f>COUNTIF('Gingerbread Man'!$F$3:$F1020,"="&amp;"virtual cornflower")</f>
        <v>4</v>
      </c>
      <c r="F11" s="55">
        <f>COUNTIFS('Gingerbread Man'!F3:F754,"Virtual cornflower",'Gingerbread Man'!H3:H754,"")</f>
        <v>0</v>
      </c>
      <c r="G11" s="55">
        <f>E11-COUNTIFS('Gingerbread Man'!F3:F754,"Virtual cornflower",'Gingerbread Man'!I3:I754,"")</f>
        <v>4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58"/>
      <c r="B12" s="43"/>
      <c r="C12" s="61"/>
      <c r="D12" s="50"/>
      <c r="E12" s="47"/>
      <c r="F12" s="47"/>
      <c r="G12" s="47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58"/>
      <c r="B13" s="43"/>
      <c r="C13" s="61" t="s">
        <v>1037</v>
      </c>
      <c r="D13" s="50"/>
      <c r="E13" s="47">
        <f t="shared" ref="E13:G13" si="1">Sum(E4:E11)</f>
        <v>748</v>
      </c>
      <c r="F13" s="62">
        <f t="shared" si="1"/>
        <v>0</v>
      </c>
      <c r="G13" s="62">
        <f t="shared" si="1"/>
        <v>748</v>
      </c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58"/>
      <c r="B14" s="43"/>
      <c r="C14" s="63"/>
      <c r="D14" s="63"/>
      <c r="E14" s="63"/>
      <c r="F14" s="64"/>
      <c r="G14" s="6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58"/>
      <c r="B15" s="43"/>
      <c r="C15" s="65" t="s">
        <v>1048</v>
      </c>
      <c r="D15" s="66"/>
      <c r="E15" s="67"/>
      <c r="F15" s="68"/>
      <c r="G15" s="67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69"/>
      <c r="B16" s="43"/>
      <c r="C16" s="70"/>
      <c r="D16" s="70"/>
      <c r="E16" s="70"/>
      <c r="F16" s="71"/>
      <c r="G16" s="70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72" t="str">
        <f>HYPERLINK("https://www.munzee.com/map/9zvxhprkh/15.286179900192206","Map link- https://www.munzee.com/map/9zvxhprkh/15.286179900192206")</f>
        <v>Map link- https://www.munzee.com/map/9zvxhprkh/15.286179900192206</v>
      </c>
      <c r="B17" s="43"/>
      <c r="C17" s="73" t="s">
        <v>1049</v>
      </c>
      <c r="E17" s="74">
        <f>G13/E13</f>
        <v>1</v>
      </c>
      <c r="F17" s="70"/>
      <c r="G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B18" s="43"/>
      <c r="C18" s="43"/>
      <c r="D18" s="43"/>
      <c r="E18" s="43"/>
      <c r="F18" s="43"/>
      <c r="G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B19" s="43"/>
      <c r="C19" s="75" t="s">
        <v>1050</v>
      </c>
      <c r="D19" s="76"/>
      <c r="E19" s="77" t="s">
        <v>1051</v>
      </c>
      <c r="F19" s="78"/>
      <c r="G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B20" s="43"/>
      <c r="C20" s="79"/>
      <c r="D20" s="80"/>
      <c r="E20" s="81">
        <f>IFERROR(__xludf.DUMMYFUNCTION("COUNTUNIQUE('Gingerbread Man'!H3:H1037)"),261.0)</f>
        <v>261</v>
      </c>
      <c r="F20" s="78"/>
      <c r="G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B21" s="43"/>
      <c r="C21" s="82" t="str">
        <f>IFERROR(__xludf.DUMMYFUNCTION("QUERY('Gingerbread Man'!H3:H750, ""select H, count(H) where H != '' group by H order by count(H) desc limit 10 label H 'Username', count(H) 'Promised'"", 0)"),"Username")</f>
        <v>Username</v>
      </c>
      <c r="D21" s="83" t="str">
        <f>IFERROR(__xludf.DUMMYFUNCTION("""COMPUTED_VALUE"""),"Promised")</f>
        <v>Promised</v>
      </c>
      <c r="E21" s="84" t="s">
        <v>1052</v>
      </c>
      <c r="F21" s="78"/>
      <c r="G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B22" s="43"/>
      <c r="C22" s="85" t="str">
        <f>IFERROR(__xludf.DUMMYFUNCTION("""COMPUTED_VALUE"""),"JABIE28")</f>
        <v>JABIE28</v>
      </c>
      <c r="D22" s="86">
        <f>IFERROR(__xludf.DUMMYFUNCTION("""COMPUTED_VALUE"""),84.0)</f>
        <v>84</v>
      </c>
      <c r="E22" s="87">
        <f>IF(C22="","",COUNTIFS('Gingerbread Man'!H3:H750,"*"&amp;C22&amp;"*",'Gingerbread Man'!L3:L750,TRUE))</f>
        <v>84</v>
      </c>
      <c r="F22" s="88"/>
      <c r="G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B23" s="43"/>
      <c r="C23" s="89" t="str">
        <f>IFERROR(__xludf.DUMMYFUNCTION("""COMPUTED_VALUE"""),"warped6")</f>
        <v>warped6</v>
      </c>
      <c r="D23" s="90">
        <f>IFERROR(__xludf.DUMMYFUNCTION("""COMPUTED_VALUE"""),24.0)</f>
        <v>24</v>
      </c>
      <c r="E23" s="91">
        <f>IF(C23="","",COUNTIFS('Gingerbread Man'!H4:H751,"*"&amp;C23&amp;"*",'Gingerbread Man'!L4:L751,TRUE))</f>
        <v>24</v>
      </c>
      <c r="F23" s="92"/>
      <c r="G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B24" s="43"/>
      <c r="C24" s="93" t="str">
        <f>IFERROR(__xludf.DUMMYFUNCTION("""COMPUTED_VALUE"""),"Whelen")</f>
        <v>Whelen</v>
      </c>
      <c r="D24" s="94">
        <f>IFERROR(__xludf.DUMMYFUNCTION("""COMPUTED_VALUE"""),22.0)</f>
        <v>22</v>
      </c>
      <c r="E24" s="95">
        <f>IF(C24="","",COUNTIFS('Gingerbread Man'!H5:H752,"*"&amp;C24&amp;"*",'Gingerbread Man'!L5:L752,TRUE))</f>
        <v>22</v>
      </c>
      <c r="F24" s="92"/>
      <c r="G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B25" s="43"/>
      <c r="C25" s="96" t="str">
        <f>IFERROR(__xludf.DUMMYFUNCTION("""COMPUTED_VALUE"""),"jsamundson")</f>
        <v>jsamundson</v>
      </c>
      <c r="D25" s="97">
        <f>IFERROR(__xludf.DUMMYFUNCTION("""COMPUTED_VALUE"""),20.0)</f>
        <v>20</v>
      </c>
      <c r="E25" s="98">
        <f>IF(C25="","",COUNTIFS('Gingerbread Man'!H6:H753,"*"&amp;C25&amp;"*",'Gingerbread Man'!L6:L753,TRUE))</f>
        <v>20</v>
      </c>
      <c r="F25" s="78"/>
      <c r="G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B26" s="43"/>
      <c r="C26" s="99" t="str">
        <f>IFERROR(__xludf.DUMMYFUNCTION("""COMPUTED_VALUE"""),"munzeepa")</f>
        <v>munzeepa</v>
      </c>
      <c r="D26" s="97">
        <f>IFERROR(__xludf.DUMMYFUNCTION("""COMPUTED_VALUE"""),20.0)</f>
        <v>20</v>
      </c>
      <c r="E26" s="98">
        <f>IF(C26="","",COUNTIFS('Gingerbread Man'!H7:H754,"*"&amp;C26&amp;"*",'Gingerbread Man'!L7:L754,TRUE))</f>
        <v>20</v>
      </c>
      <c r="F26" s="78"/>
      <c r="G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B27" s="43"/>
      <c r="C27" s="100" t="str">
        <f>IFERROR(__xludf.DUMMYFUNCTION("""COMPUTED_VALUE"""),"Westmarch")</f>
        <v>Westmarch</v>
      </c>
      <c r="D27" s="97">
        <f>IFERROR(__xludf.DUMMYFUNCTION("""COMPUTED_VALUE"""),12.0)</f>
        <v>12</v>
      </c>
      <c r="E27" s="98">
        <f>IF(C27="","",COUNTIFS('Gingerbread Man'!H8:H755,"*"&amp;C27&amp;"*",'Gingerbread Man'!L8:L755,TRUE))</f>
        <v>11</v>
      </c>
      <c r="F27" s="78"/>
      <c r="G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B28" s="43"/>
      <c r="C28" s="100" t="str">
        <f>IFERROR(__xludf.DUMMYFUNCTION("""COMPUTED_VALUE"""),"qwerty2582")</f>
        <v>qwerty2582</v>
      </c>
      <c r="D28" s="97">
        <f>IFERROR(__xludf.DUMMYFUNCTION("""COMPUTED_VALUE"""),12.0)</f>
        <v>12</v>
      </c>
      <c r="E28" s="98">
        <f>IF(C28="","",COUNTIFS('Gingerbread Man'!H9:H756,"*"&amp;C28&amp;"*",'Gingerbread Man'!L9:L756,TRUE))</f>
        <v>12</v>
      </c>
      <c r="F28" s="78"/>
      <c r="G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B29" s="43"/>
      <c r="C29" s="100" t="str">
        <f>IFERROR(__xludf.DUMMYFUNCTION("""COMPUTED_VALUE"""),"TJACS")</f>
        <v>TJACS</v>
      </c>
      <c r="D29" s="97">
        <f>IFERROR(__xludf.DUMMYFUNCTION("""COMPUTED_VALUE"""),11.0)</f>
        <v>11</v>
      </c>
      <c r="E29" s="98">
        <f>IF(C29="","",COUNTIFS('Gingerbread Man'!H10:H757,"*"&amp;C29&amp;"*",'Gingerbread Man'!L10:L757,TRUE))</f>
        <v>11</v>
      </c>
      <c r="F29" s="78"/>
      <c r="G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B30" s="43"/>
      <c r="C30" s="100" t="str">
        <f>IFERROR(__xludf.DUMMYFUNCTION("""COMPUTED_VALUE"""),"yhtak57")</f>
        <v>yhtak57</v>
      </c>
      <c r="D30" s="97">
        <f>IFERROR(__xludf.DUMMYFUNCTION("""COMPUTED_VALUE"""),11.0)</f>
        <v>11</v>
      </c>
      <c r="E30" s="98">
        <f>IF(C30="","",COUNTIFS('Gingerbread Man'!H11:H758,"*"&amp;C30&amp;"*",'Gingerbread Man'!L11:L758,TRUE))</f>
        <v>12</v>
      </c>
      <c r="F30" s="78"/>
      <c r="G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B31" s="43"/>
      <c r="C31" s="101" t="str">
        <f>IFERROR(__xludf.DUMMYFUNCTION("""COMPUTED_VALUE"""),"BarbMitchell")</f>
        <v>BarbMitchell</v>
      </c>
      <c r="D31" s="102">
        <f>IFERROR(__xludf.DUMMYFUNCTION("""COMPUTED_VALUE"""),10.0)</f>
        <v>10</v>
      </c>
      <c r="E31" s="98">
        <f>IF(C31="","",COUNTIFS('Gingerbread Man'!H12:H759,"*"&amp;C31&amp;"*",'Gingerbread Man'!L12:L759,TRUE))</f>
        <v>10</v>
      </c>
      <c r="F31" s="78"/>
      <c r="G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idden="1">
      <c r="A32" s="103"/>
      <c r="B32" s="43"/>
      <c r="C32" s="104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idden="1">
      <c r="A33" s="105"/>
      <c r="B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</row>
    <row r="34" hidden="1">
      <c r="A34" s="43"/>
      <c r="B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idden="1">
      <c r="A35" s="43"/>
      <c r="B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idden="1">
      <c r="A36" s="43"/>
      <c r="B36" s="43"/>
      <c r="C36" s="106"/>
      <c r="D36" s="106"/>
      <c r="E36" s="106"/>
      <c r="F36" s="106"/>
      <c r="G36" s="106"/>
      <c r="H36" s="106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idden="1">
      <c r="A37" s="43"/>
      <c r="B37" s="43"/>
      <c r="C37" s="106"/>
      <c r="D37" s="106"/>
      <c r="E37" s="106"/>
      <c r="F37" s="106"/>
      <c r="G37" s="106"/>
      <c r="H37" s="106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idden="1">
      <c r="A38" s="43"/>
      <c r="B38" s="43"/>
      <c r="C38" s="106"/>
      <c r="D38" s="106"/>
      <c r="E38" s="106"/>
      <c r="F38" s="106"/>
      <c r="G38" s="106"/>
      <c r="H38" s="106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idden="1">
      <c r="A39" s="43"/>
      <c r="B39" s="43"/>
      <c r="C39" s="104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idden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idden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idden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idden="1">
      <c r="A43" s="43"/>
      <c r="B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idden="1">
      <c r="A44" s="43"/>
      <c r="B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idden="1">
      <c r="A45" s="43"/>
      <c r="B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idden="1">
      <c r="A46" s="43"/>
      <c r="B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idden="1">
      <c r="A47" s="107"/>
      <c r="B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idden="1">
      <c r="A48" s="43"/>
      <c r="B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idden="1">
      <c r="B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idden="1">
      <c r="A50" s="43"/>
      <c r="B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idden="1">
      <c r="A51" s="43"/>
      <c r="B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idden="1">
      <c r="A52" s="43"/>
      <c r="B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idden="1">
      <c r="A53" s="43"/>
      <c r="B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idden="1">
      <c r="A54" s="43"/>
      <c r="B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idden="1">
      <c r="A55" s="43"/>
      <c r="B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idden="1">
      <c r="A56" s="43"/>
      <c r="B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idden="1">
      <c r="A57" s="43"/>
      <c r="B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idden="1">
      <c r="A58" s="43"/>
      <c r="B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idden="1">
      <c r="A59" s="43"/>
      <c r="B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idden="1">
      <c r="A60" s="43"/>
      <c r="B60" s="43"/>
      <c r="C60" s="10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idden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idden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idden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idden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idden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idden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idden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idden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idden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idden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idden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idden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idden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idden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idden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idden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idden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idden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idden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idden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idden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idden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idden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idden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idden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idden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idden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idden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idden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idden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idden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idden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idden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idden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idden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idden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idden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idden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idden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idden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idden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idden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idden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idden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idden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idden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idden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idden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idden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idden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idden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idden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idden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idden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idden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idden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idden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idden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idden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idden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idden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idden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idden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idden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idden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idden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idden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idden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idden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idden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idden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idden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idden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idden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idden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idden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idden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idden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idden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idden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idden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idden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idden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idden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idden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idden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idden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idden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idden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idden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idden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idden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idden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idden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idden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idden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idden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idden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idden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idden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idden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idden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idden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idden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idden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idden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idden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idden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idden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idden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idden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idden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idden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idden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idden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idden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idden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idden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idden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idden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idden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idden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idden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idden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idden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idden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idden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idden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idden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idden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idden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idden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idden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idden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idden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idden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idden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idden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idden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idden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idden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idden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idden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idden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idden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idden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idden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idden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idden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idden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idden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idden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idden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idden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idden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idden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idden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idden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idden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idden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idden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idden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idden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idden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idden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idden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idden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idden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idden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idden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idden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idden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idden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idden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idden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idden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idden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idden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idden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idden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idden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idden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idden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idden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idden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idden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idden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idden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idden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idden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idden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idden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idden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idden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idden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idden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idden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idden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idden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idden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idden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idden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idden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idden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idden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idden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idden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idden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idden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idden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idden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idden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idden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idden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idden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idden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idden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idden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idden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idden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idden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idden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idden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idden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idden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idden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idden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idden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idden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idden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idden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idden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idden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idden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idden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idden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idden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idden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idden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idden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idden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idden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idden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idden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idden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idden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idden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idden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idden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idden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idden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idden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idden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idden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idden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idden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idden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idden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idden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idden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idden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idden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idden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idden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idden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idden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idden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idden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idden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idden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idden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idden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idden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idden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idden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idden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idden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idden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idden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idden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idden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idden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idden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idden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idden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idden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idden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idden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idden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idden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idden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idden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idden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idden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idden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idden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idden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idden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idden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idden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idden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idden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idden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idden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idden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idden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idden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idden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idden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idden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idden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idden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idden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idden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idden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idden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idden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idden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idden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idden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idden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idden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idden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idden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idden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idden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idden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idden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idden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idden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idden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idden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idden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idden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idden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idden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idden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idden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idden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idden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idden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idden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idden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idden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idden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idden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idden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idden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idden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idden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idden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idden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idden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idden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idden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idden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idden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idden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idden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idden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idden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idden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idden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idden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idden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idden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idden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idden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idden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idden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idden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idden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idden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idden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idden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idden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idden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idden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idden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idden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idden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idden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idden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idden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idden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idden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idden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idden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idden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idden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idden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idden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idden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idden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idden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idden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idden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idden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idden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idden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idden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idden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idden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idden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idden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idden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idden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idden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idden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idden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idden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idden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idden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idden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idden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idden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idden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idden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idden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idden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idden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idden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idden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idden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idden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idden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idden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idden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idden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idden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idden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idden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idden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idden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idden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idden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idden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idden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idden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idden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idden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idden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idden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idden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idden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idden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idden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idden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idden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idden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idden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idden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idden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idden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idden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idden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idden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idden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idden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idden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idden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idden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idden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idden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idden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idden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idden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idden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idden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idden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idden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idden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idden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idden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idden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idden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idden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idden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idden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idden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idden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idden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idden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idden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idden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idden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idden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idden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idden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idden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idden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idden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idden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idden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idden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idden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idden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idden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idden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idden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idden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idden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idden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idden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idden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idden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idden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idden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idden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idden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idden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idden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idden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idden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idden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idden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idden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idden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idden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idden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idden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idden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idden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idden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idden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idden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idden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idden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idden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idden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idden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idden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idden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idden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idden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idden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idden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idden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idden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idden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idden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idden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idden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idden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idden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idden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idden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idden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idden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idden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idden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idden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idden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idden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idden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idden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idden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idden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idden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idden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idden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idden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idden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idden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idden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idden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idden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idden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idden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idden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idden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idden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idden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idden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idden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idden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idden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idden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idden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idden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idden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idden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idden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idden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idden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idden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idden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idden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idden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idden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idden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idden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idden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idden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idden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idden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idden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idden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idden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idden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idden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idden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idden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idden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idden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idden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idden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idden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idden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idden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idden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idden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idden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idden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idden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idden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idden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idden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idden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idden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idden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idden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idden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idden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idden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idden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idden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idden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idden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idden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idden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idden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idden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idden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idden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idden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idden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idden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idden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idden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idden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idden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idden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idden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idden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idden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idden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idden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idden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idden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idden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idden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idden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idden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idden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idden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idden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idden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idden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idden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idden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idden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idden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idden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idden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idden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idden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idden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idden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idden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idden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idden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idden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idden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idden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idden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idden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idden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idden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idden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idden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idden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idden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idden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idden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idden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idden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idden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idden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idden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idden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idden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idden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idden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idden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idden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idden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idden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idden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idden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idden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idden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idden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idden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idden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idden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idden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idden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idden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idden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idden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idden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idden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idden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idden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idden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idden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idden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idden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idden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idden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idden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idden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idden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idden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idden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idden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idden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idden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idden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idden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idden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idden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idden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idden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idden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idden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idden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idden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idden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idden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idden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idden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idden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idden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idden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idden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idden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idden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idden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idden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idden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idden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idden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idden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idden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idden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idden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idden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idden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idden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idden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idden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idden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idden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idden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idden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idden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idden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idden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idden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idden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idden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idden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idden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idden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idden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idden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idden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idden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idden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idden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idden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idden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idden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idden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idden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idden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idden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idden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idden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idden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idden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idden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idden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idden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idden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idden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idden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idden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idden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idden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idden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idden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idden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idden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idden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idden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idden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idden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idden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idden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idden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idden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idden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idden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idden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idden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idden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idden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idden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idden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idden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idden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idden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idden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idden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idden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idden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idden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idden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idden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idden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idden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idden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idden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idden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idden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idden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idden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idden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idden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idden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idden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idden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idden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idden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idden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idden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idden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idden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idden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idden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idden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idden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idden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idden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idden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idden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idden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idden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idden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idden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idden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idden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idden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idden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idden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idden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idden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idden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idden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idden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idden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idden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idden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idden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idden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idden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idden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idden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idden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idden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idden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idden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idden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idden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idden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idden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idden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idden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idden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idden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idden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idden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idden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idden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idden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idden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idden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idden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idden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idden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idden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idden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idden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idden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idden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idden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idden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idden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idden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idden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idden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idden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idden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idden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idden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idden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idden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idden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idden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idden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idden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idden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idden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idden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idden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idden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idden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idden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idden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idden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idden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idden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idden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idden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idden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idden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idden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hidden="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hidden="1">
      <c r="A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hidden="1">
      <c r="A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 hidden="1">
      <c r="A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 hidden="1">
      <c r="A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 hidden="1">
      <c r="A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 hidden="1">
      <c r="A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 hidden="1">
      <c r="A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 hidden="1">
      <c r="A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 hidden="1">
      <c r="A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 hidden="1">
      <c r="A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 hidden="1">
      <c r="A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 hidden="1">
      <c r="A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  <row r="1014" hidden="1">
      <c r="A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</row>
    <row r="1015" hidden="1">
      <c r="A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</row>
    <row r="1016" hidden="1">
      <c r="A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</row>
    <row r="1017" hidden="1">
      <c r="A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</row>
    <row r="1018" hidden="1">
      <c r="A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</row>
    <row r="1019" hidden="1">
      <c r="A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</row>
    <row r="1020" hidden="1">
      <c r="A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</row>
  </sheetData>
  <mergeCells count="13">
    <mergeCell ref="C9:D9"/>
    <mergeCell ref="C10:D10"/>
    <mergeCell ref="C11:D11"/>
    <mergeCell ref="C17:D17"/>
    <mergeCell ref="C19:D20"/>
    <mergeCell ref="C32:G34"/>
    <mergeCell ref="A1:A3"/>
    <mergeCell ref="A4:A5"/>
    <mergeCell ref="C4:D4"/>
    <mergeCell ref="C5:D5"/>
    <mergeCell ref="C6:D6"/>
    <mergeCell ref="C7:D7"/>
    <mergeCell ref="C8:D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hidden="1" min="2" max="2" width="4.75"/>
    <col customWidth="1" hidden="1" min="3" max="3" width="7.63"/>
    <col customWidth="1" min="4" max="4" width="19.75"/>
    <col customWidth="1" min="5" max="5" width="16.38"/>
    <col customWidth="1" min="6" max="6" width="14.88"/>
    <col customWidth="1" hidden="1" min="7" max="7" width="9.0"/>
    <col customWidth="1" min="8" max="8" width="15.88"/>
    <col customWidth="1" min="9" max="9" width="8.63"/>
    <col customWidth="1" min="10" max="10" width="54.75"/>
    <col customWidth="1" min="11" max="11" width="20.0"/>
    <col customWidth="1" min="12" max="12" width="8.25"/>
    <col customWidth="1" min="13" max="14" width="7.88"/>
  </cols>
  <sheetData>
    <row r="1">
      <c r="A1" s="108" t="s">
        <v>1053</v>
      </c>
      <c r="B1" s="108" t="s">
        <v>0</v>
      </c>
      <c r="C1" s="108" t="s">
        <v>1054</v>
      </c>
      <c r="D1" s="109" t="s">
        <v>2</v>
      </c>
      <c r="E1" s="109" t="s">
        <v>3</v>
      </c>
      <c r="F1" s="108" t="s">
        <v>4</v>
      </c>
      <c r="G1" s="108" t="s">
        <v>1055</v>
      </c>
      <c r="H1" s="108" t="s">
        <v>6</v>
      </c>
      <c r="I1" s="108" t="s">
        <v>7</v>
      </c>
      <c r="J1" s="108" t="s">
        <v>8</v>
      </c>
      <c r="K1" s="108" t="s">
        <v>1056</v>
      </c>
      <c r="L1" s="108" t="s">
        <v>10</v>
      </c>
      <c r="M1" s="108" t="s">
        <v>11</v>
      </c>
      <c r="N1" s="110" t="s">
        <v>1057</v>
      </c>
    </row>
    <row r="2">
      <c r="A2" s="111" t="str">
        <f>IFERROR(__xludf.DUMMYFUNCTION("IFERROR(QUERY('Gingerbread Man'!$A3:M865,""SELECT A,B,C,D,E,F,G,H,I WHERE H != '' AND L != ""&amp;TRUE&amp;"" ORDER BY I DESC, A"",0),""No deploys to verify at this time"")"),"No deploys to verify at this time")</f>
        <v>No deploys to verify at this time</v>
      </c>
      <c r="B2" s="13"/>
      <c r="C2" s="13"/>
      <c r="D2" s="112"/>
      <c r="E2" s="112"/>
      <c r="F2" s="13"/>
      <c r="G2" s="13"/>
      <c r="H2" s="13"/>
      <c r="I2" s="13"/>
      <c r="J2" s="108" t="str">
        <f>IF($A2="","",VLOOKUP($A2,'Gingerbread Man'!$A$3:J865,10,FALSE))</f>
        <v>#N/A</v>
      </c>
      <c r="K2" s="108" t="str">
        <f t="shared" ref="K2:K174" si="1">IF(OR($A2="",$A2="No deploys to verify at this time"),"",HYPERLINK("https://www.munzee.com/m/"&amp;$H2&amp;"/"&amp;$I2&amp;"/map/?lat="&amp;$D2&amp;"&amp;lon="&amp;$E2&amp;"&amp;type="&amp;$F2&amp;"&amp;name="&amp;SUBSTITUTE($A2,"#","%23"),$H2&amp;"/"&amp;$I2))</f>
        <v/>
      </c>
      <c r="L2" s="108" t="b">
        <f>IF($A2="","",VLOOKUP($A2,'Gingerbread Man'!$A3:L865,12))</f>
        <v>1</v>
      </c>
      <c r="M2" s="108">
        <f>IF($A2="","",VLOOKUP($A2,'Gingerbread Man'!$A$3:M865,13))</f>
        <v>1</v>
      </c>
      <c r="N2" s="108" t="str">
        <f>IFERROR(__xludf.DUMMYFUNCTION("IF($A2="""","""",HYPERLINK(""https://docs.google.com/spreadsheets/d/1LovjCF_yo-DR4S4HXV7VkZLEyCUjv4US6kt_l-v8-GM/edit#gid=0&amp;range=L""&amp;(REGEXREPLACE($A2,"".* #"","""")+1),IF($I2="""",""View!"",""Verify!"")))"),"View!")</f>
        <v>View!</v>
      </c>
    </row>
    <row r="3">
      <c r="A3" s="39"/>
      <c r="B3" s="39"/>
      <c r="C3" s="39"/>
      <c r="D3" s="113"/>
      <c r="E3" s="113"/>
      <c r="F3" s="39"/>
      <c r="G3" s="39"/>
      <c r="H3" s="39"/>
      <c r="I3" s="39"/>
      <c r="J3" s="108" t="str">
        <f>IF($A3="","",VLOOKUP($A3,'Gingerbread Man'!$A$3:J865,10,FALSE))</f>
        <v/>
      </c>
      <c r="K3" s="108" t="str">
        <f t="shared" si="1"/>
        <v/>
      </c>
      <c r="L3" s="19" t="b">
        <v>0</v>
      </c>
      <c r="M3" s="108" t="str">
        <f>IF($A3="","",VLOOKUP($A3,'Gingerbread Man'!$A$3:M865,13))</f>
        <v/>
      </c>
      <c r="N3" s="108" t="str">
        <f>IFERROR(__xludf.DUMMYFUNCTION("IF($A3="""","""",HYPERLINK(""https://docs.google.com/spreadsheets/d/1LovjCF_yo-DR4S4HXV7VkZLEyCUjv4US6kt_l-v8-GM/edit#gid=0&amp;range=L""&amp;(REGEXREPLACE($A3,"".* #"","""")+1),IF($I3="""",""View!"",""Verify!"")))"),"")</f>
        <v/>
      </c>
    </row>
    <row r="4">
      <c r="A4" s="39"/>
      <c r="B4" s="39"/>
      <c r="C4" s="39"/>
      <c r="D4" s="113"/>
      <c r="E4" s="113"/>
      <c r="F4" s="39"/>
      <c r="G4" s="39"/>
      <c r="H4" s="39"/>
      <c r="I4" s="39"/>
      <c r="J4" s="108" t="str">
        <f>IF($A4="","",VLOOKUP($A4,'Gingerbread Man'!$A$3:J865,10,FALSE))</f>
        <v/>
      </c>
      <c r="K4" s="108" t="str">
        <f t="shared" si="1"/>
        <v/>
      </c>
      <c r="L4" s="19" t="b">
        <v>0</v>
      </c>
      <c r="M4" s="108" t="str">
        <f>IF($A4="","",VLOOKUP($A4,'Gingerbread Man'!$A$3:M865,13))</f>
        <v/>
      </c>
      <c r="N4" s="108" t="str">
        <f>IFERROR(__xludf.DUMMYFUNCTION("IF($A4="""","""",HYPERLINK(""https://docs.google.com/spreadsheets/d/1LovjCF_yo-DR4S4HXV7VkZLEyCUjv4US6kt_l-v8-GM/edit#gid=0&amp;range=L""&amp;(REGEXREPLACE($A4,"".* #"","""")+1),IF($I4="""",""View!"",""Verify!"")))"),"")</f>
        <v/>
      </c>
    </row>
    <row r="5">
      <c r="A5" s="39"/>
      <c r="B5" s="39"/>
      <c r="C5" s="39"/>
      <c r="D5" s="113"/>
      <c r="E5" s="113"/>
      <c r="F5" s="39"/>
      <c r="G5" s="39"/>
      <c r="H5" s="39"/>
      <c r="I5" s="39"/>
      <c r="J5" s="108" t="str">
        <f>IF($A5="","",VLOOKUP($A5,'Gingerbread Man'!$A$3:J865,10,FALSE))</f>
        <v/>
      </c>
      <c r="K5" s="108" t="str">
        <f t="shared" si="1"/>
        <v/>
      </c>
      <c r="L5" s="19" t="b">
        <v>0</v>
      </c>
      <c r="M5" s="108" t="str">
        <f>IF($A5="","",VLOOKUP($A5,'Gingerbread Man'!$A$3:M865,13))</f>
        <v/>
      </c>
      <c r="N5" s="108" t="str">
        <f>IFERROR(__xludf.DUMMYFUNCTION("IF($A5="""","""",HYPERLINK(""https://docs.google.com/spreadsheets/d/1LovjCF_yo-DR4S4HXV7VkZLEyCUjv4US6kt_l-v8-GM/edit#gid=0&amp;range=L""&amp;(REGEXREPLACE($A5,"".* #"","""")+1),IF($I5="""",""View!"",""Verify!"")))"),"")</f>
        <v/>
      </c>
    </row>
    <row r="6">
      <c r="A6" s="39"/>
      <c r="B6" s="39"/>
      <c r="C6" s="39"/>
      <c r="D6" s="113"/>
      <c r="E6" s="113"/>
      <c r="F6" s="39"/>
      <c r="G6" s="39"/>
      <c r="H6" s="39"/>
      <c r="I6" s="39"/>
      <c r="J6" s="108" t="str">
        <f>IF($A6="","",VLOOKUP($A6,'Gingerbread Man'!$A$3:J865,10,FALSE))</f>
        <v/>
      </c>
      <c r="K6" s="108" t="str">
        <f t="shared" si="1"/>
        <v/>
      </c>
      <c r="L6" s="19" t="b">
        <v>0</v>
      </c>
      <c r="M6" s="108" t="str">
        <f>IF($A6="","",VLOOKUP($A6,'Gingerbread Man'!$A$3:M865,13))</f>
        <v/>
      </c>
      <c r="N6" s="108" t="str">
        <f>IFERROR(__xludf.DUMMYFUNCTION("IF($A6="""","""",HYPERLINK(""https://docs.google.com/spreadsheets/d/1LovjCF_yo-DR4S4HXV7VkZLEyCUjv4US6kt_l-v8-GM/edit#gid=0&amp;range=L""&amp;(REGEXREPLACE($A6,"".* #"","""")+1),IF($I6="""",""View!"",""Verify!"")))"),"")</f>
        <v/>
      </c>
    </row>
    <row r="7">
      <c r="A7" s="43"/>
      <c r="B7" s="43"/>
      <c r="C7" s="43"/>
      <c r="D7" s="114"/>
      <c r="E7" s="114"/>
      <c r="F7" s="43"/>
      <c r="G7" s="43"/>
      <c r="H7" s="115"/>
      <c r="I7" s="43"/>
      <c r="J7" s="43" t="str">
        <f>IF($A7="","",VLOOKUP($A7,'Gingerbread Man'!$A$3:J865,10,FALSE))</f>
        <v/>
      </c>
      <c r="K7" s="115" t="str">
        <f t="shared" si="1"/>
        <v/>
      </c>
      <c r="L7" s="43" t="b">
        <v>0</v>
      </c>
      <c r="M7" s="116" t="str">
        <f>IF($A7="","",VLOOKUP($A7,'Gingerbread Man'!$A$3:M865,13))</f>
        <v/>
      </c>
      <c r="N7" s="116" t="str">
        <f>IFERROR(__xludf.DUMMYFUNCTION("IF($A7="""","""",HYPERLINK(""https://docs.google.com/spreadsheets/d/1LovjCF_yo-DR4S4HXV7VkZLEyCUjv4US6kt_l-v8-GM/edit#gid=0&amp;range=L""&amp;(REGEXREPLACE($A7,"".* #"","""")+1),IF($I7="""",""View!"",""Verify!"")))"),"")</f>
        <v/>
      </c>
    </row>
    <row r="8">
      <c r="A8" s="39"/>
      <c r="B8" s="39"/>
      <c r="C8" s="39"/>
      <c r="D8" s="113"/>
      <c r="E8" s="113"/>
      <c r="F8" s="39"/>
      <c r="G8" s="39"/>
      <c r="H8" s="39"/>
      <c r="I8" s="39"/>
      <c r="J8" s="108" t="str">
        <f>IF($A8="","",VLOOKUP($A8,'Gingerbread Man'!$A$3:J865,10,FALSE))</f>
        <v/>
      </c>
      <c r="K8" s="108" t="str">
        <f t="shared" si="1"/>
        <v/>
      </c>
      <c r="L8" s="39" t="b">
        <v>0</v>
      </c>
      <c r="M8" s="108" t="str">
        <f>IF($A8="","",VLOOKUP($A8,'Gingerbread Man'!$A$3:M865,13))</f>
        <v/>
      </c>
      <c r="N8" s="108" t="str">
        <f>IFERROR(__xludf.DUMMYFUNCTION("IF($A8="""","""",HYPERLINK(""https://docs.google.com/spreadsheets/d/1LovjCF_yo-DR4S4HXV7VkZLEyCUjv4US6kt_l-v8-GM/edit#gid=0&amp;range=L""&amp;(REGEXREPLACE($A8,"".* #"","""")+1),IF($I8="""",""View!"",""Verify!"")))"),"")</f>
        <v/>
      </c>
    </row>
    <row r="9">
      <c r="A9" s="39"/>
      <c r="B9" s="39"/>
      <c r="C9" s="39"/>
      <c r="D9" s="113"/>
      <c r="E9" s="113"/>
      <c r="F9" s="39"/>
      <c r="G9" s="39"/>
      <c r="H9" s="39"/>
      <c r="I9" s="39"/>
      <c r="J9" s="108" t="str">
        <f>IF($A9="","",VLOOKUP($A9,'Gingerbread Man'!$A$3:J865,10,FALSE))</f>
        <v/>
      </c>
      <c r="K9" s="108" t="str">
        <f t="shared" si="1"/>
        <v/>
      </c>
      <c r="L9" s="39" t="b">
        <v>0</v>
      </c>
      <c r="M9" s="108" t="str">
        <f>IF($A9="","",VLOOKUP($A9,'Gingerbread Man'!$A$3:M865,13))</f>
        <v/>
      </c>
      <c r="N9" s="108" t="str">
        <f>IFERROR(__xludf.DUMMYFUNCTION("IF($A9="""","""",HYPERLINK(""https://docs.google.com/spreadsheets/d/1LovjCF_yo-DR4S4HXV7VkZLEyCUjv4US6kt_l-v8-GM/edit#gid=0&amp;range=L""&amp;(REGEXREPLACE($A9,"".* #"","""")+1),IF($I9="""",""View!"",""Verify!"")))"),"")</f>
        <v/>
      </c>
    </row>
    <row r="10">
      <c r="A10" s="39"/>
      <c r="B10" s="39"/>
      <c r="C10" s="39"/>
      <c r="D10" s="113"/>
      <c r="E10" s="113"/>
      <c r="F10" s="39"/>
      <c r="G10" s="39"/>
      <c r="H10" s="39"/>
      <c r="I10" s="39"/>
      <c r="J10" s="108" t="str">
        <f>IF($A10="","",VLOOKUP($A10,'Gingerbread Man'!$A$3:J865,10,FALSE))</f>
        <v/>
      </c>
      <c r="K10" s="108" t="str">
        <f t="shared" si="1"/>
        <v/>
      </c>
      <c r="L10" s="39" t="b">
        <v>0</v>
      </c>
      <c r="M10" s="108" t="str">
        <f>IF($A10="","",VLOOKUP($A10,'Gingerbread Man'!$A$3:M865,13))</f>
        <v/>
      </c>
      <c r="N10" s="108" t="str">
        <f>IFERROR(__xludf.DUMMYFUNCTION("IF($A10="""","""",HYPERLINK(""https://docs.google.com/spreadsheets/d/1LovjCF_yo-DR4S4HXV7VkZLEyCUjv4US6kt_l-v8-GM/edit#gid=0&amp;range=L""&amp;(REGEXREPLACE($A10,"".* #"","""")+1),IF($I10="""",""View!"",""Verify!"")))"),"")</f>
        <v/>
      </c>
    </row>
    <row r="11">
      <c r="A11" s="39"/>
      <c r="B11" s="39"/>
      <c r="C11" s="39"/>
      <c r="D11" s="113"/>
      <c r="E11" s="113"/>
      <c r="F11" s="39"/>
      <c r="G11" s="39"/>
      <c r="H11" s="39"/>
      <c r="I11" s="39"/>
      <c r="J11" s="108" t="str">
        <f>IF($A11="","",VLOOKUP($A11,'Gingerbread Man'!$A$3:J865,10,FALSE))</f>
        <v/>
      </c>
      <c r="K11" s="108" t="str">
        <f t="shared" si="1"/>
        <v/>
      </c>
      <c r="L11" s="39" t="b">
        <v>0</v>
      </c>
      <c r="M11" s="108" t="str">
        <f>IF($A11="","",VLOOKUP($A11,'Gingerbread Man'!$A$3:M865,13))</f>
        <v/>
      </c>
      <c r="N11" s="108" t="str">
        <f>IFERROR(__xludf.DUMMYFUNCTION("IF($A11="""","""",HYPERLINK(""https://docs.google.com/spreadsheets/d/1LovjCF_yo-DR4S4HXV7VkZLEyCUjv4US6kt_l-v8-GM/edit#gid=0&amp;range=L""&amp;(REGEXREPLACE($A11,"".* #"","""")+1),IF($I11="""",""View!"",""Verify!"")))"),"")</f>
        <v/>
      </c>
    </row>
    <row r="12">
      <c r="A12" s="39"/>
      <c r="B12" s="39"/>
      <c r="C12" s="39"/>
      <c r="D12" s="113"/>
      <c r="E12" s="113"/>
      <c r="F12" s="39"/>
      <c r="G12" s="39"/>
      <c r="H12" s="39"/>
      <c r="I12" s="39"/>
      <c r="J12" s="108" t="str">
        <f>IF($A12="","",VLOOKUP($A12,'Gingerbread Man'!$A$3:J865,10,FALSE))</f>
        <v/>
      </c>
      <c r="K12" s="108" t="str">
        <f t="shared" si="1"/>
        <v/>
      </c>
      <c r="L12" s="39" t="b">
        <v>0</v>
      </c>
      <c r="M12" s="108" t="str">
        <f>IF($A12="","",VLOOKUP($A12,'Gingerbread Man'!$A$3:M865,13))</f>
        <v/>
      </c>
      <c r="N12" s="108" t="str">
        <f>IFERROR(__xludf.DUMMYFUNCTION("IF($A12="""","""",HYPERLINK(""https://docs.google.com/spreadsheets/d/1LovjCF_yo-DR4S4HXV7VkZLEyCUjv4US6kt_l-v8-GM/edit#gid=0&amp;range=L""&amp;(REGEXREPLACE($A12,"".* #"","""")+1),IF($I12="""",""View!"",""Verify!"")))"),"")</f>
        <v/>
      </c>
    </row>
    <row r="13">
      <c r="A13" s="39"/>
      <c r="B13" s="39"/>
      <c r="C13" s="39"/>
      <c r="D13" s="113"/>
      <c r="E13" s="113"/>
      <c r="F13" s="39"/>
      <c r="G13" s="39"/>
      <c r="H13" s="39"/>
      <c r="I13" s="39"/>
      <c r="J13" s="108" t="str">
        <f>IF($A13="","",VLOOKUP($A13,'Gingerbread Man'!$A$3:J865,10,FALSE))</f>
        <v/>
      </c>
      <c r="K13" s="108" t="str">
        <f t="shared" si="1"/>
        <v/>
      </c>
      <c r="L13" s="39" t="b">
        <v>0</v>
      </c>
      <c r="M13" s="108" t="str">
        <f>IF($A13="","",VLOOKUP($A13,'Gingerbread Man'!$A$3:M865,13))</f>
        <v/>
      </c>
      <c r="N13" s="108" t="str">
        <f>IFERROR(__xludf.DUMMYFUNCTION("IF($A13="""","""",HYPERLINK(""https://docs.google.com/spreadsheets/d/1LovjCF_yo-DR4S4HXV7VkZLEyCUjv4US6kt_l-v8-GM/edit#gid=0&amp;range=L""&amp;(REGEXREPLACE($A13,"".* #"","""")+1),IF($I13="""",""View!"",""Verify!"")))"),"")</f>
        <v/>
      </c>
    </row>
    <row r="14">
      <c r="A14" s="39"/>
      <c r="B14" s="39"/>
      <c r="C14" s="39"/>
      <c r="D14" s="113"/>
      <c r="E14" s="113"/>
      <c r="F14" s="39"/>
      <c r="G14" s="39"/>
      <c r="H14" s="39"/>
      <c r="I14" s="39"/>
      <c r="J14" s="108" t="str">
        <f>IF($A14="","",VLOOKUP($A14,'Gingerbread Man'!$A$3:J865,10,FALSE))</f>
        <v/>
      </c>
      <c r="K14" s="108" t="str">
        <f t="shared" si="1"/>
        <v/>
      </c>
      <c r="L14" s="39" t="b">
        <v>0</v>
      </c>
      <c r="M14" s="108" t="str">
        <f>IF($A14="","",VLOOKUP($A14,'Gingerbread Man'!$A$3:M865,13))</f>
        <v/>
      </c>
      <c r="N14" s="108" t="str">
        <f>IFERROR(__xludf.DUMMYFUNCTION("IF($A14="""","""",HYPERLINK(""https://docs.google.com/spreadsheets/d/1LovjCF_yo-DR4S4HXV7VkZLEyCUjv4US6kt_l-v8-GM/edit#gid=0&amp;range=L""&amp;(REGEXREPLACE($A14,"".* #"","""")+1),IF($I14="""",""View!"",""Verify!"")))"),"")</f>
        <v/>
      </c>
    </row>
    <row r="15">
      <c r="A15" s="39"/>
      <c r="B15" s="39"/>
      <c r="C15" s="39"/>
      <c r="D15" s="113"/>
      <c r="E15" s="113"/>
      <c r="F15" s="39"/>
      <c r="G15" s="39"/>
      <c r="H15" s="39"/>
      <c r="I15" s="39"/>
      <c r="J15" s="108" t="str">
        <f>IF($A15="","",VLOOKUP($A15,'Gingerbread Man'!$A$3:J865,10,FALSE))</f>
        <v/>
      </c>
      <c r="K15" s="108" t="str">
        <f t="shared" si="1"/>
        <v/>
      </c>
      <c r="L15" s="39" t="b">
        <v>0</v>
      </c>
      <c r="M15" s="108" t="str">
        <f>IF($A15="","",VLOOKUP($A15,'Gingerbread Man'!$A$3:M865,13))</f>
        <v/>
      </c>
      <c r="N15" s="108" t="str">
        <f>IFERROR(__xludf.DUMMYFUNCTION("IF($A15="""","""",HYPERLINK(""https://docs.google.com/spreadsheets/d/1LovjCF_yo-DR4S4HXV7VkZLEyCUjv4US6kt_l-v8-GM/edit#gid=0&amp;range=L""&amp;(REGEXREPLACE($A15,"".* #"","""")+1),IF($I15="""",""View!"",""Verify!"")))"),"")</f>
        <v/>
      </c>
    </row>
    <row r="16">
      <c r="A16" s="39"/>
      <c r="B16" s="39"/>
      <c r="C16" s="39"/>
      <c r="D16" s="113"/>
      <c r="E16" s="113"/>
      <c r="F16" s="39"/>
      <c r="G16" s="39"/>
      <c r="H16" s="39"/>
      <c r="I16" s="39"/>
      <c r="J16" s="108" t="str">
        <f>IF($A16="","",VLOOKUP($A16,'Gingerbread Man'!$A$3:J865,10,FALSE))</f>
        <v/>
      </c>
      <c r="K16" s="108" t="str">
        <f t="shared" si="1"/>
        <v/>
      </c>
      <c r="L16" s="39" t="b">
        <v>0</v>
      </c>
      <c r="M16" s="108" t="str">
        <f>IF($A16="","",VLOOKUP($A16,'Gingerbread Man'!$A$3:M865,13))</f>
        <v/>
      </c>
      <c r="N16" s="108" t="str">
        <f>IFERROR(__xludf.DUMMYFUNCTION("IF($A16="""","""",HYPERLINK(""https://docs.google.com/spreadsheets/d/1LovjCF_yo-DR4S4HXV7VkZLEyCUjv4US6kt_l-v8-GM/edit#gid=0&amp;range=L""&amp;(REGEXREPLACE($A16,"".* #"","""")+1),IF($I16="""",""View!"",""Verify!"")))"),"")</f>
        <v/>
      </c>
    </row>
    <row r="17">
      <c r="A17" s="39"/>
      <c r="B17" s="39"/>
      <c r="C17" s="39"/>
      <c r="D17" s="113"/>
      <c r="E17" s="113"/>
      <c r="F17" s="39"/>
      <c r="G17" s="39"/>
      <c r="H17" s="39"/>
      <c r="I17" s="39"/>
      <c r="J17" s="108" t="str">
        <f>IF($A17="","",VLOOKUP($A17,'Gingerbread Man'!$A$3:J865,10,FALSE))</f>
        <v/>
      </c>
      <c r="K17" s="108" t="str">
        <f t="shared" si="1"/>
        <v/>
      </c>
      <c r="L17" s="39" t="b">
        <v>0</v>
      </c>
      <c r="M17" s="108" t="str">
        <f>IF($A17="","",VLOOKUP($A17,'Gingerbread Man'!$A$3:M865,13))</f>
        <v/>
      </c>
      <c r="N17" s="108" t="str">
        <f>IFERROR(__xludf.DUMMYFUNCTION("IF($A17="""","""",HYPERLINK(""https://docs.google.com/spreadsheets/d/1LovjCF_yo-DR4S4HXV7VkZLEyCUjv4US6kt_l-v8-GM/edit#gid=0&amp;range=L""&amp;(REGEXREPLACE($A17,"".* #"","""")+1),IF($I17="""",""View!"",""Verify!"")))"),"")</f>
        <v/>
      </c>
    </row>
    <row r="18">
      <c r="A18" s="39"/>
      <c r="B18" s="39"/>
      <c r="C18" s="39"/>
      <c r="D18" s="113"/>
      <c r="E18" s="113"/>
      <c r="F18" s="39"/>
      <c r="G18" s="39"/>
      <c r="H18" s="39"/>
      <c r="I18" s="39"/>
      <c r="J18" s="108" t="str">
        <f>IF($A18="","",VLOOKUP($A18,'Gingerbread Man'!$A$3:J865,10,FALSE))</f>
        <v/>
      </c>
      <c r="K18" s="108" t="str">
        <f t="shared" si="1"/>
        <v/>
      </c>
      <c r="L18" s="39" t="b">
        <v>0</v>
      </c>
      <c r="M18" s="108" t="str">
        <f>IF($A18="","",VLOOKUP($A18,'Gingerbread Man'!$A$3:M865,13))</f>
        <v/>
      </c>
      <c r="N18" s="108" t="str">
        <f>IFERROR(__xludf.DUMMYFUNCTION("IF($A18="""","""",HYPERLINK(""https://docs.google.com/spreadsheets/d/1LovjCF_yo-DR4S4HXV7VkZLEyCUjv4US6kt_l-v8-GM/edit#gid=0&amp;range=L""&amp;(REGEXREPLACE($A18,"".* #"","""")+1),IF($I18="""",""View!"",""Verify!"")))"),"")</f>
        <v/>
      </c>
    </row>
    <row r="19">
      <c r="A19" s="39"/>
      <c r="B19" s="39"/>
      <c r="C19" s="39"/>
      <c r="D19" s="113"/>
      <c r="E19" s="113"/>
      <c r="F19" s="39"/>
      <c r="G19" s="39"/>
      <c r="H19" s="39"/>
      <c r="I19" s="39"/>
      <c r="J19" s="108" t="str">
        <f>IF($A19="","",VLOOKUP($A19,'Gingerbread Man'!$A$3:J865,10,FALSE))</f>
        <v/>
      </c>
      <c r="K19" s="108" t="str">
        <f t="shared" si="1"/>
        <v/>
      </c>
      <c r="L19" s="39" t="b">
        <v>0</v>
      </c>
      <c r="M19" s="108" t="str">
        <f>IF($A19="","",VLOOKUP($A19,'Gingerbread Man'!$A$3:M865,13))</f>
        <v/>
      </c>
      <c r="N19" s="108" t="str">
        <f>IFERROR(__xludf.DUMMYFUNCTION("IF($A19="""","""",HYPERLINK(""https://docs.google.com/spreadsheets/d/1LovjCF_yo-DR4S4HXV7VkZLEyCUjv4US6kt_l-v8-GM/edit#gid=0&amp;range=L""&amp;(REGEXREPLACE($A19,"".* #"","""")+1),IF($I19="""",""View!"",""Verify!"")))"),"")</f>
        <v/>
      </c>
    </row>
    <row r="20">
      <c r="A20" s="39"/>
      <c r="B20" s="39"/>
      <c r="C20" s="39"/>
      <c r="D20" s="113"/>
      <c r="E20" s="113"/>
      <c r="F20" s="39"/>
      <c r="G20" s="39"/>
      <c r="H20" s="39"/>
      <c r="I20" s="39"/>
      <c r="J20" s="108" t="str">
        <f>IF($A20="","",VLOOKUP($A20,'Gingerbread Man'!$A$3:J865,10,FALSE))</f>
        <v/>
      </c>
      <c r="K20" s="108" t="str">
        <f t="shared" si="1"/>
        <v/>
      </c>
      <c r="L20" s="39" t="b">
        <v>0</v>
      </c>
      <c r="M20" s="108" t="str">
        <f>IF($A20="","",VLOOKUP($A20,'Gingerbread Man'!$A$3:M865,13))</f>
        <v/>
      </c>
      <c r="N20" s="108" t="str">
        <f>IFERROR(__xludf.DUMMYFUNCTION("IF($A20="""","""",HYPERLINK(""https://docs.google.com/spreadsheets/d/1LovjCF_yo-DR4S4HXV7VkZLEyCUjv4US6kt_l-v8-GM/edit#gid=0&amp;range=L""&amp;(REGEXREPLACE($A20,"".* #"","""")+1),IF($I20="""",""View!"",""Verify!"")))"),"")</f>
        <v/>
      </c>
    </row>
    <row r="21">
      <c r="A21" s="39"/>
      <c r="B21" s="39"/>
      <c r="C21" s="39"/>
      <c r="D21" s="113"/>
      <c r="E21" s="113"/>
      <c r="F21" s="39"/>
      <c r="G21" s="39"/>
      <c r="H21" s="39"/>
      <c r="I21" s="39"/>
      <c r="J21" s="108" t="str">
        <f>IF($A21="","",VLOOKUP($A21,'Gingerbread Man'!$A$3:J865,10,FALSE))</f>
        <v/>
      </c>
      <c r="K21" s="108" t="str">
        <f t="shared" si="1"/>
        <v/>
      </c>
      <c r="L21" s="39" t="b">
        <v>0</v>
      </c>
      <c r="M21" s="108" t="str">
        <f>IF($A21="","",VLOOKUP($A21,'Gingerbread Man'!$A$3:M865,13))</f>
        <v/>
      </c>
      <c r="N21" s="108" t="str">
        <f>IFERROR(__xludf.DUMMYFUNCTION("IF($A21="""","""",HYPERLINK(""https://docs.google.com/spreadsheets/d/1LovjCF_yo-DR4S4HXV7VkZLEyCUjv4US6kt_l-v8-GM/edit#gid=0&amp;range=L""&amp;(REGEXREPLACE($A21,"".* #"","""")+1),IF($I21="""",""View!"",""Verify!"")))"),"")</f>
        <v/>
      </c>
    </row>
    <row r="22">
      <c r="A22" s="39"/>
      <c r="B22" s="39"/>
      <c r="C22" s="39"/>
      <c r="D22" s="113"/>
      <c r="E22" s="113"/>
      <c r="F22" s="39"/>
      <c r="G22" s="39"/>
      <c r="H22" s="39"/>
      <c r="I22" s="39"/>
      <c r="J22" s="108" t="str">
        <f>IF($A22="","",VLOOKUP($A22,'Gingerbread Man'!$A$3:J865,10,FALSE))</f>
        <v/>
      </c>
      <c r="K22" s="108" t="str">
        <f t="shared" si="1"/>
        <v/>
      </c>
      <c r="L22" s="39" t="b">
        <v>0</v>
      </c>
      <c r="M22" s="108" t="str">
        <f>IF($A22="","",VLOOKUP($A22,'Gingerbread Man'!$A$3:M865,13))</f>
        <v/>
      </c>
      <c r="N22" s="108" t="str">
        <f>IFERROR(__xludf.DUMMYFUNCTION("IF($A22="""","""",HYPERLINK(""https://docs.google.com/spreadsheets/d/1LovjCF_yo-DR4S4HXV7VkZLEyCUjv4US6kt_l-v8-GM/edit#gid=0&amp;range=L""&amp;(REGEXREPLACE($A22,"".* #"","""")+1),IF($I22="""",""View!"",""Verify!"")))"),"")</f>
        <v/>
      </c>
    </row>
    <row r="23">
      <c r="A23" s="39"/>
      <c r="B23" s="39"/>
      <c r="C23" s="39"/>
      <c r="D23" s="113"/>
      <c r="E23" s="113"/>
      <c r="F23" s="39"/>
      <c r="G23" s="39"/>
      <c r="H23" s="39"/>
      <c r="I23" s="39"/>
      <c r="J23" s="108" t="str">
        <f>IF($A23="","",VLOOKUP($A23,'Gingerbread Man'!$A$3:J865,10,FALSE))</f>
        <v/>
      </c>
      <c r="K23" s="108" t="str">
        <f t="shared" si="1"/>
        <v/>
      </c>
      <c r="L23" s="39" t="b">
        <v>0</v>
      </c>
      <c r="M23" s="108" t="str">
        <f>IF($A23="","",VLOOKUP($A23,'Gingerbread Man'!$A$3:M865,13))</f>
        <v/>
      </c>
      <c r="N23" s="108" t="str">
        <f>IFERROR(__xludf.DUMMYFUNCTION("IF($A23="""","""",HYPERLINK(""https://docs.google.com/spreadsheets/d/1LovjCF_yo-DR4S4HXV7VkZLEyCUjv4US6kt_l-v8-GM/edit#gid=0&amp;range=L""&amp;(REGEXREPLACE($A23,"".* #"","""")+1),IF($I23="""",""View!"",""Verify!"")))"),"")</f>
        <v/>
      </c>
    </row>
    <row r="24">
      <c r="A24" s="39"/>
      <c r="B24" s="39"/>
      <c r="C24" s="39"/>
      <c r="D24" s="113"/>
      <c r="E24" s="113"/>
      <c r="F24" s="39"/>
      <c r="G24" s="39"/>
      <c r="H24" s="39"/>
      <c r="I24" s="39"/>
      <c r="J24" s="108" t="str">
        <f>IF($A24="","",VLOOKUP($A24,'Gingerbread Man'!$A$3:J865,10,FALSE))</f>
        <v/>
      </c>
      <c r="K24" s="108" t="str">
        <f t="shared" si="1"/>
        <v/>
      </c>
      <c r="L24" s="39" t="b">
        <v>0</v>
      </c>
      <c r="M24" s="108" t="str">
        <f>IF($A24="","",VLOOKUP($A24,'Gingerbread Man'!$A$3:M865,13))</f>
        <v/>
      </c>
      <c r="N24" s="108" t="str">
        <f>IFERROR(__xludf.DUMMYFUNCTION("IF($A24="""","""",HYPERLINK(""https://docs.google.com/spreadsheets/d/1LovjCF_yo-DR4S4HXV7VkZLEyCUjv4US6kt_l-v8-GM/edit#gid=0&amp;range=L""&amp;(REGEXREPLACE($A24,"".* #"","""")+1),IF($I24="""",""View!"",""Verify!"")))"),"")</f>
        <v/>
      </c>
    </row>
    <row r="25">
      <c r="A25" s="39"/>
      <c r="B25" s="39"/>
      <c r="C25" s="39"/>
      <c r="D25" s="113"/>
      <c r="E25" s="113"/>
      <c r="F25" s="39"/>
      <c r="G25" s="39"/>
      <c r="H25" s="39"/>
      <c r="I25" s="39"/>
      <c r="J25" s="108" t="str">
        <f>IF($A25="","",VLOOKUP($A25,'Gingerbread Man'!$A$3:J865,10,FALSE))</f>
        <v/>
      </c>
      <c r="K25" s="108" t="str">
        <f t="shared" si="1"/>
        <v/>
      </c>
      <c r="L25" s="39" t="b">
        <v>0</v>
      </c>
      <c r="M25" s="108" t="str">
        <f>IF($A25="","",VLOOKUP($A25,'Gingerbread Man'!$A$3:M865,13))</f>
        <v/>
      </c>
      <c r="N25" s="108" t="str">
        <f>IFERROR(__xludf.DUMMYFUNCTION("IF($A25="""","""",HYPERLINK(""https://docs.google.com/spreadsheets/d/1LovjCF_yo-DR4S4HXV7VkZLEyCUjv4US6kt_l-v8-GM/edit#gid=0&amp;range=L""&amp;(REGEXREPLACE($A25,"".* #"","""")+1),IF($I25="""",""View!"",""Verify!"")))"),"")</f>
        <v/>
      </c>
    </row>
    <row r="26">
      <c r="A26" s="39"/>
      <c r="B26" s="39"/>
      <c r="C26" s="39"/>
      <c r="D26" s="113"/>
      <c r="E26" s="113"/>
      <c r="F26" s="39"/>
      <c r="G26" s="39"/>
      <c r="H26" s="39"/>
      <c r="I26" s="39"/>
      <c r="J26" s="108" t="str">
        <f>IF($A26="","",VLOOKUP($A26,'Gingerbread Man'!$A$3:J865,10,FALSE))</f>
        <v/>
      </c>
      <c r="K26" s="108" t="str">
        <f t="shared" si="1"/>
        <v/>
      </c>
      <c r="L26" s="39" t="b">
        <v>0</v>
      </c>
      <c r="M26" s="108" t="str">
        <f>IF($A26="","",VLOOKUP($A26,'Gingerbread Man'!$A$3:M865,13))</f>
        <v/>
      </c>
      <c r="N26" s="108" t="str">
        <f>IFERROR(__xludf.DUMMYFUNCTION("IF($A26="""","""",HYPERLINK(""https://docs.google.com/spreadsheets/d/1LovjCF_yo-DR4S4HXV7VkZLEyCUjv4US6kt_l-v8-GM/edit#gid=0&amp;range=L""&amp;(REGEXREPLACE($A26,"".* #"","""")+1),IF($I26="""",""View!"",""Verify!"")))"),"")</f>
        <v/>
      </c>
    </row>
    <row r="27">
      <c r="A27" s="39"/>
      <c r="B27" s="39"/>
      <c r="C27" s="39"/>
      <c r="D27" s="113"/>
      <c r="E27" s="113"/>
      <c r="F27" s="39"/>
      <c r="G27" s="39"/>
      <c r="H27" s="39"/>
      <c r="I27" s="39"/>
      <c r="J27" s="108" t="str">
        <f>IF($A27="","",VLOOKUP($A27,'Gingerbread Man'!$A$3:J865,10,FALSE))</f>
        <v/>
      </c>
      <c r="K27" s="108" t="str">
        <f t="shared" si="1"/>
        <v/>
      </c>
      <c r="L27" s="39" t="b">
        <v>0</v>
      </c>
      <c r="M27" s="108" t="str">
        <f>IF($A27="","",VLOOKUP($A27,'Gingerbread Man'!$A$3:M865,13))</f>
        <v/>
      </c>
      <c r="N27" s="108" t="str">
        <f>IFERROR(__xludf.DUMMYFUNCTION("IF($A27="""","""",HYPERLINK(""https://docs.google.com/spreadsheets/d/1LovjCF_yo-DR4S4HXV7VkZLEyCUjv4US6kt_l-v8-GM/edit#gid=0&amp;range=L""&amp;(REGEXREPLACE($A27,"".* #"","""")+1),IF($I27="""",""View!"",""Verify!"")))"),"")</f>
        <v/>
      </c>
    </row>
    <row r="28">
      <c r="A28" s="39"/>
      <c r="B28" s="39"/>
      <c r="C28" s="39"/>
      <c r="D28" s="113"/>
      <c r="E28" s="113"/>
      <c r="F28" s="39"/>
      <c r="G28" s="39"/>
      <c r="H28" s="39"/>
      <c r="I28" s="39"/>
      <c r="J28" s="108" t="str">
        <f>IF($A28="","",VLOOKUP($A28,'Gingerbread Man'!$A$3:J865,10,FALSE))</f>
        <v/>
      </c>
      <c r="K28" s="108" t="str">
        <f t="shared" si="1"/>
        <v/>
      </c>
      <c r="L28" s="39" t="b">
        <v>0</v>
      </c>
      <c r="M28" s="108" t="str">
        <f>IF($A28="","",VLOOKUP($A28,'Gingerbread Man'!$A$3:M865,13))</f>
        <v/>
      </c>
      <c r="N28" s="108" t="str">
        <f>IFERROR(__xludf.DUMMYFUNCTION("IF($A28="""","""",HYPERLINK(""https://docs.google.com/spreadsheets/d/1LovjCF_yo-DR4S4HXV7VkZLEyCUjv4US6kt_l-v8-GM/edit#gid=0&amp;range=L""&amp;(REGEXREPLACE($A28,"".* #"","""")+1),IF($I28="""",""View!"",""Verify!"")))"),"")</f>
        <v/>
      </c>
    </row>
    <row r="29">
      <c r="A29" s="39"/>
      <c r="B29" s="39"/>
      <c r="C29" s="39"/>
      <c r="D29" s="113"/>
      <c r="E29" s="113"/>
      <c r="F29" s="39"/>
      <c r="G29" s="39"/>
      <c r="H29" s="39"/>
      <c r="I29" s="39"/>
      <c r="J29" s="108" t="str">
        <f>IF($A29="","",VLOOKUP($A29,'Gingerbread Man'!$A$3:J865,10,FALSE))</f>
        <v/>
      </c>
      <c r="K29" s="108" t="str">
        <f t="shared" si="1"/>
        <v/>
      </c>
      <c r="L29" s="39" t="b">
        <v>0</v>
      </c>
      <c r="M29" s="108" t="str">
        <f>IF($A29="","",VLOOKUP($A29,'Gingerbread Man'!$A$3:M865,13))</f>
        <v/>
      </c>
      <c r="N29" s="108" t="str">
        <f>IFERROR(__xludf.DUMMYFUNCTION("IF($A29="""","""",HYPERLINK(""https://docs.google.com/spreadsheets/d/1LovjCF_yo-DR4S4HXV7VkZLEyCUjv4US6kt_l-v8-GM/edit#gid=0&amp;range=L""&amp;(REGEXREPLACE($A29,"".* #"","""")+1),IF($I29="""",""View!"",""Verify!"")))"),"")</f>
        <v/>
      </c>
    </row>
    <row r="30">
      <c r="A30" s="39"/>
      <c r="B30" s="39"/>
      <c r="C30" s="39"/>
      <c r="D30" s="113"/>
      <c r="E30" s="113"/>
      <c r="F30" s="39"/>
      <c r="G30" s="39"/>
      <c r="H30" s="39"/>
      <c r="I30" s="39"/>
      <c r="J30" s="108" t="str">
        <f>IF($A30="","",VLOOKUP($A30,'Gingerbread Man'!$A$3:J865,10,FALSE))</f>
        <v/>
      </c>
      <c r="K30" s="108" t="str">
        <f t="shared" si="1"/>
        <v/>
      </c>
      <c r="L30" s="39" t="b">
        <v>0</v>
      </c>
      <c r="M30" s="108" t="str">
        <f>IF($A30="","",VLOOKUP($A30,'Gingerbread Man'!$A$3:M865,13))</f>
        <v/>
      </c>
      <c r="N30" s="108" t="str">
        <f>IFERROR(__xludf.DUMMYFUNCTION("IF($A30="""","""",HYPERLINK(""https://docs.google.com/spreadsheets/d/1LovjCF_yo-DR4S4HXV7VkZLEyCUjv4US6kt_l-v8-GM/edit#gid=0&amp;range=L""&amp;(REGEXREPLACE($A30,"".* #"","""")+1),IF($I30="""",""View!"",""Verify!"")))"),"")</f>
        <v/>
      </c>
    </row>
    <row r="31">
      <c r="A31" s="39"/>
      <c r="B31" s="39"/>
      <c r="C31" s="39"/>
      <c r="D31" s="113"/>
      <c r="E31" s="113"/>
      <c r="F31" s="39"/>
      <c r="G31" s="39"/>
      <c r="H31" s="39"/>
      <c r="I31" s="39"/>
      <c r="J31" s="108" t="str">
        <f>IF($A31="","",VLOOKUP($A31,'Gingerbread Man'!$A$3:J865,10,FALSE))</f>
        <v/>
      </c>
      <c r="K31" s="108" t="str">
        <f t="shared" si="1"/>
        <v/>
      </c>
      <c r="L31" s="39" t="b">
        <v>0</v>
      </c>
      <c r="M31" s="108" t="str">
        <f>IF($A31="","",VLOOKUP($A31,'Gingerbread Man'!$A$3:M865,13))</f>
        <v/>
      </c>
      <c r="N31" s="108" t="str">
        <f>IFERROR(__xludf.DUMMYFUNCTION("IF($A31="""","""",HYPERLINK(""https://docs.google.com/spreadsheets/d/1LovjCF_yo-DR4S4HXV7VkZLEyCUjv4US6kt_l-v8-GM/edit#gid=0&amp;range=L""&amp;(REGEXREPLACE($A31,"".* #"","""")+1),IF($I31="""",""View!"",""Verify!"")))"),"")</f>
        <v/>
      </c>
    </row>
    <row r="32">
      <c r="A32" s="39"/>
      <c r="B32" s="39"/>
      <c r="C32" s="39"/>
      <c r="D32" s="113"/>
      <c r="E32" s="113"/>
      <c r="F32" s="39"/>
      <c r="G32" s="39"/>
      <c r="H32" s="39"/>
      <c r="I32" s="39"/>
      <c r="J32" s="108" t="str">
        <f>IF($A32="","",VLOOKUP($A32,'Gingerbread Man'!$A$3:J865,10,FALSE))</f>
        <v/>
      </c>
      <c r="K32" s="108" t="str">
        <f t="shared" si="1"/>
        <v/>
      </c>
      <c r="L32" s="39" t="b">
        <v>0</v>
      </c>
      <c r="M32" s="108" t="str">
        <f>IF($A32="","",VLOOKUP($A32,'Gingerbread Man'!$A$3:M865,13))</f>
        <v/>
      </c>
      <c r="N32" s="108" t="str">
        <f>IFERROR(__xludf.DUMMYFUNCTION("IF($A32="""","""",HYPERLINK(""https://docs.google.com/spreadsheets/d/1LovjCF_yo-DR4S4HXV7VkZLEyCUjv4US6kt_l-v8-GM/edit#gid=0&amp;range=L""&amp;(REGEXREPLACE($A32,"".* #"","""")+1),IF($I32="""",""View!"",""Verify!"")))"),"")</f>
        <v/>
      </c>
    </row>
    <row r="33">
      <c r="A33" s="39"/>
      <c r="B33" s="39"/>
      <c r="C33" s="39"/>
      <c r="D33" s="113"/>
      <c r="E33" s="113"/>
      <c r="F33" s="39"/>
      <c r="G33" s="39"/>
      <c r="H33" s="39"/>
      <c r="I33" s="39"/>
      <c r="J33" s="108" t="str">
        <f>IF($A33="","",VLOOKUP($A33,'Gingerbread Man'!$A$3:J865,10,FALSE))</f>
        <v/>
      </c>
      <c r="K33" s="108" t="str">
        <f t="shared" si="1"/>
        <v/>
      </c>
      <c r="L33" s="39" t="b">
        <v>0</v>
      </c>
      <c r="M33" s="108" t="str">
        <f>IF($A33="","",VLOOKUP($A33,'Gingerbread Man'!$A$3:M865,13))</f>
        <v/>
      </c>
      <c r="N33" s="108" t="str">
        <f>IFERROR(__xludf.DUMMYFUNCTION("IF($A33="""","""",HYPERLINK(""https://docs.google.com/spreadsheets/d/1LovjCF_yo-DR4S4HXV7VkZLEyCUjv4US6kt_l-v8-GM/edit#gid=0&amp;range=L""&amp;(REGEXREPLACE($A33,"".* #"","""")+1),IF($I33="""",""View!"",""Verify!"")))"),"")</f>
        <v/>
      </c>
    </row>
    <row r="34">
      <c r="A34" s="39"/>
      <c r="B34" s="39"/>
      <c r="C34" s="39"/>
      <c r="D34" s="113"/>
      <c r="E34" s="113"/>
      <c r="F34" s="39"/>
      <c r="G34" s="39"/>
      <c r="H34" s="39"/>
      <c r="I34" s="39"/>
      <c r="J34" s="108" t="str">
        <f>IF($A34="","",VLOOKUP($A34,'Gingerbread Man'!$A$3:J865,10,FALSE))</f>
        <v/>
      </c>
      <c r="K34" s="108" t="str">
        <f t="shared" si="1"/>
        <v/>
      </c>
      <c r="L34" s="39" t="b">
        <v>0</v>
      </c>
      <c r="M34" s="108" t="str">
        <f>IF($A34="","",VLOOKUP($A34,'Gingerbread Man'!$A$3:M865,13))</f>
        <v/>
      </c>
      <c r="N34" s="108" t="str">
        <f>IFERROR(__xludf.DUMMYFUNCTION("IF($A34="""","""",HYPERLINK(""https://docs.google.com/spreadsheets/d/1LovjCF_yo-DR4S4HXV7VkZLEyCUjv4US6kt_l-v8-GM/edit#gid=0&amp;range=L""&amp;(REGEXREPLACE($A34,"".* #"","""")+1),IF($I34="""",""View!"",""Verify!"")))"),"")</f>
        <v/>
      </c>
    </row>
    <row r="35">
      <c r="A35" s="39"/>
      <c r="B35" s="39"/>
      <c r="C35" s="39"/>
      <c r="D35" s="113"/>
      <c r="E35" s="113"/>
      <c r="F35" s="39"/>
      <c r="G35" s="39"/>
      <c r="H35" s="39"/>
      <c r="I35" s="39"/>
      <c r="J35" s="108" t="str">
        <f>IF($A35="","",VLOOKUP($A35,'Gingerbread Man'!$A$3:J865,10,FALSE))</f>
        <v/>
      </c>
      <c r="K35" s="108" t="str">
        <f t="shared" si="1"/>
        <v/>
      </c>
      <c r="L35" s="39" t="b">
        <v>0</v>
      </c>
      <c r="M35" s="108" t="str">
        <f>IF($A35="","",VLOOKUP($A35,'Gingerbread Man'!$A$3:M865,13))</f>
        <v/>
      </c>
      <c r="N35" s="108" t="str">
        <f>IFERROR(__xludf.DUMMYFUNCTION("IF($A35="""","""",HYPERLINK(""https://docs.google.com/spreadsheets/d/1LovjCF_yo-DR4S4HXV7VkZLEyCUjv4US6kt_l-v8-GM/edit#gid=0&amp;range=L""&amp;(REGEXREPLACE($A35,"".* #"","""")+1),IF($I35="""",""View!"",""Verify!"")))"),"")</f>
        <v/>
      </c>
    </row>
    <row r="36">
      <c r="A36" s="39"/>
      <c r="B36" s="39"/>
      <c r="C36" s="39"/>
      <c r="D36" s="113"/>
      <c r="E36" s="113"/>
      <c r="F36" s="39"/>
      <c r="G36" s="39"/>
      <c r="H36" s="39"/>
      <c r="I36" s="39"/>
      <c r="J36" s="108" t="str">
        <f>IF($A36="","",VLOOKUP($A36,'Gingerbread Man'!$A$3:J865,10,FALSE))</f>
        <v/>
      </c>
      <c r="K36" s="108" t="str">
        <f t="shared" si="1"/>
        <v/>
      </c>
      <c r="L36" s="39" t="b">
        <v>0</v>
      </c>
      <c r="M36" s="108" t="str">
        <f>IF($A36="","",VLOOKUP($A36,'Gingerbread Man'!$A$3:M865,13))</f>
        <v/>
      </c>
      <c r="N36" s="108" t="str">
        <f>IFERROR(__xludf.DUMMYFUNCTION("IF($A36="""","""",HYPERLINK(""https://docs.google.com/spreadsheets/d/1LovjCF_yo-DR4S4HXV7VkZLEyCUjv4US6kt_l-v8-GM/edit#gid=0&amp;range=L""&amp;(REGEXREPLACE($A36,"".* #"","""")+1),IF($I36="""",""View!"",""Verify!"")))"),"")</f>
        <v/>
      </c>
    </row>
    <row r="37">
      <c r="A37" s="39"/>
      <c r="B37" s="39"/>
      <c r="C37" s="39"/>
      <c r="D37" s="113"/>
      <c r="E37" s="113"/>
      <c r="F37" s="39"/>
      <c r="G37" s="39"/>
      <c r="H37" s="39"/>
      <c r="I37" s="39"/>
      <c r="J37" s="108" t="str">
        <f>IF($A37="","",VLOOKUP($A37,'Gingerbread Man'!$A$3:J865,10,FALSE))</f>
        <v/>
      </c>
      <c r="K37" s="108" t="str">
        <f t="shared" si="1"/>
        <v/>
      </c>
      <c r="L37" s="39" t="b">
        <v>0</v>
      </c>
      <c r="M37" s="108" t="str">
        <f>IF($A37="","",VLOOKUP($A37,'Gingerbread Man'!$A$3:M865,13))</f>
        <v/>
      </c>
      <c r="N37" s="108" t="str">
        <f>IFERROR(__xludf.DUMMYFUNCTION("IF($A37="""","""",HYPERLINK(""https://docs.google.com/spreadsheets/d/1LovjCF_yo-DR4S4HXV7VkZLEyCUjv4US6kt_l-v8-GM/edit#gid=0&amp;range=L""&amp;(REGEXREPLACE($A37,"".* #"","""")+1),IF($I37="""",""View!"",""Verify!"")))"),"")</f>
        <v/>
      </c>
    </row>
    <row r="38">
      <c r="A38" s="39"/>
      <c r="B38" s="39"/>
      <c r="C38" s="39"/>
      <c r="D38" s="113"/>
      <c r="E38" s="113"/>
      <c r="F38" s="39"/>
      <c r="G38" s="39"/>
      <c r="H38" s="39"/>
      <c r="I38" s="39"/>
      <c r="J38" s="108" t="str">
        <f>IF($A38="","",VLOOKUP($A38,'Gingerbread Man'!$A$3:J865,10,FALSE))</f>
        <v/>
      </c>
      <c r="K38" s="108" t="str">
        <f t="shared" si="1"/>
        <v/>
      </c>
      <c r="L38" s="39" t="b">
        <v>0</v>
      </c>
      <c r="M38" s="108" t="str">
        <f>IF($A38="","",VLOOKUP($A38,'Gingerbread Man'!$A$3:M865,13))</f>
        <v/>
      </c>
      <c r="N38" s="108" t="str">
        <f>IFERROR(__xludf.DUMMYFUNCTION("IF($A38="""","""",HYPERLINK(""https://docs.google.com/spreadsheets/d/1LovjCF_yo-DR4S4HXV7VkZLEyCUjv4US6kt_l-v8-GM/edit#gid=0&amp;range=L""&amp;(REGEXREPLACE($A38,"".* #"","""")+1),IF($I38="""",""View!"",""Verify!"")))"),"")</f>
        <v/>
      </c>
    </row>
    <row r="39">
      <c r="A39" s="39"/>
      <c r="B39" s="39"/>
      <c r="C39" s="39"/>
      <c r="D39" s="113"/>
      <c r="E39" s="113"/>
      <c r="F39" s="39"/>
      <c r="G39" s="39"/>
      <c r="H39" s="39"/>
      <c r="I39" s="39"/>
      <c r="J39" s="108" t="str">
        <f>IF($A39="","",VLOOKUP($A39,'Gingerbread Man'!$A$3:J865,10,FALSE))</f>
        <v/>
      </c>
      <c r="K39" s="108" t="str">
        <f t="shared" si="1"/>
        <v/>
      </c>
      <c r="L39" s="39" t="b">
        <v>0</v>
      </c>
      <c r="M39" s="108" t="str">
        <f>IF($A39="","",VLOOKUP($A39,'Gingerbread Man'!$A$3:M865,13))</f>
        <v/>
      </c>
      <c r="N39" s="108" t="str">
        <f>IFERROR(__xludf.DUMMYFUNCTION("IF($A39="""","""",HYPERLINK(""https://docs.google.com/spreadsheets/d/1LovjCF_yo-DR4S4HXV7VkZLEyCUjv4US6kt_l-v8-GM/edit#gid=0&amp;range=L""&amp;(REGEXREPLACE($A39,"".* #"","""")+1),IF($I39="""",""View!"",""Verify!"")))"),"")</f>
        <v/>
      </c>
    </row>
    <row r="40">
      <c r="A40" s="39"/>
      <c r="B40" s="39"/>
      <c r="C40" s="39"/>
      <c r="D40" s="113"/>
      <c r="E40" s="113"/>
      <c r="F40" s="39"/>
      <c r="G40" s="39"/>
      <c r="H40" s="39"/>
      <c r="I40" s="39"/>
      <c r="J40" s="108" t="str">
        <f>IF($A40="","",VLOOKUP($A40,'Gingerbread Man'!$A$3:J865,10,FALSE))</f>
        <v/>
      </c>
      <c r="K40" s="108" t="str">
        <f t="shared" si="1"/>
        <v/>
      </c>
      <c r="L40" s="39" t="b">
        <v>0</v>
      </c>
      <c r="M40" s="108" t="str">
        <f>IF($A40="","",VLOOKUP($A40,'Gingerbread Man'!$A$3:M865,13))</f>
        <v/>
      </c>
      <c r="N40" s="108" t="str">
        <f>IFERROR(__xludf.DUMMYFUNCTION("IF($A40="""","""",HYPERLINK(""https://docs.google.com/spreadsheets/d/1LovjCF_yo-DR4S4HXV7VkZLEyCUjv4US6kt_l-v8-GM/edit#gid=0&amp;range=L""&amp;(REGEXREPLACE($A40,"".* #"","""")+1),IF($I40="""",""View!"",""Verify!"")))"),"")</f>
        <v/>
      </c>
    </row>
    <row r="41">
      <c r="A41" s="39"/>
      <c r="B41" s="39"/>
      <c r="C41" s="39"/>
      <c r="D41" s="113"/>
      <c r="E41" s="113"/>
      <c r="F41" s="39"/>
      <c r="G41" s="39"/>
      <c r="H41" s="39"/>
      <c r="I41" s="39"/>
      <c r="J41" s="108" t="str">
        <f>IF($A41="","",VLOOKUP($A41,'Gingerbread Man'!$A$3:J865,10,FALSE))</f>
        <v/>
      </c>
      <c r="K41" s="108" t="str">
        <f t="shared" si="1"/>
        <v/>
      </c>
      <c r="L41" s="39" t="b">
        <v>0</v>
      </c>
      <c r="M41" s="108" t="str">
        <f>IF($A41="","",VLOOKUP($A41,'Gingerbread Man'!$A$3:M865,13))</f>
        <v/>
      </c>
      <c r="N41" s="108" t="str">
        <f>IFERROR(__xludf.DUMMYFUNCTION("IF($A41="""","""",HYPERLINK(""https://docs.google.com/spreadsheets/d/1LovjCF_yo-DR4S4HXV7VkZLEyCUjv4US6kt_l-v8-GM/edit#gid=0&amp;range=L""&amp;(REGEXREPLACE($A41,"".* #"","""")+1),IF($I41="""",""View!"",""Verify!"")))"),"")</f>
        <v/>
      </c>
    </row>
    <row r="42">
      <c r="A42" s="39"/>
      <c r="B42" s="39"/>
      <c r="C42" s="39"/>
      <c r="D42" s="113"/>
      <c r="E42" s="113"/>
      <c r="F42" s="39"/>
      <c r="G42" s="39"/>
      <c r="H42" s="39"/>
      <c r="I42" s="39"/>
      <c r="J42" s="108" t="str">
        <f>IF($A42="","",VLOOKUP($A42,'Gingerbread Man'!$A$3:J865,10,FALSE))</f>
        <v/>
      </c>
      <c r="K42" s="108" t="str">
        <f t="shared" si="1"/>
        <v/>
      </c>
      <c r="L42" s="39" t="b">
        <v>0</v>
      </c>
      <c r="M42" s="108" t="str">
        <f>IF($A42="","",VLOOKUP($A42,'Gingerbread Man'!$A$3:M865,13))</f>
        <v/>
      </c>
      <c r="N42" s="108" t="str">
        <f>IFERROR(__xludf.DUMMYFUNCTION("IF($A42="""","""",HYPERLINK(""https://docs.google.com/spreadsheets/d/1LovjCF_yo-DR4S4HXV7VkZLEyCUjv4US6kt_l-v8-GM/edit#gid=0&amp;range=L""&amp;(REGEXREPLACE($A42,"".* #"","""")+1),IF($I42="""",""View!"",""Verify!"")))"),"")</f>
        <v/>
      </c>
    </row>
    <row r="43">
      <c r="A43" s="39"/>
      <c r="B43" s="39"/>
      <c r="C43" s="39"/>
      <c r="D43" s="113"/>
      <c r="E43" s="113"/>
      <c r="F43" s="39"/>
      <c r="G43" s="39"/>
      <c r="H43" s="39"/>
      <c r="I43" s="39"/>
      <c r="J43" s="108" t="str">
        <f>IF($A43="","",VLOOKUP($A43,'Gingerbread Man'!$A$3:J865,10,FALSE))</f>
        <v/>
      </c>
      <c r="K43" s="108" t="str">
        <f t="shared" si="1"/>
        <v/>
      </c>
      <c r="L43" s="39" t="b">
        <v>0</v>
      </c>
      <c r="M43" s="108" t="str">
        <f>IF($A43="","",VLOOKUP($A43,'Gingerbread Man'!$A$3:M865,13))</f>
        <v/>
      </c>
      <c r="N43" s="108" t="str">
        <f>IFERROR(__xludf.DUMMYFUNCTION("IF($A43="""","""",HYPERLINK(""https://docs.google.com/spreadsheets/d/1LovjCF_yo-DR4S4HXV7VkZLEyCUjv4US6kt_l-v8-GM/edit#gid=0&amp;range=L""&amp;(REGEXREPLACE($A43,"".* #"","""")+1),IF($I43="""",""View!"",""Verify!"")))"),"")</f>
        <v/>
      </c>
    </row>
    <row r="44">
      <c r="A44" s="39"/>
      <c r="B44" s="39"/>
      <c r="C44" s="39"/>
      <c r="D44" s="113"/>
      <c r="E44" s="113"/>
      <c r="F44" s="39"/>
      <c r="G44" s="39"/>
      <c r="H44" s="39"/>
      <c r="I44" s="39"/>
      <c r="J44" s="108" t="str">
        <f>IF($A44="","",VLOOKUP($A44,'Gingerbread Man'!$A$3:J865,10,FALSE))</f>
        <v/>
      </c>
      <c r="K44" s="108" t="str">
        <f t="shared" si="1"/>
        <v/>
      </c>
      <c r="L44" s="39" t="b">
        <v>0</v>
      </c>
      <c r="M44" s="108" t="str">
        <f>IF($A44="","",VLOOKUP($A44,'Gingerbread Man'!$A$3:M865,13))</f>
        <v/>
      </c>
      <c r="N44" s="108" t="str">
        <f>IFERROR(__xludf.DUMMYFUNCTION("IF($A44="""","""",HYPERLINK(""https://docs.google.com/spreadsheets/d/1LovjCF_yo-DR4S4HXV7VkZLEyCUjv4US6kt_l-v8-GM/edit#gid=0&amp;range=L""&amp;(REGEXREPLACE($A44,"".* #"","""")+1),IF($I44="""",""View!"",""Verify!"")))"),"")</f>
        <v/>
      </c>
    </row>
    <row r="45">
      <c r="A45" s="39"/>
      <c r="B45" s="39"/>
      <c r="C45" s="39"/>
      <c r="D45" s="113"/>
      <c r="E45" s="113"/>
      <c r="F45" s="39"/>
      <c r="G45" s="39"/>
      <c r="H45" s="39"/>
      <c r="I45" s="39"/>
      <c r="J45" s="108" t="str">
        <f>IF($A45="","",VLOOKUP($A45,'Gingerbread Man'!$A$3:J865,10,FALSE))</f>
        <v/>
      </c>
      <c r="K45" s="108" t="str">
        <f t="shared" si="1"/>
        <v/>
      </c>
      <c r="L45" s="39" t="b">
        <v>0</v>
      </c>
      <c r="M45" s="108" t="str">
        <f>IF($A45="","",VLOOKUP($A45,'Gingerbread Man'!$A$3:M865,13))</f>
        <v/>
      </c>
      <c r="N45" s="108" t="str">
        <f>IFERROR(__xludf.DUMMYFUNCTION("IF($A45="""","""",HYPERLINK(""https://docs.google.com/spreadsheets/d/1LovjCF_yo-DR4S4HXV7VkZLEyCUjv4US6kt_l-v8-GM/edit#gid=0&amp;range=L""&amp;(REGEXREPLACE($A45,"".* #"","""")+1),IF($I45="""",""View!"",""Verify!"")))"),"")</f>
        <v/>
      </c>
    </row>
    <row r="46">
      <c r="A46" s="39"/>
      <c r="B46" s="39"/>
      <c r="C46" s="39"/>
      <c r="D46" s="113"/>
      <c r="E46" s="113"/>
      <c r="F46" s="39"/>
      <c r="G46" s="39"/>
      <c r="H46" s="39"/>
      <c r="I46" s="39"/>
      <c r="J46" s="108" t="str">
        <f>IF($A46="","",VLOOKUP($A46,'Gingerbread Man'!$A$3:J865,10,FALSE))</f>
        <v/>
      </c>
      <c r="K46" s="108" t="str">
        <f t="shared" si="1"/>
        <v/>
      </c>
      <c r="L46" s="39" t="b">
        <v>0</v>
      </c>
      <c r="M46" s="108" t="str">
        <f>IF($A46="","",VLOOKUP($A46,'Gingerbread Man'!$A$3:M865,13))</f>
        <v/>
      </c>
      <c r="N46" s="108" t="str">
        <f>IFERROR(__xludf.DUMMYFUNCTION("IF($A46="""","""",HYPERLINK(""https://docs.google.com/spreadsheets/d/1LovjCF_yo-DR4S4HXV7VkZLEyCUjv4US6kt_l-v8-GM/edit#gid=0&amp;range=L""&amp;(REGEXREPLACE($A46,"".* #"","""")+1),IF($I46="""",""View!"",""Verify!"")))"),"")</f>
        <v/>
      </c>
    </row>
    <row r="47">
      <c r="A47" s="39"/>
      <c r="B47" s="39"/>
      <c r="C47" s="39"/>
      <c r="D47" s="113"/>
      <c r="E47" s="113"/>
      <c r="F47" s="39"/>
      <c r="G47" s="39"/>
      <c r="H47" s="39"/>
      <c r="I47" s="39"/>
      <c r="J47" s="108" t="str">
        <f>IF($A47="","",VLOOKUP($A47,'Gingerbread Man'!$A$3:J865,10,FALSE))</f>
        <v/>
      </c>
      <c r="K47" s="108" t="str">
        <f t="shared" si="1"/>
        <v/>
      </c>
      <c r="L47" s="39" t="b">
        <v>0</v>
      </c>
      <c r="M47" s="108" t="str">
        <f>IF($A47="","",VLOOKUP($A47,'Gingerbread Man'!$A$3:M865,13))</f>
        <v/>
      </c>
      <c r="N47" s="108" t="str">
        <f>IFERROR(__xludf.DUMMYFUNCTION("IF($A47="""","""",HYPERLINK(""https://docs.google.com/spreadsheets/d/1LovjCF_yo-DR4S4HXV7VkZLEyCUjv4US6kt_l-v8-GM/edit#gid=0&amp;range=L""&amp;(REGEXREPLACE($A47,"".* #"","""")+1),IF($I47="""",""View!"",""Verify!"")))"),"")</f>
        <v/>
      </c>
    </row>
    <row r="48">
      <c r="A48" s="39"/>
      <c r="B48" s="39"/>
      <c r="C48" s="39"/>
      <c r="D48" s="113"/>
      <c r="E48" s="113"/>
      <c r="F48" s="39"/>
      <c r="G48" s="39"/>
      <c r="H48" s="39"/>
      <c r="I48" s="39"/>
      <c r="J48" s="108" t="str">
        <f>IF($A48="","",VLOOKUP($A48,'Gingerbread Man'!$A$3:J865,10,FALSE))</f>
        <v/>
      </c>
      <c r="K48" s="108" t="str">
        <f t="shared" si="1"/>
        <v/>
      </c>
      <c r="L48" s="39" t="b">
        <v>0</v>
      </c>
      <c r="M48" s="108" t="str">
        <f>IF($A48="","",VLOOKUP($A48,'Gingerbread Man'!$A$3:M865,13))</f>
        <v/>
      </c>
      <c r="N48" s="108" t="str">
        <f>IFERROR(__xludf.DUMMYFUNCTION("IF($A48="""","""",HYPERLINK(""https://docs.google.com/spreadsheets/d/1LovjCF_yo-DR4S4HXV7VkZLEyCUjv4US6kt_l-v8-GM/edit#gid=0&amp;range=L""&amp;(REGEXREPLACE($A48,"".* #"","""")+1),IF($I48="""",""View!"",""Verify!"")))"),"")</f>
        <v/>
      </c>
    </row>
    <row r="49">
      <c r="A49" s="39"/>
      <c r="B49" s="39"/>
      <c r="C49" s="39"/>
      <c r="D49" s="113"/>
      <c r="E49" s="113"/>
      <c r="F49" s="39"/>
      <c r="G49" s="39"/>
      <c r="H49" s="39"/>
      <c r="I49" s="39"/>
      <c r="J49" s="108" t="str">
        <f>IF($A49="","",VLOOKUP($A49,'Gingerbread Man'!$A$3:J865,10,FALSE))</f>
        <v/>
      </c>
      <c r="K49" s="108" t="str">
        <f t="shared" si="1"/>
        <v/>
      </c>
      <c r="L49" s="39" t="b">
        <v>0</v>
      </c>
      <c r="M49" s="108" t="str">
        <f>IF($A49="","",VLOOKUP($A49,'Gingerbread Man'!$A$3:M865,13))</f>
        <v/>
      </c>
      <c r="N49" s="108" t="str">
        <f>IFERROR(__xludf.DUMMYFUNCTION("IF($A49="""","""",HYPERLINK(""https://docs.google.com/spreadsheets/d/1LovjCF_yo-DR4S4HXV7VkZLEyCUjv4US6kt_l-v8-GM/edit#gid=0&amp;range=L""&amp;(REGEXREPLACE($A49,"".* #"","""")+1),IF($I49="""",""View!"",""Verify!"")))"),"")</f>
        <v/>
      </c>
    </row>
    <row r="50">
      <c r="A50" s="39"/>
      <c r="B50" s="39"/>
      <c r="C50" s="39"/>
      <c r="D50" s="113"/>
      <c r="E50" s="113"/>
      <c r="F50" s="39"/>
      <c r="G50" s="39"/>
      <c r="H50" s="39"/>
      <c r="I50" s="39"/>
      <c r="J50" s="108" t="str">
        <f>IF($A50="","",VLOOKUP($A50,'Gingerbread Man'!$A$3:J865,10,FALSE))</f>
        <v/>
      </c>
      <c r="K50" s="108" t="str">
        <f t="shared" si="1"/>
        <v/>
      </c>
      <c r="L50" s="39" t="b">
        <v>0</v>
      </c>
      <c r="M50" s="108" t="str">
        <f>IF($A50="","",VLOOKUP($A50,'Gingerbread Man'!$A$3:M865,13))</f>
        <v/>
      </c>
      <c r="N50" s="108" t="str">
        <f>IFERROR(__xludf.DUMMYFUNCTION("IF($A50="""","""",HYPERLINK(""https://docs.google.com/spreadsheets/d/1LovjCF_yo-DR4S4HXV7VkZLEyCUjv4US6kt_l-v8-GM/edit#gid=0&amp;range=L""&amp;(REGEXREPLACE($A50,"".* #"","""")+1),IF($I50="""",""View!"",""Verify!"")))"),"")</f>
        <v/>
      </c>
    </row>
    <row r="51">
      <c r="A51" s="39"/>
      <c r="B51" s="39"/>
      <c r="C51" s="39"/>
      <c r="D51" s="113"/>
      <c r="E51" s="113"/>
      <c r="F51" s="39"/>
      <c r="G51" s="39"/>
      <c r="H51" s="39"/>
      <c r="I51" s="39"/>
      <c r="J51" s="108" t="str">
        <f>IF($A51="","",VLOOKUP($A51,'Gingerbread Man'!$A$3:J865,10,FALSE))</f>
        <v/>
      </c>
      <c r="K51" s="108" t="str">
        <f t="shared" si="1"/>
        <v/>
      </c>
      <c r="L51" s="39" t="b">
        <v>0</v>
      </c>
      <c r="M51" s="108" t="str">
        <f>IF($A51="","",VLOOKUP($A51,'Gingerbread Man'!$A$3:M865,13))</f>
        <v/>
      </c>
      <c r="N51" s="108" t="str">
        <f>IFERROR(__xludf.DUMMYFUNCTION("IF($A51="""","""",HYPERLINK(""https://docs.google.com/spreadsheets/d/1LovjCF_yo-DR4S4HXV7VkZLEyCUjv4US6kt_l-v8-GM/edit#gid=0&amp;range=L""&amp;(REGEXREPLACE($A51,"".* #"","""")+1),IF($I51="""",""View!"",""Verify!"")))"),"")</f>
        <v/>
      </c>
    </row>
    <row r="52">
      <c r="A52" s="39"/>
      <c r="B52" s="39"/>
      <c r="C52" s="39"/>
      <c r="D52" s="113"/>
      <c r="E52" s="113"/>
      <c r="F52" s="39"/>
      <c r="G52" s="39"/>
      <c r="H52" s="39"/>
      <c r="I52" s="39"/>
      <c r="J52" s="108" t="str">
        <f>IF($A52="","",VLOOKUP($A52,'Gingerbread Man'!$A$3:J865,10,FALSE))</f>
        <v/>
      </c>
      <c r="K52" s="108" t="str">
        <f t="shared" si="1"/>
        <v/>
      </c>
      <c r="L52" s="39" t="b">
        <v>0</v>
      </c>
      <c r="M52" s="108" t="str">
        <f>IF($A52="","",VLOOKUP($A52,'Gingerbread Man'!$A$3:M865,13))</f>
        <v/>
      </c>
      <c r="N52" s="108" t="str">
        <f>IFERROR(__xludf.DUMMYFUNCTION("IF($A52="""","""",HYPERLINK(""https://docs.google.com/spreadsheets/d/1LovjCF_yo-DR4S4HXV7VkZLEyCUjv4US6kt_l-v8-GM/edit#gid=0&amp;range=L""&amp;(REGEXREPLACE($A52,"".* #"","""")+1),IF($I52="""",""View!"",""Verify!"")))"),"")</f>
        <v/>
      </c>
    </row>
    <row r="53">
      <c r="A53" s="39"/>
      <c r="B53" s="39"/>
      <c r="C53" s="39"/>
      <c r="D53" s="113"/>
      <c r="E53" s="113"/>
      <c r="F53" s="39"/>
      <c r="G53" s="39"/>
      <c r="H53" s="39"/>
      <c r="I53" s="39"/>
      <c r="J53" s="108" t="str">
        <f>IF($A53="","",VLOOKUP($A53,'Gingerbread Man'!$A$3:J865,10,FALSE))</f>
        <v/>
      </c>
      <c r="K53" s="108" t="str">
        <f t="shared" si="1"/>
        <v/>
      </c>
      <c r="L53" s="39" t="b">
        <v>0</v>
      </c>
      <c r="M53" s="108" t="str">
        <f>IF($A53="","",VLOOKUP($A53,'Gingerbread Man'!$A$3:M865,13))</f>
        <v/>
      </c>
      <c r="N53" s="108" t="str">
        <f>IFERROR(__xludf.DUMMYFUNCTION("IF($A53="""","""",HYPERLINK(""https://docs.google.com/spreadsheets/d/1LovjCF_yo-DR4S4HXV7VkZLEyCUjv4US6kt_l-v8-GM/edit#gid=0&amp;range=L""&amp;(REGEXREPLACE($A53,"".* #"","""")+1),IF($I53="""",""View!"",""Verify!"")))"),"")</f>
        <v/>
      </c>
    </row>
    <row r="54">
      <c r="A54" s="39"/>
      <c r="B54" s="39"/>
      <c r="C54" s="39"/>
      <c r="D54" s="113"/>
      <c r="E54" s="113"/>
      <c r="F54" s="39"/>
      <c r="G54" s="39"/>
      <c r="H54" s="39"/>
      <c r="I54" s="39"/>
      <c r="J54" s="108" t="str">
        <f>IF($A54="","",VLOOKUP($A54,'Gingerbread Man'!$A$3:J865,10,FALSE))</f>
        <v/>
      </c>
      <c r="K54" s="108" t="str">
        <f t="shared" si="1"/>
        <v/>
      </c>
      <c r="L54" s="39" t="b">
        <v>0</v>
      </c>
      <c r="M54" s="108" t="str">
        <f>IF($A54="","",VLOOKUP($A54,'Gingerbread Man'!$A$3:M865,13))</f>
        <v/>
      </c>
      <c r="N54" s="108" t="str">
        <f>IFERROR(__xludf.DUMMYFUNCTION("IF($A54="""","""",HYPERLINK(""https://docs.google.com/spreadsheets/d/1LovjCF_yo-DR4S4HXV7VkZLEyCUjv4US6kt_l-v8-GM/edit#gid=0&amp;range=L""&amp;(REGEXREPLACE($A54,"".* #"","""")+1),IF($I54="""",""View!"",""Verify!"")))"),"")</f>
        <v/>
      </c>
    </row>
    <row r="55">
      <c r="A55" s="39"/>
      <c r="B55" s="39"/>
      <c r="C55" s="39"/>
      <c r="D55" s="113"/>
      <c r="E55" s="113"/>
      <c r="F55" s="39"/>
      <c r="G55" s="39"/>
      <c r="H55" s="39"/>
      <c r="I55" s="39"/>
      <c r="J55" s="108" t="str">
        <f>IF($A55="","",VLOOKUP($A55,'Gingerbread Man'!$A$3:J865,10,FALSE))</f>
        <v/>
      </c>
      <c r="K55" s="108" t="str">
        <f t="shared" si="1"/>
        <v/>
      </c>
      <c r="L55" s="39" t="b">
        <v>0</v>
      </c>
      <c r="M55" s="108" t="str">
        <f>IF($A55="","",VLOOKUP($A55,'Gingerbread Man'!$A$3:M865,13))</f>
        <v/>
      </c>
      <c r="N55" s="108" t="str">
        <f>IFERROR(__xludf.DUMMYFUNCTION("IF($A55="""","""",HYPERLINK(""https://docs.google.com/spreadsheets/d/1LovjCF_yo-DR4S4HXV7VkZLEyCUjv4US6kt_l-v8-GM/edit#gid=0&amp;range=L""&amp;(REGEXREPLACE($A55,"".* #"","""")+1),IF($I55="""",""View!"",""Verify!"")))"),"")</f>
        <v/>
      </c>
    </row>
    <row r="56">
      <c r="A56" s="39"/>
      <c r="B56" s="39"/>
      <c r="C56" s="39"/>
      <c r="D56" s="113"/>
      <c r="E56" s="113"/>
      <c r="F56" s="39"/>
      <c r="G56" s="39"/>
      <c r="H56" s="39"/>
      <c r="I56" s="39"/>
      <c r="J56" s="108" t="str">
        <f>IF($A56="","",VLOOKUP($A56,'Gingerbread Man'!$A$3:J865,10,FALSE))</f>
        <v/>
      </c>
      <c r="K56" s="108" t="str">
        <f t="shared" si="1"/>
        <v/>
      </c>
      <c r="L56" s="39" t="b">
        <v>0</v>
      </c>
      <c r="M56" s="108" t="str">
        <f>IF($A56="","",VLOOKUP($A56,'Gingerbread Man'!$A$3:M865,13))</f>
        <v/>
      </c>
      <c r="N56" s="108" t="str">
        <f>IFERROR(__xludf.DUMMYFUNCTION("IF($A56="""","""",HYPERLINK(""https://docs.google.com/spreadsheets/d/1LovjCF_yo-DR4S4HXV7VkZLEyCUjv4US6kt_l-v8-GM/edit#gid=0&amp;range=L""&amp;(REGEXREPLACE($A56,"".* #"","""")+1),IF($I56="""",""View!"",""Verify!"")))"),"")</f>
        <v/>
      </c>
    </row>
    <row r="57">
      <c r="A57" s="39"/>
      <c r="B57" s="39"/>
      <c r="C57" s="39"/>
      <c r="D57" s="113"/>
      <c r="E57" s="113"/>
      <c r="F57" s="39"/>
      <c r="G57" s="39"/>
      <c r="H57" s="39"/>
      <c r="I57" s="39"/>
      <c r="J57" s="108" t="str">
        <f>IF($A57="","",VLOOKUP($A57,'Gingerbread Man'!$A$3:J865,10,FALSE))</f>
        <v/>
      </c>
      <c r="K57" s="108" t="str">
        <f t="shared" si="1"/>
        <v/>
      </c>
      <c r="L57" s="39" t="b">
        <v>0</v>
      </c>
      <c r="M57" s="108" t="str">
        <f>IF($A57="","",VLOOKUP($A57,'Gingerbread Man'!$A$3:M865,13))</f>
        <v/>
      </c>
      <c r="N57" s="108" t="str">
        <f>IFERROR(__xludf.DUMMYFUNCTION("IF($A57="""","""",HYPERLINK(""https://docs.google.com/spreadsheets/d/1LovjCF_yo-DR4S4HXV7VkZLEyCUjv4US6kt_l-v8-GM/edit#gid=0&amp;range=L""&amp;(REGEXREPLACE($A57,"".* #"","""")+1),IF($I57="""",""View!"",""Verify!"")))"),"")</f>
        <v/>
      </c>
    </row>
    <row r="58">
      <c r="A58" s="39"/>
      <c r="B58" s="39"/>
      <c r="C58" s="39"/>
      <c r="D58" s="113"/>
      <c r="E58" s="113"/>
      <c r="F58" s="39"/>
      <c r="G58" s="39"/>
      <c r="H58" s="39"/>
      <c r="I58" s="39"/>
      <c r="J58" s="108" t="str">
        <f>IF($A58="","",VLOOKUP($A58,'Gingerbread Man'!$A$3:J865,10,FALSE))</f>
        <v/>
      </c>
      <c r="K58" s="108" t="str">
        <f t="shared" si="1"/>
        <v/>
      </c>
      <c r="L58" s="39" t="b">
        <v>0</v>
      </c>
      <c r="M58" s="108" t="str">
        <f>IF($A58="","",VLOOKUP($A58,'Gingerbread Man'!$A$3:M865,13))</f>
        <v/>
      </c>
      <c r="N58" s="108" t="str">
        <f>IFERROR(__xludf.DUMMYFUNCTION("IF($A58="""","""",HYPERLINK(""https://docs.google.com/spreadsheets/d/1LovjCF_yo-DR4S4HXV7VkZLEyCUjv4US6kt_l-v8-GM/edit#gid=0&amp;range=L""&amp;(REGEXREPLACE($A58,"".* #"","""")+1),IF($I58="""",""View!"",""Verify!"")))"),"")</f>
        <v/>
      </c>
    </row>
    <row r="59">
      <c r="A59" s="39"/>
      <c r="B59" s="39"/>
      <c r="C59" s="39"/>
      <c r="D59" s="113"/>
      <c r="E59" s="113"/>
      <c r="F59" s="39"/>
      <c r="G59" s="39"/>
      <c r="H59" s="39"/>
      <c r="I59" s="39"/>
      <c r="J59" s="108" t="str">
        <f>IF($A59="","",VLOOKUP($A59,'Gingerbread Man'!$A$3:J865,10,FALSE))</f>
        <v/>
      </c>
      <c r="K59" s="108" t="str">
        <f t="shared" si="1"/>
        <v/>
      </c>
      <c r="L59" s="39" t="b">
        <v>0</v>
      </c>
      <c r="M59" s="108" t="str">
        <f>IF($A59="","",VLOOKUP($A59,'Gingerbread Man'!$A$3:M865,13))</f>
        <v/>
      </c>
      <c r="N59" s="108" t="str">
        <f>IFERROR(__xludf.DUMMYFUNCTION("IF($A59="""","""",HYPERLINK(""https://docs.google.com/spreadsheets/d/1LovjCF_yo-DR4S4HXV7VkZLEyCUjv4US6kt_l-v8-GM/edit#gid=0&amp;range=L""&amp;(REGEXREPLACE($A59,"".* #"","""")+1),IF($I59="""",""View!"",""Verify!"")))"),"")</f>
        <v/>
      </c>
    </row>
    <row r="60">
      <c r="A60" s="39"/>
      <c r="B60" s="39"/>
      <c r="C60" s="39"/>
      <c r="D60" s="113"/>
      <c r="E60" s="113"/>
      <c r="F60" s="39"/>
      <c r="G60" s="39"/>
      <c r="H60" s="39"/>
      <c r="I60" s="39"/>
      <c r="J60" s="108" t="str">
        <f>IF($A60="","",VLOOKUP($A60,'Gingerbread Man'!$A$3:J865,10,FALSE))</f>
        <v/>
      </c>
      <c r="K60" s="108" t="str">
        <f t="shared" si="1"/>
        <v/>
      </c>
      <c r="L60" s="39" t="b">
        <v>0</v>
      </c>
      <c r="M60" s="108" t="str">
        <f>IF($A60="","",VLOOKUP($A60,'Gingerbread Man'!$A$3:M865,13))</f>
        <v/>
      </c>
      <c r="N60" s="108" t="str">
        <f>IFERROR(__xludf.DUMMYFUNCTION("IF($A60="""","""",HYPERLINK(""https://docs.google.com/spreadsheets/d/1LovjCF_yo-DR4S4HXV7VkZLEyCUjv4US6kt_l-v8-GM/edit#gid=0&amp;range=L""&amp;(REGEXREPLACE($A60,"".* #"","""")+1),IF($I60="""",""View!"",""Verify!"")))"),"")</f>
        <v/>
      </c>
    </row>
    <row r="61">
      <c r="A61" s="39"/>
      <c r="B61" s="39"/>
      <c r="C61" s="39"/>
      <c r="D61" s="113"/>
      <c r="E61" s="113"/>
      <c r="F61" s="39"/>
      <c r="G61" s="39"/>
      <c r="H61" s="39"/>
      <c r="I61" s="39"/>
      <c r="J61" s="108" t="str">
        <f>IF($A61="","",VLOOKUP($A61,'Gingerbread Man'!$A$3:J865,10,FALSE))</f>
        <v/>
      </c>
      <c r="K61" s="108" t="str">
        <f t="shared" si="1"/>
        <v/>
      </c>
      <c r="L61" s="39" t="b">
        <v>0</v>
      </c>
      <c r="M61" s="108" t="str">
        <f>IF($A61="","",VLOOKUP($A61,'Gingerbread Man'!$A$3:M865,13))</f>
        <v/>
      </c>
      <c r="N61" s="108" t="str">
        <f>IFERROR(__xludf.DUMMYFUNCTION("IF($A61="""","""",HYPERLINK(""https://docs.google.com/spreadsheets/d/1LovjCF_yo-DR4S4HXV7VkZLEyCUjv4US6kt_l-v8-GM/edit#gid=0&amp;range=L""&amp;(REGEXREPLACE($A61,"".* #"","""")+1),IF($I61="""",""View!"",""Verify!"")))"),"")</f>
        <v/>
      </c>
    </row>
    <row r="62">
      <c r="A62" s="39"/>
      <c r="B62" s="39"/>
      <c r="C62" s="39"/>
      <c r="D62" s="113"/>
      <c r="E62" s="113"/>
      <c r="F62" s="39"/>
      <c r="G62" s="39"/>
      <c r="H62" s="39"/>
      <c r="I62" s="39"/>
      <c r="J62" s="108" t="str">
        <f>IF($A62="","",VLOOKUP($A62,'Gingerbread Man'!$A$3:J865,10,FALSE))</f>
        <v/>
      </c>
      <c r="K62" s="108" t="str">
        <f t="shared" si="1"/>
        <v/>
      </c>
      <c r="L62" s="39" t="b">
        <v>0</v>
      </c>
      <c r="M62" s="108" t="str">
        <f>IF($A62="","",VLOOKUP($A62,'Gingerbread Man'!$A$3:M865,13))</f>
        <v/>
      </c>
      <c r="N62" s="108" t="str">
        <f>IFERROR(__xludf.DUMMYFUNCTION("IF($A62="""","""",HYPERLINK(""https://docs.google.com/spreadsheets/d/1LovjCF_yo-DR4S4HXV7VkZLEyCUjv4US6kt_l-v8-GM/edit#gid=0&amp;range=L""&amp;(REGEXREPLACE($A62,"".* #"","""")+1),IF($I62="""",""View!"",""Verify!"")))"),"")</f>
        <v/>
      </c>
    </row>
    <row r="63">
      <c r="A63" s="39"/>
      <c r="B63" s="39"/>
      <c r="C63" s="39"/>
      <c r="D63" s="113"/>
      <c r="E63" s="113"/>
      <c r="F63" s="39"/>
      <c r="G63" s="39"/>
      <c r="H63" s="39"/>
      <c r="I63" s="39"/>
      <c r="J63" s="108" t="str">
        <f>IF($A63="","",VLOOKUP($A63,'Gingerbread Man'!$A$3:J865,10,FALSE))</f>
        <v/>
      </c>
      <c r="K63" s="108" t="str">
        <f t="shared" si="1"/>
        <v/>
      </c>
      <c r="L63" s="39" t="b">
        <v>0</v>
      </c>
      <c r="M63" s="108" t="str">
        <f>IF($A63="","",VLOOKUP($A63,'Gingerbread Man'!$A$3:M865,13))</f>
        <v/>
      </c>
      <c r="N63" s="108" t="str">
        <f>IFERROR(__xludf.DUMMYFUNCTION("IF($A63="""","""",HYPERLINK(""https://docs.google.com/spreadsheets/d/1LovjCF_yo-DR4S4HXV7VkZLEyCUjv4US6kt_l-v8-GM/edit#gid=0&amp;range=L""&amp;(REGEXREPLACE($A63,"".* #"","""")+1),IF($I63="""",""View!"",""Verify!"")))"),"")</f>
        <v/>
      </c>
    </row>
    <row r="64">
      <c r="A64" s="39"/>
      <c r="B64" s="39"/>
      <c r="C64" s="39"/>
      <c r="D64" s="113"/>
      <c r="E64" s="113"/>
      <c r="F64" s="39"/>
      <c r="G64" s="39"/>
      <c r="H64" s="39"/>
      <c r="I64" s="39"/>
      <c r="J64" s="108" t="str">
        <f>IF($A64="","",VLOOKUP($A64,'Gingerbread Man'!$A$3:J865,10,FALSE))</f>
        <v/>
      </c>
      <c r="K64" s="108" t="str">
        <f t="shared" si="1"/>
        <v/>
      </c>
      <c r="L64" s="39" t="b">
        <v>0</v>
      </c>
      <c r="M64" s="108" t="str">
        <f>IF($A64="","",VLOOKUP($A64,'Gingerbread Man'!$A$3:M865,13))</f>
        <v/>
      </c>
      <c r="N64" s="108" t="str">
        <f>IFERROR(__xludf.DUMMYFUNCTION("IF($A64="""","""",HYPERLINK(""https://docs.google.com/spreadsheets/d/1LovjCF_yo-DR4S4HXV7VkZLEyCUjv4US6kt_l-v8-GM/edit#gid=0&amp;range=L""&amp;(REGEXREPLACE($A64,"".* #"","""")+1),IF($I64="""",""View!"",""Verify!"")))"),"")</f>
        <v/>
      </c>
    </row>
    <row r="65">
      <c r="A65" s="39"/>
      <c r="B65" s="39"/>
      <c r="C65" s="39"/>
      <c r="D65" s="113"/>
      <c r="E65" s="113"/>
      <c r="F65" s="39"/>
      <c r="G65" s="39"/>
      <c r="H65" s="39"/>
      <c r="I65" s="39"/>
      <c r="J65" s="108" t="str">
        <f>IF($A65="","",VLOOKUP($A65,'Gingerbread Man'!$A$3:J865,10,FALSE))</f>
        <v/>
      </c>
      <c r="K65" s="108" t="str">
        <f t="shared" si="1"/>
        <v/>
      </c>
      <c r="L65" s="39" t="b">
        <v>0</v>
      </c>
      <c r="M65" s="108" t="str">
        <f>IF($A65="","",VLOOKUP($A65,'Gingerbread Man'!$A$3:M865,13))</f>
        <v/>
      </c>
      <c r="N65" s="108" t="str">
        <f>IFERROR(__xludf.DUMMYFUNCTION("IF($A65="""","""",HYPERLINK(""https://docs.google.com/spreadsheets/d/1LovjCF_yo-DR4S4HXV7VkZLEyCUjv4US6kt_l-v8-GM/edit#gid=0&amp;range=L""&amp;(REGEXREPLACE($A65,"".* #"","""")+1),IF($I65="""",""View!"",""Verify!"")))"),"")</f>
        <v/>
      </c>
    </row>
    <row r="66">
      <c r="A66" s="39"/>
      <c r="B66" s="39"/>
      <c r="C66" s="39"/>
      <c r="D66" s="113"/>
      <c r="E66" s="113"/>
      <c r="F66" s="39"/>
      <c r="G66" s="39"/>
      <c r="H66" s="39"/>
      <c r="I66" s="39"/>
      <c r="J66" s="108" t="str">
        <f>IF($A66="","",VLOOKUP($A66,'Gingerbread Man'!$A$3:J865,10,FALSE))</f>
        <v/>
      </c>
      <c r="K66" s="108" t="str">
        <f t="shared" si="1"/>
        <v/>
      </c>
      <c r="L66" s="39" t="b">
        <v>0</v>
      </c>
      <c r="M66" s="108" t="str">
        <f>IF($A66="","",VLOOKUP($A66,'Gingerbread Man'!$A$3:M865,13))</f>
        <v/>
      </c>
      <c r="N66" s="108" t="str">
        <f>IFERROR(__xludf.DUMMYFUNCTION("IF($A66="""","""",HYPERLINK(""https://docs.google.com/spreadsheets/d/1LovjCF_yo-DR4S4HXV7VkZLEyCUjv4US6kt_l-v8-GM/edit#gid=0&amp;range=L""&amp;(REGEXREPLACE($A66,"".* #"","""")+1),IF($I66="""",""View!"",""Verify!"")))"),"")</f>
        <v/>
      </c>
    </row>
    <row r="67">
      <c r="A67" s="39"/>
      <c r="B67" s="39"/>
      <c r="C67" s="39"/>
      <c r="D67" s="113"/>
      <c r="E67" s="113"/>
      <c r="F67" s="39"/>
      <c r="G67" s="39"/>
      <c r="H67" s="39"/>
      <c r="I67" s="39"/>
      <c r="J67" s="108" t="str">
        <f>IF($A67="","",VLOOKUP($A67,'Gingerbread Man'!$A$3:J865,10,FALSE))</f>
        <v/>
      </c>
      <c r="K67" s="108" t="str">
        <f t="shared" si="1"/>
        <v/>
      </c>
      <c r="L67" s="39" t="b">
        <v>0</v>
      </c>
      <c r="M67" s="108" t="str">
        <f>IF($A67="","",VLOOKUP($A67,'Gingerbread Man'!$A$3:M865,13))</f>
        <v/>
      </c>
      <c r="N67" s="108" t="str">
        <f>IFERROR(__xludf.DUMMYFUNCTION("IF($A67="""","""",HYPERLINK(""https://docs.google.com/spreadsheets/d/1LovjCF_yo-DR4S4HXV7VkZLEyCUjv4US6kt_l-v8-GM/edit#gid=0&amp;range=L""&amp;(REGEXREPLACE($A67,"".* #"","""")+1),IF($I67="""",""View!"",""Verify!"")))"),"")</f>
        <v/>
      </c>
    </row>
    <row r="68">
      <c r="A68" s="39"/>
      <c r="B68" s="39"/>
      <c r="C68" s="39"/>
      <c r="D68" s="113"/>
      <c r="E68" s="113"/>
      <c r="F68" s="39"/>
      <c r="G68" s="39"/>
      <c r="H68" s="39"/>
      <c r="I68" s="39"/>
      <c r="J68" s="108" t="str">
        <f>IF($A68="","",VLOOKUP($A68,'Gingerbread Man'!$A$3:J865,10,FALSE))</f>
        <v/>
      </c>
      <c r="K68" s="108" t="str">
        <f t="shared" si="1"/>
        <v/>
      </c>
      <c r="L68" s="39" t="b">
        <v>0</v>
      </c>
      <c r="M68" s="108" t="str">
        <f>IF($A68="","",VLOOKUP($A68,'Gingerbread Man'!$A$3:M865,13))</f>
        <v/>
      </c>
      <c r="N68" s="108" t="str">
        <f>IFERROR(__xludf.DUMMYFUNCTION("IF($A68="""","""",HYPERLINK(""https://docs.google.com/spreadsheets/d/1LovjCF_yo-DR4S4HXV7VkZLEyCUjv4US6kt_l-v8-GM/edit#gid=0&amp;range=L""&amp;(REGEXREPLACE($A68,"".* #"","""")+1),IF($I68="""",""View!"",""Verify!"")))"),"")</f>
        <v/>
      </c>
    </row>
    <row r="69">
      <c r="A69" s="39"/>
      <c r="B69" s="39"/>
      <c r="C69" s="39"/>
      <c r="D69" s="113"/>
      <c r="E69" s="113"/>
      <c r="F69" s="39"/>
      <c r="G69" s="39"/>
      <c r="H69" s="39"/>
      <c r="I69" s="39"/>
      <c r="J69" s="108" t="str">
        <f>IF($A69="","",VLOOKUP($A69,'Gingerbread Man'!$A$3:J865,10,FALSE))</f>
        <v/>
      </c>
      <c r="K69" s="108" t="str">
        <f t="shared" si="1"/>
        <v/>
      </c>
      <c r="L69" s="39" t="b">
        <v>0</v>
      </c>
      <c r="M69" s="108" t="str">
        <f>IF($A69="","",VLOOKUP($A69,'Gingerbread Man'!$A$3:M865,13))</f>
        <v/>
      </c>
      <c r="N69" s="108" t="str">
        <f>IFERROR(__xludf.DUMMYFUNCTION("IF($A69="""","""",HYPERLINK(""https://docs.google.com/spreadsheets/d/1LovjCF_yo-DR4S4HXV7VkZLEyCUjv4US6kt_l-v8-GM/edit#gid=0&amp;range=L""&amp;(REGEXREPLACE($A69,"".* #"","""")+1),IF($I69="""",""View!"",""Verify!"")))"),"")</f>
        <v/>
      </c>
    </row>
    <row r="70">
      <c r="A70" s="39"/>
      <c r="B70" s="39"/>
      <c r="C70" s="39"/>
      <c r="D70" s="113"/>
      <c r="E70" s="113"/>
      <c r="F70" s="39"/>
      <c r="G70" s="39"/>
      <c r="H70" s="39"/>
      <c r="I70" s="39"/>
      <c r="J70" s="108" t="str">
        <f>IF($A70="","",VLOOKUP($A70,'Gingerbread Man'!$A$3:J865,10,FALSE))</f>
        <v/>
      </c>
      <c r="K70" s="108" t="str">
        <f t="shared" si="1"/>
        <v/>
      </c>
      <c r="L70" s="39" t="b">
        <v>0</v>
      </c>
      <c r="M70" s="108" t="str">
        <f>IF($A70="","",VLOOKUP($A70,'Gingerbread Man'!$A$3:M865,13))</f>
        <v/>
      </c>
      <c r="N70" s="108" t="str">
        <f>IFERROR(__xludf.DUMMYFUNCTION("IF($A70="""","""",HYPERLINK(""https://docs.google.com/spreadsheets/d/1LovjCF_yo-DR4S4HXV7VkZLEyCUjv4US6kt_l-v8-GM/edit#gid=0&amp;range=L""&amp;(REGEXREPLACE($A70,"".* #"","""")+1),IF($I70="""",""View!"",""Verify!"")))"),"")</f>
        <v/>
      </c>
    </row>
    <row r="71">
      <c r="A71" s="39"/>
      <c r="B71" s="39"/>
      <c r="C71" s="39"/>
      <c r="D71" s="113"/>
      <c r="E71" s="113"/>
      <c r="F71" s="39"/>
      <c r="G71" s="39"/>
      <c r="H71" s="39"/>
      <c r="I71" s="39"/>
      <c r="J71" s="108" t="str">
        <f>IF($A71="","",VLOOKUP($A71,'Gingerbread Man'!$A$3:J865,10,FALSE))</f>
        <v/>
      </c>
      <c r="K71" s="108" t="str">
        <f t="shared" si="1"/>
        <v/>
      </c>
      <c r="L71" s="39" t="b">
        <v>0</v>
      </c>
      <c r="M71" s="108" t="str">
        <f>IF($A71="","",VLOOKUP($A71,'Gingerbread Man'!$A$3:M865,13))</f>
        <v/>
      </c>
      <c r="N71" s="108" t="str">
        <f>IFERROR(__xludf.DUMMYFUNCTION("IF($A71="""","""",HYPERLINK(""https://docs.google.com/spreadsheets/d/1LovjCF_yo-DR4S4HXV7VkZLEyCUjv4US6kt_l-v8-GM/edit#gid=0&amp;range=L""&amp;(REGEXREPLACE($A71,"".* #"","""")+1),IF($I71="""",""View!"",""Verify!"")))"),"")</f>
        <v/>
      </c>
    </row>
    <row r="72">
      <c r="A72" s="39"/>
      <c r="B72" s="39"/>
      <c r="C72" s="39"/>
      <c r="D72" s="113"/>
      <c r="E72" s="113"/>
      <c r="F72" s="39"/>
      <c r="G72" s="39"/>
      <c r="H72" s="39"/>
      <c r="I72" s="39"/>
      <c r="J72" s="108" t="str">
        <f>IF($A72="","",VLOOKUP($A72,'Gingerbread Man'!$A$3:J865,10,FALSE))</f>
        <v/>
      </c>
      <c r="K72" s="108" t="str">
        <f t="shared" si="1"/>
        <v/>
      </c>
      <c r="L72" s="39" t="b">
        <v>0</v>
      </c>
      <c r="M72" s="108" t="str">
        <f>IF($A72="","",VLOOKUP($A72,'Gingerbread Man'!$A$3:M865,13))</f>
        <v/>
      </c>
      <c r="N72" s="108" t="str">
        <f>IFERROR(__xludf.DUMMYFUNCTION("IF($A72="""","""",HYPERLINK(""https://docs.google.com/spreadsheets/d/1LovjCF_yo-DR4S4HXV7VkZLEyCUjv4US6kt_l-v8-GM/edit#gid=0&amp;range=L""&amp;(REGEXREPLACE($A72,"".* #"","""")+1),IF($I72="""",""View!"",""Verify!"")))"),"")</f>
        <v/>
      </c>
    </row>
    <row r="73">
      <c r="A73" s="39"/>
      <c r="B73" s="39"/>
      <c r="C73" s="39"/>
      <c r="D73" s="113"/>
      <c r="E73" s="113"/>
      <c r="F73" s="39"/>
      <c r="G73" s="39"/>
      <c r="H73" s="39"/>
      <c r="I73" s="39"/>
      <c r="J73" s="108" t="str">
        <f>IF($A73="","",VLOOKUP($A73,'Gingerbread Man'!$A$3:J865,10,FALSE))</f>
        <v/>
      </c>
      <c r="K73" s="108" t="str">
        <f t="shared" si="1"/>
        <v/>
      </c>
      <c r="L73" s="39" t="b">
        <v>0</v>
      </c>
      <c r="M73" s="108" t="str">
        <f>IF($A73="","",VLOOKUP($A73,'Gingerbread Man'!$A$3:M865,13))</f>
        <v/>
      </c>
      <c r="N73" s="108" t="str">
        <f>IFERROR(__xludf.DUMMYFUNCTION("IF($A73="""","""",HYPERLINK(""https://docs.google.com/spreadsheets/d/1LovjCF_yo-DR4S4HXV7VkZLEyCUjv4US6kt_l-v8-GM/edit#gid=0&amp;range=L""&amp;(REGEXREPLACE($A73,"".* #"","""")+1),IF($I73="""",""View!"",""Verify!"")))"),"")</f>
        <v/>
      </c>
    </row>
    <row r="74">
      <c r="A74" s="39"/>
      <c r="B74" s="39"/>
      <c r="C74" s="39"/>
      <c r="D74" s="113"/>
      <c r="E74" s="113"/>
      <c r="F74" s="39"/>
      <c r="G74" s="39"/>
      <c r="H74" s="39"/>
      <c r="I74" s="39"/>
      <c r="J74" s="108" t="str">
        <f>IF($A74="","",VLOOKUP($A74,'Gingerbread Man'!$A$3:J865,10,FALSE))</f>
        <v/>
      </c>
      <c r="K74" s="108" t="str">
        <f t="shared" si="1"/>
        <v/>
      </c>
      <c r="L74" s="39" t="b">
        <v>0</v>
      </c>
      <c r="M74" s="108" t="str">
        <f>IF($A74="","",VLOOKUP($A74,'Gingerbread Man'!$A$3:M865,13))</f>
        <v/>
      </c>
      <c r="N74" s="108" t="str">
        <f>IFERROR(__xludf.DUMMYFUNCTION("IF($A74="""","""",HYPERLINK(""https://docs.google.com/spreadsheets/d/1LovjCF_yo-DR4S4HXV7VkZLEyCUjv4US6kt_l-v8-GM/edit#gid=0&amp;range=L""&amp;(REGEXREPLACE($A74,"".* #"","""")+1),IF($I74="""",""View!"",""Verify!"")))"),"")</f>
        <v/>
      </c>
    </row>
    <row r="75">
      <c r="A75" s="39"/>
      <c r="B75" s="39"/>
      <c r="C75" s="39"/>
      <c r="D75" s="113"/>
      <c r="E75" s="113"/>
      <c r="F75" s="39"/>
      <c r="G75" s="39"/>
      <c r="H75" s="39"/>
      <c r="I75" s="39"/>
      <c r="J75" s="108" t="str">
        <f>IF($A75="","",VLOOKUP($A75,'Gingerbread Man'!$A$3:J865,10,FALSE))</f>
        <v/>
      </c>
      <c r="K75" s="108" t="str">
        <f t="shared" si="1"/>
        <v/>
      </c>
      <c r="L75" s="39" t="b">
        <v>0</v>
      </c>
      <c r="M75" s="108" t="str">
        <f>IF($A75="","",VLOOKUP($A75,'Gingerbread Man'!$A$3:M865,13))</f>
        <v/>
      </c>
      <c r="N75" s="108" t="str">
        <f>IFERROR(__xludf.DUMMYFUNCTION("IF($A75="""","""",HYPERLINK(""https://docs.google.com/spreadsheets/d/1LovjCF_yo-DR4S4HXV7VkZLEyCUjv4US6kt_l-v8-GM/edit#gid=0&amp;range=L""&amp;(REGEXREPLACE($A75,"".* #"","""")+1),IF($I75="""",""View!"",""Verify!"")))"),"")</f>
        <v/>
      </c>
    </row>
    <row r="76">
      <c r="A76" s="39"/>
      <c r="B76" s="39"/>
      <c r="C76" s="39"/>
      <c r="D76" s="113"/>
      <c r="E76" s="113"/>
      <c r="F76" s="39"/>
      <c r="G76" s="39"/>
      <c r="H76" s="39"/>
      <c r="I76" s="39"/>
      <c r="J76" s="108" t="str">
        <f>IF($A76="","",VLOOKUP($A76,'Gingerbread Man'!$A$3:J865,10,FALSE))</f>
        <v/>
      </c>
      <c r="K76" s="108" t="str">
        <f t="shared" si="1"/>
        <v/>
      </c>
      <c r="L76" s="39" t="b">
        <v>0</v>
      </c>
      <c r="M76" s="108" t="str">
        <f>IF($A76="","",VLOOKUP($A76,'Gingerbread Man'!$A$3:M865,13))</f>
        <v/>
      </c>
      <c r="N76" s="108" t="str">
        <f>IFERROR(__xludf.DUMMYFUNCTION("IF($A76="""","""",HYPERLINK(""https://docs.google.com/spreadsheets/d/1LovjCF_yo-DR4S4HXV7VkZLEyCUjv4US6kt_l-v8-GM/edit#gid=0&amp;range=L""&amp;(REGEXREPLACE($A76,"".* #"","""")+1),IF($I76="""",""View!"",""Verify!"")))"),"")</f>
        <v/>
      </c>
    </row>
    <row r="77">
      <c r="A77" s="39"/>
      <c r="B77" s="39"/>
      <c r="C77" s="39"/>
      <c r="D77" s="113"/>
      <c r="E77" s="113"/>
      <c r="F77" s="39"/>
      <c r="G77" s="39"/>
      <c r="H77" s="39"/>
      <c r="I77" s="39"/>
      <c r="J77" s="108" t="str">
        <f>IF($A77="","",VLOOKUP($A77,'Gingerbread Man'!$A$3:J865,10,FALSE))</f>
        <v/>
      </c>
      <c r="K77" s="108" t="str">
        <f t="shared" si="1"/>
        <v/>
      </c>
      <c r="L77" s="39" t="b">
        <v>0</v>
      </c>
      <c r="M77" s="108" t="str">
        <f>IF($A77="","",VLOOKUP($A77,'Gingerbread Man'!$A$3:M865,13))</f>
        <v/>
      </c>
      <c r="N77" s="108" t="str">
        <f>IFERROR(__xludf.DUMMYFUNCTION("IF($A77="""","""",HYPERLINK(""https://docs.google.com/spreadsheets/d/1LovjCF_yo-DR4S4HXV7VkZLEyCUjv4US6kt_l-v8-GM/edit#gid=0&amp;range=L""&amp;(REGEXREPLACE($A77,"".* #"","""")+1),IF($I77="""",""View!"",""Verify!"")))"),"")</f>
        <v/>
      </c>
    </row>
    <row r="78">
      <c r="A78" s="39"/>
      <c r="B78" s="39"/>
      <c r="C78" s="39"/>
      <c r="D78" s="113"/>
      <c r="E78" s="113"/>
      <c r="F78" s="39"/>
      <c r="G78" s="39"/>
      <c r="H78" s="39"/>
      <c r="I78" s="39"/>
      <c r="J78" s="108" t="str">
        <f>IF($A78="","",VLOOKUP($A78,'Gingerbread Man'!$A$3:J865,10,FALSE))</f>
        <v/>
      </c>
      <c r="K78" s="108" t="str">
        <f t="shared" si="1"/>
        <v/>
      </c>
      <c r="L78" s="39" t="b">
        <v>0</v>
      </c>
      <c r="M78" s="108" t="str">
        <f>IF($A78="","",VLOOKUP($A78,'Gingerbread Man'!$A$3:M865,13))</f>
        <v/>
      </c>
      <c r="N78" s="108" t="str">
        <f>IFERROR(__xludf.DUMMYFUNCTION("IF($A78="""","""",HYPERLINK(""https://docs.google.com/spreadsheets/d/1LovjCF_yo-DR4S4HXV7VkZLEyCUjv4US6kt_l-v8-GM/edit#gid=0&amp;range=L""&amp;(REGEXREPLACE($A78,"".* #"","""")+1),IF($I78="""",""View!"",""Verify!"")))"),"")</f>
        <v/>
      </c>
    </row>
    <row r="79">
      <c r="A79" s="39"/>
      <c r="B79" s="39"/>
      <c r="C79" s="39"/>
      <c r="D79" s="113"/>
      <c r="E79" s="113"/>
      <c r="F79" s="39"/>
      <c r="G79" s="39"/>
      <c r="H79" s="39"/>
      <c r="I79" s="39"/>
      <c r="J79" s="108" t="str">
        <f>IF($A79="","",VLOOKUP($A79,'Gingerbread Man'!$A$3:J865,10,FALSE))</f>
        <v/>
      </c>
      <c r="K79" s="108" t="str">
        <f t="shared" si="1"/>
        <v/>
      </c>
      <c r="L79" s="39" t="b">
        <v>0</v>
      </c>
      <c r="M79" s="108" t="str">
        <f>IF($A79="","",VLOOKUP($A79,'Gingerbread Man'!$A$3:M865,13))</f>
        <v/>
      </c>
      <c r="N79" s="108" t="str">
        <f>IFERROR(__xludf.DUMMYFUNCTION("IF($A79="""","""",HYPERLINK(""https://docs.google.com/spreadsheets/d/1LovjCF_yo-DR4S4HXV7VkZLEyCUjv4US6kt_l-v8-GM/edit#gid=0&amp;range=L""&amp;(REGEXREPLACE($A79,"".* #"","""")+1),IF($I79="""",""View!"",""Verify!"")))"),"")</f>
        <v/>
      </c>
    </row>
    <row r="80">
      <c r="A80" s="39"/>
      <c r="B80" s="39"/>
      <c r="C80" s="39"/>
      <c r="D80" s="113"/>
      <c r="E80" s="113"/>
      <c r="F80" s="39"/>
      <c r="G80" s="39"/>
      <c r="H80" s="39"/>
      <c r="I80" s="39"/>
      <c r="J80" s="108" t="str">
        <f>IF($A80="","",VLOOKUP($A80,'Gingerbread Man'!$A$3:J865,10,FALSE))</f>
        <v/>
      </c>
      <c r="K80" s="108" t="str">
        <f t="shared" si="1"/>
        <v/>
      </c>
      <c r="L80" s="39" t="b">
        <v>0</v>
      </c>
      <c r="M80" s="108" t="str">
        <f>IF($A80="","",VLOOKUP($A80,'Gingerbread Man'!$A$3:M865,13))</f>
        <v/>
      </c>
      <c r="N80" s="108" t="str">
        <f>IFERROR(__xludf.DUMMYFUNCTION("IF($A80="""","""",HYPERLINK(""https://docs.google.com/spreadsheets/d/1LovjCF_yo-DR4S4HXV7VkZLEyCUjv4US6kt_l-v8-GM/edit#gid=0&amp;range=L""&amp;(REGEXREPLACE($A80,"".* #"","""")+1),IF($I80="""",""View!"",""Verify!"")))"),"")</f>
        <v/>
      </c>
    </row>
    <row r="81">
      <c r="A81" s="39"/>
      <c r="B81" s="39"/>
      <c r="C81" s="39"/>
      <c r="D81" s="113"/>
      <c r="E81" s="113"/>
      <c r="F81" s="39"/>
      <c r="G81" s="39"/>
      <c r="H81" s="39"/>
      <c r="I81" s="39"/>
      <c r="J81" s="108" t="str">
        <f>IF($A81="","",VLOOKUP($A81,'Gingerbread Man'!$A$3:J865,10,FALSE))</f>
        <v/>
      </c>
      <c r="K81" s="108" t="str">
        <f t="shared" si="1"/>
        <v/>
      </c>
      <c r="L81" s="39" t="b">
        <v>0</v>
      </c>
      <c r="M81" s="108" t="str">
        <f>IF($A81="","",VLOOKUP($A81,'Gingerbread Man'!$A$3:M865,13))</f>
        <v/>
      </c>
      <c r="N81" s="108" t="str">
        <f>IFERROR(__xludf.DUMMYFUNCTION("IF($A81="""","""",HYPERLINK(""https://docs.google.com/spreadsheets/d/1LovjCF_yo-DR4S4HXV7VkZLEyCUjv4US6kt_l-v8-GM/edit#gid=0&amp;range=L""&amp;(REGEXREPLACE($A81,"".* #"","""")+1),IF($I81="""",""View!"",""Verify!"")))"),"")</f>
        <v/>
      </c>
    </row>
    <row r="82">
      <c r="A82" s="39"/>
      <c r="B82" s="39"/>
      <c r="C82" s="39"/>
      <c r="D82" s="113"/>
      <c r="E82" s="113"/>
      <c r="F82" s="39"/>
      <c r="G82" s="39"/>
      <c r="H82" s="39"/>
      <c r="I82" s="39"/>
      <c r="J82" s="108" t="str">
        <f>IF($A82="","",VLOOKUP($A82,'Gingerbread Man'!$A$3:J865,10,FALSE))</f>
        <v/>
      </c>
      <c r="K82" s="108" t="str">
        <f t="shared" si="1"/>
        <v/>
      </c>
      <c r="L82" s="39" t="b">
        <v>0</v>
      </c>
      <c r="M82" s="108" t="str">
        <f>IF($A82="","",VLOOKUP($A82,'Gingerbread Man'!$A$3:M865,13))</f>
        <v/>
      </c>
      <c r="N82" s="108" t="str">
        <f>IFERROR(__xludf.DUMMYFUNCTION("IF($A82="""","""",HYPERLINK(""https://docs.google.com/spreadsheets/d/1LovjCF_yo-DR4S4HXV7VkZLEyCUjv4US6kt_l-v8-GM/edit#gid=0&amp;range=L""&amp;(REGEXREPLACE($A82,"".* #"","""")+1),IF($I82="""",""View!"",""Verify!"")))"),"")</f>
        <v/>
      </c>
    </row>
    <row r="83">
      <c r="A83" s="39"/>
      <c r="B83" s="39"/>
      <c r="C83" s="39"/>
      <c r="D83" s="113"/>
      <c r="E83" s="113"/>
      <c r="F83" s="39"/>
      <c r="G83" s="39"/>
      <c r="H83" s="39"/>
      <c r="I83" s="39"/>
      <c r="J83" s="108" t="str">
        <f>IF($A83="","",VLOOKUP($A83,'Gingerbread Man'!$A$3:J865,10,FALSE))</f>
        <v/>
      </c>
      <c r="K83" s="108" t="str">
        <f t="shared" si="1"/>
        <v/>
      </c>
      <c r="L83" s="39" t="b">
        <v>0</v>
      </c>
      <c r="M83" s="108" t="str">
        <f>IF($A83="","",VLOOKUP($A83,'Gingerbread Man'!$A$3:M865,13))</f>
        <v/>
      </c>
      <c r="N83" s="108" t="str">
        <f>IFERROR(__xludf.DUMMYFUNCTION("IF($A83="""","""",HYPERLINK(""https://docs.google.com/spreadsheets/d/1LovjCF_yo-DR4S4HXV7VkZLEyCUjv4US6kt_l-v8-GM/edit#gid=0&amp;range=L""&amp;(REGEXREPLACE($A83,"".* #"","""")+1),IF($I83="""",""View!"",""Verify!"")))"),"")</f>
        <v/>
      </c>
    </row>
    <row r="84">
      <c r="A84" s="39"/>
      <c r="B84" s="39"/>
      <c r="C84" s="39"/>
      <c r="D84" s="113"/>
      <c r="E84" s="113"/>
      <c r="F84" s="39"/>
      <c r="G84" s="39"/>
      <c r="H84" s="39"/>
      <c r="I84" s="39"/>
      <c r="J84" s="108" t="str">
        <f>IF($A84="","",VLOOKUP($A84,'Gingerbread Man'!$A$3:J865,10,FALSE))</f>
        <v/>
      </c>
      <c r="K84" s="108" t="str">
        <f t="shared" si="1"/>
        <v/>
      </c>
      <c r="L84" s="39" t="b">
        <v>0</v>
      </c>
      <c r="M84" s="108" t="str">
        <f>IF($A84="","",VLOOKUP($A84,'Gingerbread Man'!$A$3:M865,13))</f>
        <v/>
      </c>
      <c r="N84" s="108" t="str">
        <f>IFERROR(__xludf.DUMMYFUNCTION("IF($A84="""","""",HYPERLINK(""https://docs.google.com/spreadsheets/d/1LovjCF_yo-DR4S4HXV7VkZLEyCUjv4US6kt_l-v8-GM/edit#gid=0&amp;range=L""&amp;(REGEXREPLACE($A84,"".* #"","""")+1),IF($I84="""",""View!"",""Verify!"")))"),"")</f>
        <v/>
      </c>
    </row>
    <row r="85">
      <c r="A85" s="39"/>
      <c r="B85" s="39"/>
      <c r="C85" s="39"/>
      <c r="D85" s="113"/>
      <c r="E85" s="113"/>
      <c r="F85" s="39"/>
      <c r="G85" s="39"/>
      <c r="H85" s="39"/>
      <c r="I85" s="39"/>
      <c r="J85" s="108" t="str">
        <f>IF($A85="","",VLOOKUP($A85,'Gingerbread Man'!$A$3:J865,10,FALSE))</f>
        <v/>
      </c>
      <c r="K85" s="108" t="str">
        <f t="shared" si="1"/>
        <v/>
      </c>
      <c r="L85" s="39" t="b">
        <v>0</v>
      </c>
      <c r="M85" s="108" t="str">
        <f>IF($A85="","",VLOOKUP($A85,'Gingerbread Man'!$A$3:M865,13))</f>
        <v/>
      </c>
      <c r="N85" s="108" t="str">
        <f>IFERROR(__xludf.DUMMYFUNCTION("IF($A85="""","""",HYPERLINK(""https://docs.google.com/spreadsheets/d/1LovjCF_yo-DR4S4HXV7VkZLEyCUjv4US6kt_l-v8-GM/edit#gid=0&amp;range=L""&amp;(REGEXREPLACE($A85,"".* #"","""")+1),IF($I85="""",""View!"",""Verify!"")))"),"")</f>
        <v/>
      </c>
    </row>
    <row r="86">
      <c r="A86" s="39"/>
      <c r="B86" s="39"/>
      <c r="C86" s="39"/>
      <c r="D86" s="113"/>
      <c r="E86" s="113"/>
      <c r="F86" s="39"/>
      <c r="G86" s="39"/>
      <c r="H86" s="39"/>
      <c r="I86" s="39"/>
      <c r="J86" s="108" t="str">
        <f>IF($A86="","",VLOOKUP($A86,'Gingerbread Man'!$A$3:J865,10,FALSE))</f>
        <v/>
      </c>
      <c r="K86" s="108" t="str">
        <f t="shared" si="1"/>
        <v/>
      </c>
      <c r="L86" s="39" t="b">
        <v>0</v>
      </c>
      <c r="M86" s="108" t="str">
        <f>IF($A86="","",VLOOKUP($A86,'Gingerbread Man'!$A$3:M865,13))</f>
        <v/>
      </c>
      <c r="N86" s="108" t="str">
        <f>IFERROR(__xludf.DUMMYFUNCTION("IF($A86="""","""",HYPERLINK(""https://docs.google.com/spreadsheets/d/1LovjCF_yo-DR4S4HXV7VkZLEyCUjv4US6kt_l-v8-GM/edit#gid=0&amp;range=L""&amp;(REGEXREPLACE($A86,"".* #"","""")+1),IF($I86="""",""View!"",""Verify!"")))"),"")</f>
        <v/>
      </c>
    </row>
    <row r="87">
      <c r="A87" s="39"/>
      <c r="B87" s="39"/>
      <c r="C87" s="39"/>
      <c r="D87" s="113"/>
      <c r="E87" s="113"/>
      <c r="F87" s="39"/>
      <c r="G87" s="39"/>
      <c r="H87" s="39"/>
      <c r="I87" s="39"/>
      <c r="J87" s="108" t="str">
        <f>IF($A87="","",VLOOKUP($A87,'Gingerbread Man'!$A$3:J865,10,FALSE))</f>
        <v/>
      </c>
      <c r="K87" s="108" t="str">
        <f t="shared" si="1"/>
        <v/>
      </c>
      <c r="L87" s="39" t="b">
        <v>0</v>
      </c>
      <c r="M87" s="108" t="str">
        <f>IF($A87="","",VLOOKUP($A87,'Gingerbread Man'!$A$3:M865,13))</f>
        <v/>
      </c>
      <c r="N87" s="108" t="str">
        <f>IFERROR(__xludf.DUMMYFUNCTION("IF($A87="""","""",HYPERLINK(""https://docs.google.com/spreadsheets/d/1LovjCF_yo-DR4S4HXV7VkZLEyCUjv4US6kt_l-v8-GM/edit#gid=0&amp;range=L""&amp;(REGEXREPLACE($A87,"".* #"","""")+1),IF($I87="""",""View!"",""Verify!"")))"),"")</f>
        <v/>
      </c>
    </row>
    <row r="88">
      <c r="A88" s="39"/>
      <c r="B88" s="39"/>
      <c r="C88" s="39"/>
      <c r="D88" s="113"/>
      <c r="E88" s="113"/>
      <c r="F88" s="39"/>
      <c r="G88" s="39"/>
      <c r="H88" s="39"/>
      <c r="I88" s="39"/>
      <c r="J88" s="108" t="str">
        <f>IF($A88="","",VLOOKUP($A88,'Gingerbread Man'!$A$3:J865,10,FALSE))</f>
        <v/>
      </c>
      <c r="K88" s="108" t="str">
        <f t="shared" si="1"/>
        <v/>
      </c>
      <c r="L88" s="39" t="b">
        <v>0</v>
      </c>
      <c r="M88" s="108" t="str">
        <f>IF($A88="","",VLOOKUP($A88,'Gingerbread Man'!$A$3:M865,13))</f>
        <v/>
      </c>
      <c r="N88" s="108" t="str">
        <f>IFERROR(__xludf.DUMMYFUNCTION("IF($A88="""","""",HYPERLINK(""https://docs.google.com/spreadsheets/d/1LovjCF_yo-DR4S4HXV7VkZLEyCUjv4US6kt_l-v8-GM/edit#gid=0&amp;range=L""&amp;(REGEXREPLACE($A88,"".* #"","""")+1),IF($I88="""",""View!"",""Verify!"")))"),"")</f>
        <v/>
      </c>
    </row>
    <row r="89">
      <c r="A89" s="39"/>
      <c r="B89" s="39"/>
      <c r="C89" s="39"/>
      <c r="D89" s="113"/>
      <c r="E89" s="113"/>
      <c r="F89" s="39"/>
      <c r="G89" s="39"/>
      <c r="H89" s="39"/>
      <c r="I89" s="39"/>
      <c r="J89" s="108" t="str">
        <f>IF($A89="","",VLOOKUP($A89,'Gingerbread Man'!$A$3:J865,10,FALSE))</f>
        <v/>
      </c>
      <c r="K89" s="108" t="str">
        <f t="shared" si="1"/>
        <v/>
      </c>
      <c r="L89" s="39" t="b">
        <v>0</v>
      </c>
      <c r="M89" s="108" t="str">
        <f>IF($A89="","",VLOOKUP($A89,'Gingerbread Man'!$A$3:M865,13))</f>
        <v/>
      </c>
      <c r="N89" s="108" t="str">
        <f>IFERROR(__xludf.DUMMYFUNCTION("IF($A89="""","""",HYPERLINK(""https://docs.google.com/spreadsheets/d/1LovjCF_yo-DR4S4HXV7VkZLEyCUjv4US6kt_l-v8-GM/edit#gid=0&amp;range=L""&amp;(REGEXREPLACE($A89,"".* #"","""")+1),IF($I89="""",""View!"",""Verify!"")))"),"")</f>
        <v/>
      </c>
    </row>
    <row r="90">
      <c r="A90" s="39"/>
      <c r="B90" s="39"/>
      <c r="C90" s="39"/>
      <c r="D90" s="113"/>
      <c r="E90" s="113"/>
      <c r="F90" s="39"/>
      <c r="G90" s="39"/>
      <c r="H90" s="39"/>
      <c r="I90" s="39"/>
      <c r="J90" s="108" t="str">
        <f>IF($A90="","",VLOOKUP($A90,'Gingerbread Man'!$A$3:J865,10,FALSE))</f>
        <v/>
      </c>
      <c r="K90" s="108" t="str">
        <f t="shared" si="1"/>
        <v/>
      </c>
      <c r="L90" s="39" t="b">
        <v>0</v>
      </c>
      <c r="M90" s="108" t="str">
        <f>IF($A90="","",VLOOKUP($A90,'Gingerbread Man'!$A$3:M865,13))</f>
        <v/>
      </c>
      <c r="N90" s="108" t="str">
        <f>IFERROR(__xludf.DUMMYFUNCTION("IF($A90="""","""",HYPERLINK(""https://docs.google.com/spreadsheets/d/1LovjCF_yo-DR4S4HXV7VkZLEyCUjv4US6kt_l-v8-GM/edit#gid=0&amp;range=L""&amp;(REGEXREPLACE($A90,"".* #"","""")+1),IF($I90="""",""View!"",""Verify!"")))"),"")</f>
        <v/>
      </c>
    </row>
    <row r="91">
      <c r="A91" s="39"/>
      <c r="B91" s="39"/>
      <c r="C91" s="39"/>
      <c r="D91" s="113"/>
      <c r="E91" s="113"/>
      <c r="F91" s="39"/>
      <c r="G91" s="39"/>
      <c r="H91" s="39"/>
      <c r="I91" s="39"/>
      <c r="J91" s="108" t="str">
        <f>IF($A91="","",VLOOKUP($A91,'Gingerbread Man'!$A$3:J865,10,FALSE))</f>
        <v/>
      </c>
      <c r="K91" s="108" t="str">
        <f t="shared" si="1"/>
        <v/>
      </c>
      <c r="L91" s="39" t="b">
        <v>0</v>
      </c>
      <c r="M91" s="108" t="str">
        <f>IF($A91="","",VLOOKUP($A91,'Gingerbread Man'!$A$3:M865,13))</f>
        <v/>
      </c>
      <c r="N91" s="108" t="str">
        <f>IFERROR(__xludf.DUMMYFUNCTION("IF($A91="""","""",HYPERLINK(""https://docs.google.com/spreadsheets/d/1LovjCF_yo-DR4S4HXV7VkZLEyCUjv4US6kt_l-v8-GM/edit#gid=0&amp;range=L""&amp;(REGEXREPLACE($A91,"".* #"","""")+1),IF($I91="""",""View!"",""Verify!"")))"),"")</f>
        <v/>
      </c>
    </row>
    <row r="92">
      <c r="A92" s="39"/>
      <c r="B92" s="39"/>
      <c r="C92" s="39"/>
      <c r="D92" s="113"/>
      <c r="E92" s="113"/>
      <c r="F92" s="39"/>
      <c r="G92" s="39"/>
      <c r="H92" s="39"/>
      <c r="I92" s="39"/>
      <c r="J92" s="108" t="str">
        <f>IF($A92="","",VLOOKUP($A92,'Gingerbread Man'!$A$3:J865,10,FALSE))</f>
        <v/>
      </c>
      <c r="K92" s="108" t="str">
        <f t="shared" si="1"/>
        <v/>
      </c>
      <c r="L92" s="39" t="b">
        <v>0</v>
      </c>
      <c r="M92" s="108" t="str">
        <f>IF($A92="","",VLOOKUP($A92,'Gingerbread Man'!$A$3:M865,13))</f>
        <v/>
      </c>
      <c r="N92" s="108" t="str">
        <f>IFERROR(__xludf.DUMMYFUNCTION("IF($A92="""","""",HYPERLINK(""https://docs.google.com/spreadsheets/d/1LovjCF_yo-DR4S4HXV7VkZLEyCUjv4US6kt_l-v8-GM/edit#gid=0&amp;range=L""&amp;(REGEXREPLACE($A92,"".* #"","""")+1),IF($I92="""",""View!"",""Verify!"")))"),"")</f>
        <v/>
      </c>
    </row>
    <row r="93">
      <c r="A93" s="39"/>
      <c r="B93" s="39"/>
      <c r="C93" s="39"/>
      <c r="D93" s="113"/>
      <c r="E93" s="113"/>
      <c r="F93" s="39"/>
      <c r="G93" s="39"/>
      <c r="H93" s="39"/>
      <c r="I93" s="39"/>
      <c r="J93" s="108" t="str">
        <f>IF($A93="","",VLOOKUP($A93,'Gingerbread Man'!$A$3:J865,10,FALSE))</f>
        <v/>
      </c>
      <c r="K93" s="108" t="str">
        <f t="shared" si="1"/>
        <v/>
      </c>
      <c r="L93" s="39" t="b">
        <v>0</v>
      </c>
      <c r="M93" s="108" t="str">
        <f>IF($A93="","",VLOOKUP($A93,'Gingerbread Man'!$A$3:M865,13))</f>
        <v/>
      </c>
      <c r="N93" s="108" t="str">
        <f>IFERROR(__xludf.DUMMYFUNCTION("IF($A93="""","""",HYPERLINK(""https://docs.google.com/spreadsheets/d/1LovjCF_yo-DR4S4HXV7VkZLEyCUjv4US6kt_l-v8-GM/edit#gid=0&amp;range=L""&amp;(REGEXREPLACE($A93,"".* #"","""")+1),IF($I93="""",""View!"",""Verify!"")))"),"")</f>
        <v/>
      </c>
    </row>
    <row r="94">
      <c r="A94" s="39"/>
      <c r="B94" s="39"/>
      <c r="C94" s="39"/>
      <c r="D94" s="113"/>
      <c r="E94" s="113"/>
      <c r="F94" s="39"/>
      <c r="G94" s="39"/>
      <c r="H94" s="39"/>
      <c r="I94" s="39"/>
      <c r="J94" s="108" t="str">
        <f>IF($A94="","",VLOOKUP($A94,'Gingerbread Man'!$A$3:J865,10,FALSE))</f>
        <v/>
      </c>
      <c r="K94" s="108" t="str">
        <f t="shared" si="1"/>
        <v/>
      </c>
      <c r="L94" s="39" t="b">
        <v>0</v>
      </c>
      <c r="M94" s="108" t="str">
        <f>IF($A94="","",VLOOKUP($A94,'Gingerbread Man'!$A$3:M865,13))</f>
        <v/>
      </c>
      <c r="N94" s="108" t="str">
        <f>IFERROR(__xludf.DUMMYFUNCTION("IF($A94="""","""",HYPERLINK(""https://docs.google.com/spreadsheets/d/1LovjCF_yo-DR4S4HXV7VkZLEyCUjv4US6kt_l-v8-GM/edit#gid=0&amp;range=L""&amp;(REGEXREPLACE($A94,"".* #"","""")+1),IF($I94="""",""View!"",""Verify!"")))"),"")</f>
        <v/>
      </c>
    </row>
    <row r="95">
      <c r="A95" s="39"/>
      <c r="B95" s="39"/>
      <c r="C95" s="39"/>
      <c r="D95" s="113"/>
      <c r="E95" s="113"/>
      <c r="F95" s="39"/>
      <c r="G95" s="39"/>
      <c r="H95" s="39"/>
      <c r="I95" s="39"/>
      <c r="J95" s="108" t="str">
        <f>IF($A95="","",VLOOKUP($A95,'Gingerbread Man'!$A$3:J865,10,FALSE))</f>
        <v/>
      </c>
      <c r="K95" s="108" t="str">
        <f t="shared" si="1"/>
        <v/>
      </c>
      <c r="L95" s="39" t="b">
        <v>0</v>
      </c>
      <c r="M95" s="108" t="str">
        <f>IF($A95="","",VLOOKUP($A95,'Gingerbread Man'!$A$3:M865,13))</f>
        <v/>
      </c>
      <c r="N95" s="108" t="str">
        <f>IFERROR(__xludf.DUMMYFUNCTION("IF($A95="""","""",HYPERLINK(""https://docs.google.com/spreadsheets/d/1LovjCF_yo-DR4S4HXV7VkZLEyCUjv4US6kt_l-v8-GM/edit#gid=0&amp;range=L""&amp;(REGEXREPLACE($A95,"".* #"","""")+1),IF($I95="""",""View!"",""Verify!"")))"),"")</f>
        <v/>
      </c>
    </row>
    <row r="96">
      <c r="A96" s="39"/>
      <c r="B96" s="39"/>
      <c r="C96" s="39"/>
      <c r="D96" s="113"/>
      <c r="E96" s="113"/>
      <c r="F96" s="39"/>
      <c r="G96" s="39"/>
      <c r="H96" s="39"/>
      <c r="I96" s="39"/>
      <c r="J96" s="108" t="str">
        <f>IF($A96="","",VLOOKUP($A96,'Gingerbread Man'!$A$3:J865,10,FALSE))</f>
        <v/>
      </c>
      <c r="K96" s="108" t="str">
        <f t="shared" si="1"/>
        <v/>
      </c>
      <c r="L96" s="39" t="b">
        <v>0</v>
      </c>
      <c r="M96" s="108" t="str">
        <f>IF($A96="","",VLOOKUP($A96,'Gingerbread Man'!$A$3:M865,13))</f>
        <v/>
      </c>
      <c r="N96" s="108" t="str">
        <f>IFERROR(__xludf.DUMMYFUNCTION("IF($A96="""","""",HYPERLINK(""https://docs.google.com/spreadsheets/d/1LovjCF_yo-DR4S4HXV7VkZLEyCUjv4US6kt_l-v8-GM/edit#gid=0&amp;range=L""&amp;(REGEXREPLACE($A96,"".* #"","""")+1),IF($I96="""",""View!"",""Verify!"")))"),"")</f>
        <v/>
      </c>
    </row>
    <row r="97">
      <c r="A97" s="39"/>
      <c r="B97" s="39"/>
      <c r="C97" s="39"/>
      <c r="D97" s="113"/>
      <c r="E97" s="113"/>
      <c r="F97" s="39"/>
      <c r="G97" s="39"/>
      <c r="H97" s="39"/>
      <c r="I97" s="39"/>
      <c r="J97" s="108" t="str">
        <f>IF($A97="","",VLOOKUP($A97,'Gingerbread Man'!$A$3:J865,10,FALSE))</f>
        <v/>
      </c>
      <c r="K97" s="108" t="str">
        <f t="shared" si="1"/>
        <v/>
      </c>
      <c r="L97" s="39" t="b">
        <v>0</v>
      </c>
      <c r="M97" s="108" t="str">
        <f>IF($A97="","",VLOOKUP($A97,'Gingerbread Man'!$A$3:M865,13))</f>
        <v/>
      </c>
      <c r="N97" s="108" t="str">
        <f>IFERROR(__xludf.DUMMYFUNCTION("IF($A97="""","""",HYPERLINK(""https://docs.google.com/spreadsheets/d/1LovjCF_yo-DR4S4HXV7VkZLEyCUjv4US6kt_l-v8-GM/edit#gid=0&amp;range=L""&amp;(REGEXREPLACE($A97,"".* #"","""")+1),IF($I97="""",""View!"",""Verify!"")))"),"")</f>
        <v/>
      </c>
    </row>
    <row r="98">
      <c r="A98" s="39"/>
      <c r="B98" s="39"/>
      <c r="C98" s="39"/>
      <c r="D98" s="113"/>
      <c r="E98" s="113"/>
      <c r="F98" s="39"/>
      <c r="G98" s="39"/>
      <c r="H98" s="39"/>
      <c r="I98" s="39"/>
      <c r="J98" s="108" t="str">
        <f>IF($A98="","",VLOOKUP($A98,'Gingerbread Man'!$A$3:J865,10,FALSE))</f>
        <v/>
      </c>
      <c r="K98" s="108" t="str">
        <f t="shared" si="1"/>
        <v/>
      </c>
      <c r="L98" s="39" t="b">
        <v>0</v>
      </c>
      <c r="M98" s="108" t="str">
        <f>IF($A98="","",VLOOKUP($A98,'Gingerbread Man'!$A$3:M865,13))</f>
        <v/>
      </c>
      <c r="N98" s="108" t="str">
        <f>IFERROR(__xludf.DUMMYFUNCTION("IF($A98="""","""",HYPERLINK(""https://docs.google.com/spreadsheets/d/1LovjCF_yo-DR4S4HXV7VkZLEyCUjv4US6kt_l-v8-GM/edit#gid=0&amp;range=L""&amp;(REGEXREPLACE($A98,"".* #"","""")+1),IF($I98="""",""View!"",""Verify!"")))"),"")</f>
        <v/>
      </c>
    </row>
    <row r="99">
      <c r="A99" s="39"/>
      <c r="B99" s="39"/>
      <c r="C99" s="39"/>
      <c r="D99" s="113"/>
      <c r="E99" s="113"/>
      <c r="F99" s="39"/>
      <c r="G99" s="39"/>
      <c r="H99" s="39"/>
      <c r="I99" s="39"/>
      <c r="J99" s="108" t="str">
        <f>IF($A99="","",VLOOKUP($A99,'Gingerbread Man'!$A$3:J865,10,FALSE))</f>
        <v/>
      </c>
      <c r="K99" s="108" t="str">
        <f t="shared" si="1"/>
        <v/>
      </c>
      <c r="L99" s="39" t="b">
        <v>0</v>
      </c>
      <c r="M99" s="108" t="str">
        <f>IF($A99="","",VLOOKUP($A99,'Gingerbread Man'!$A$3:M865,13))</f>
        <v/>
      </c>
      <c r="N99" s="108" t="str">
        <f>IFERROR(__xludf.DUMMYFUNCTION("IF($A99="""","""",HYPERLINK(""https://docs.google.com/spreadsheets/d/1LovjCF_yo-DR4S4HXV7VkZLEyCUjv4US6kt_l-v8-GM/edit#gid=0&amp;range=L""&amp;(REGEXREPLACE($A99,"".* #"","""")+1),IF($I99="""",""View!"",""Verify!"")))"),"")</f>
        <v/>
      </c>
    </row>
    <row r="100">
      <c r="A100" s="39"/>
      <c r="B100" s="39"/>
      <c r="C100" s="39"/>
      <c r="D100" s="113"/>
      <c r="E100" s="113"/>
      <c r="F100" s="39"/>
      <c r="G100" s="39"/>
      <c r="H100" s="39"/>
      <c r="I100" s="39"/>
      <c r="J100" s="108" t="str">
        <f>IF($A100="","",VLOOKUP($A100,'Gingerbread Man'!$A$3:J865,10,FALSE))</f>
        <v/>
      </c>
      <c r="K100" s="108" t="str">
        <f t="shared" si="1"/>
        <v/>
      </c>
      <c r="L100" s="39" t="b">
        <v>0</v>
      </c>
      <c r="M100" s="108" t="str">
        <f>IF($A100="","",VLOOKUP($A100,'Gingerbread Man'!$A$3:M865,13))</f>
        <v/>
      </c>
      <c r="N100" s="108" t="str">
        <f>IFERROR(__xludf.DUMMYFUNCTION("IF($A100="""","""",HYPERLINK(""https://docs.google.com/spreadsheets/d/1LovjCF_yo-DR4S4HXV7VkZLEyCUjv4US6kt_l-v8-GM/edit#gid=0&amp;range=L""&amp;(REGEXREPLACE($A100,"".* #"","""")+1),IF($I100="""",""View!"",""Verify!"")))"),"")</f>
        <v/>
      </c>
    </row>
    <row r="101">
      <c r="A101" s="39"/>
      <c r="B101" s="39"/>
      <c r="C101" s="39"/>
      <c r="D101" s="113"/>
      <c r="E101" s="113"/>
      <c r="F101" s="39"/>
      <c r="G101" s="39"/>
      <c r="H101" s="39"/>
      <c r="I101" s="39"/>
      <c r="J101" s="108" t="str">
        <f>IF($A101="","",VLOOKUP($A101,'Gingerbread Man'!$A$3:J865,10,FALSE))</f>
        <v/>
      </c>
      <c r="K101" s="108" t="str">
        <f t="shared" si="1"/>
        <v/>
      </c>
      <c r="L101" s="39" t="b">
        <v>0</v>
      </c>
      <c r="M101" s="108" t="str">
        <f>IF($A101="","",VLOOKUP($A101,'Gingerbread Man'!$A$3:M865,13))</f>
        <v/>
      </c>
      <c r="N101" s="108" t="str">
        <f>IFERROR(__xludf.DUMMYFUNCTION("IF($A101="""","""",HYPERLINK(""https://docs.google.com/spreadsheets/d/1LovjCF_yo-DR4S4HXV7VkZLEyCUjv4US6kt_l-v8-GM/edit#gid=0&amp;range=L""&amp;(REGEXREPLACE($A101,"".* #"","""")+1),IF($I101="""",""View!"",""Verify!"")))"),"")</f>
        <v/>
      </c>
    </row>
    <row r="102">
      <c r="A102" s="39"/>
      <c r="B102" s="39"/>
      <c r="C102" s="39"/>
      <c r="D102" s="113"/>
      <c r="E102" s="113"/>
      <c r="F102" s="39"/>
      <c r="G102" s="39"/>
      <c r="H102" s="39"/>
      <c r="I102" s="39"/>
      <c r="J102" s="108" t="str">
        <f>IF($A102="","",VLOOKUP($A102,'Gingerbread Man'!$A$3:J865,10,FALSE))</f>
        <v/>
      </c>
      <c r="K102" s="108" t="str">
        <f t="shared" si="1"/>
        <v/>
      </c>
      <c r="L102" s="39" t="b">
        <v>0</v>
      </c>
      <c r="M102" s="108" t="str">
        <f>IF($A102="","",VLOOKUP($A102,'Gingerbread Man'!$A$3:M865,13))</f>
        <v/>
      </c>
      <c r="N102" s="108" t="str">
        <f>IFERROR(__xludf.DUMMYFUNCTION("IF($A102="""","""",HYPERLINK(""https://docs.google.com/spreadsheets/d/1LovjCF_yo-DR4S4HXV7VkZLEyCUjv4US6kt_l-v8-GM/edit#gid=0&amp;range=L""&amp;(REGEXREPLACE($A102,"".* #"","""")+1),IF($I102="""",""View!"",""Verify!"")))"),"")</f>
        <v/>
      </c>
    </row>
    <row r="103">
      <c r="A103" s="39"/>
      <c r="B103" s="39"/>
      <c r="C103" s="39"/>
      <c r="D103" s="113"/>
      <c r="E103" s="113"/>
      <c r="F103" s="39"/>
      <c r="G103" s="39"/>
      <c r="H103" s="39"/>
      <c r="I103" s="39"/>
      <c r="J103" s="108" t="str">
        <f>IF($A103="","",VLOOKUP($A103,'Gingerbread Man'!$A$3:J865,10,FALSE))</f>
        <v/>
      </c>
      <c r="K103" s="108" t="str">
        <f t="shared" si="1"/>
        <v/>
      </c>
      <c r="L103" s="39" t="b">
        <v>0</v>
      </c>
      <c r="M103" s="108" t="str">
        <f>IF($A103="","",VLOOKUP($A103,'Gingerbread Man'!$A$3:M865,13))</f>
        <v/>
      </c>
      <c r="N103" s="108" t="str">
        <f>IFERROR(__xludf.DUMMYFUNCTION("IF($A103="""","""",HYPERLINK(""https://docs.google.com/spreadsheets/d/1LovjCF_yo-DR4S4HXV7VkZLEyCUjv4US6kt_l-v8-GM/edit#gid=0&amp;range=L""&amp;(REGEXREPLACE($A103,"".* #"","""")+1),IF($I103="""",""View!"",""Verify!"")))"),"")</f>
        <v/>
      </c>
    </row>
    <row r="104">
      <c r="A104" s="39"/>
      <c r="B104" s="39"/>
      <c r="C104" s="39"/>
      <c r="D104" s="113"/>
      <c r="E104" s="113"/>
      <c r="F104" s="39"/>
      <c r="G104" s="39"/>
      <c r="H104" s="39"/>
      <c r="I104" s="39"/>
      <c r="J104" s="108" t="str">
        <f>IF($A104="","",VLOOKUP($A104,'Gingerbread Man'!$A$3:J865,10,FALSE))</f>
        <v/>
      </c>
      <c r="K104" s="108" t="str">
        <f t="shared" si="1"/>
        <v/>
      </c>
      <c r="L104" s="39" t="b">
        <v>0</v>
      </c>
      <c r="M104" s="108" t="str">
        <f>IF($A104="","",VLOOKUP($A104,'Gingerbread Man'!$A$3:M865,13))</f>
        <v/>
      </c>
      <c r="N104" s="108" t="str">
        <f>IFERROR(__xludf.DUMMYFUNCTION("IF($A104="""","""",HYPERLINK(""https://docs.google.com/spreadsheets/d/1LovjCF_yo-DR4S4HXV7VkZLEyCUjv4US6kt_l-v8-GM/edit#gid=0&amp;range=L""&amp;(REGEXREPLACE($A104,"".* #"","""")+1),IF($I104="""",""View!"",""Verify!"")))"),"")</f>
        <v/>
      </c>
    </row>
    <row r="105">
      <c r="A105" s="39"/>
      <c r="B105" s="39"/>
      <c r="C105" s="39"/>
      <c r="D105" s="113"/>
      <c r="E105" s="113"/>
      <c r="F105" s="39"/>
      <c r="G105" s="39"/>
      <c r="H105" s="39"/>
      <c r="I105" s="39"/>
      <c r="J105" s="108" t="str">
        <f>IF($A105="","",VLOOKUP($A105,'Gingerbread Man'!$A$3:J865,10,FALSE))</f>
        <v/>
      </c>
      <c r="K105" s="108" t="str">
        <f t="shared" si="1"/>
        <v/>
      </c>
      <c r="L105" s="39" t="b">
        <v>0</v>
      </c>
      <c r="M105" s="108" t="str">
        <f>IF($A105="","",VLOOKUP($A105,'Gingerbread Man'!$A$3:M865,13))</f>
        <v/>
      </c>
      <c r="N105" s="108" t="str">
        <f>IFERROR(__xludf.DUMMYFUNCTION("IF($A105="""","""",HYPERLINK(""https://docs.google.com/spreadsheets/d/1LovjCF_yo-DR4S4HXV7VkZLEyCUjv4US6kt_l-v8-GM/edit#gid=0&amp;range=L""&amp;(REGEXREPLACE($A105,"".* #"","""")+1),IF($I105="""",""View!"",""Verify!"")))"),"")</f>
        <v/>
      </c>
    </row>
    <row r="106">
      <c r="A106" s="39"/>
      <c r="B106" s="39"/>
      <c r="C106" s="39"/>
      <c r="D106" s="113"/>
      <c r="E106" s="113"/>
      <c r="F106" s="39"/>
      <c r="G106" s="39"/>
      <c r="H106" s="39"/>
      <c r="I106" s="39"/>
      <c r="J106" s="108" t="str">
        <f>IF($A106="","",VLOOKUP($A106,'Gingerbread Man'!$A$3:J865,10,FALSE))</f>
        <v/>
      </c>
      <c r="K106" s="108" t="str">
        <f t="shared" si="1"/>
        <v/>
      </c>
      <c r="L106" s="39" t="b">
        <v>0</v>
      </c>
      <c r="M106" s="108" t="str">
        <f>IF($A106="","",VLOOKUP($A106,'Gingerbread Man'!$A$3:M865,13))</f>
        <v/>
      </c>
      <c r="N106" s="108" t="str">
        <f>IFERROR(__xludf.DUMMYFUNCTION("IF($A106="""","""",HYPERLINK(""https://docs.google.com/spreadsheets/d/1LovjCF_yo-DR4S4HXV7VkZLEyCUjv4US6kt_l-v8-GM/edit#gid=0&amp;range=L""&amp;(REGEXREPLACE($A106,"".* #"","""")+1),IF($I106="""",""View!"",""Verify!"")))"),"")</f>
        <v/>
      </c>
    </row>
    <row r="107">
      <c r="A107" s="39"/>
      <c r="B107" s="39"/>
      <c r="C107" s="39"/>
      <c r="D107" s="113"/>
      <c r="E107" s="113"/>
      <c r="F107" s="39"/>
      <c r="G107" s="39"/>
      <c r="H107" s="39"/>
      <c r="I107" s="39"/>
      <c r="J107" s="108" t="str">
        <f>IF($A107="","",VLOOKUP($A107,'Gingerbread Man'!$A$3:J865,10,FALSE))</f>
        <v/>
      </c>
      <c r="K107" s="108" t="str">
        <f t="shared" si="1"/>
        <v/>
      </c>
      <c r="L107" s="39" t="b">
        <v>0</v>
      </c>
      <c r="M107" s="108" t="str">
        <f>IF($A107="","",VLOOKUP($A107,'Gingerbread Man'!$A$3:M865,13))</f>
        <v/>
      </c>
      <c r="N107" s="108" t="str">
        <f>IFERROR(__xludf.DUMMYFUNCTION("IF($A107="""","""",HYPERLINK(""https://docs.google.com/spreadsheets/d/1LovjCF_yo-DR4S4HXV7VkZLEyCUjv4US6kt_l-v8-GM/edit#gid=0&amp;range=L""&amp;(REGEXREPLACE($A107,"".* #"","""")+1),IF($I107="""",""View!"",""Verify!"")))"),"")</f>
        <v/>
      </c>
    </row>
    <row r="108">
      <c r="A108" s="39"/>
      <c r="B108" s="39"/>
      <c r="C108" s="39"/>
      <c r="D108" s="113"/>
      <c r="E108" s="113"/>
      <c r="F108" s="39"/>
      <c r="G108" s="39"/>
      <c r="H108" s="39"/>
      <c r="I108" s="39"/>
      <c r="J108" s="108" t="str">
        <f>IF($A108="","",VLOOKUP($A108,'Gingerbread Man'!$A$3:J865,10,FALSE))</f>
        <v/>
      </c>
      <c r="K108" s="108" t="str">
        <f t="shared" si="1"/>
        <v/>
      </c>
      <c r="L108" s="39" t="b">
        <v>0</v>
      </c>
      <c r="M108" s="108" t="str">
        <f>IF($A108="","",VLOOKUP($A108,'Gingerbread Man'!$A$3:M865,13))</f>
        <v/>
      </c>
      <c r="N108" s="108" t="str">
        <f>IFERROR(__xludf.DUMMYFUNCTION("IF($A108="""","""",HYPERLINK(""https://docs.google.com/spreadsheets/d/1LovjCF_yo-DR4S4HXV7VkZLEyCUjv4US6kt_l-v8-GM/edit#gid=0&amp;range=L""&amp;(REGEXREPLACE($A108,"".* #"","""")+1),IF($I108="""",""View!"",""Verify!"")))"),"")</f>
        <v/>
      </c>
    </row>
    <row r="109">
      <c r="A109" s="39"/>
      <c r="B109" s="39"/>
      <c r="C109" s="39"/>
      <c r="D109" s="113"/>
      <c r="E109" s="113"/>
      <c r="F109" s="39"/>
      <c r="G109" s="39"/>
      <c r="H109" s="39"/>
      <c r="I109" s="39"/>
      <c r="J109" s="108" t="str">
        <f>IF($A109="","",VLOOKUP($A109,'Gingerbread Man'!$A$3:J865,10,FALSE))</f>
        <v/>
      </c>
      <c r="K109" s="108" t="str">
        <f t="shared" si="1"/>
        <v/>
      </c>
      <c r="L109" s="39" t="b">
        <v>0</v>
      </c>
      <c r="M109" s="108" t="str">
        <f>IF($A109="","",VLOOKUP($A109,'Gingerbread Man'!$A$3:M865,13))</f>
        <v/>
      </c>
      <c r="N109" s="108" t="str">
        <f>IFERROR(__xludf.DUMMYFUNCTION("IF($A109="""","""",HYPERLINK(""https://docs.google.com/spreadsheets/d/1LovjCF_yo-DR4S4HXV7VkZLEyCUjv4US6kt_l-v8-GM/edit#gid=0&amp;range=L""&amp;(REGEXREPLACE($A109,"".* #"","""")+1),IF($I109="""",""View!"",""Verify!"")))"),"")</f>
        <v/>
      </c>
    </row>
    <row r="110">
      <c r="A110" s="39"/>
      <c r="B110" s="39"/>
      <c r="C110" s="39"/>
      <c r="D110" s="113"/>
      <c r="E110" s="113"/>
      <c r="F110" s="39"/>
      <c r="G110" s="39"/>
      <c r="H110" s="39"/>
      <c r="I110" s="39"/>
      <c r="J110" s="108" t="str">
        <f>IF($A110="","",VLOOKUP($A110,'Gingerbread Man'!$A$3:J865,10,FALSE))</f>
        <v/>
      </c>
      <c r="K110" s="108" t="str">
        <f t="shared" si="1"/>
        <v/>
      </c>
      <c r="L110" s="39" t="b">
        <v>0</v>
      </c>
      <c r="M110" s="108" t="str">
        <f>IF($A110="","",VLOOKUP($A110,'Gingerbread Man'!$A$3:M865,13))</f>
        <v/>
      </c>
      <c r="N110" s="108" t="str">
        <f>IFERROR(__xludf.DUMMYFUNCTION("IF($A110="""","""",HYPERLINK(""https://docs.google.com/spreadsheets/d/1LovjCF_yo-DR4S4HXV7VkZLEyCUjv4US6kt_l-v8-GM/edit#gid=0&amp;range=L""&amp;(REGEXREPLACE($A110,"".* #"","""")+1),IF($I110="""",""View!"",""Verify!"")))"),"")</f>
        <v/>
      </c>
    </row>
    <row r="111">
      <c r="A111" s="39"/>
      <c r="B111" s="39"/>
      <c r="C111" s="39"/>
      <c r="D111" s="113"/>
      <c r="E111" s="113"/>
      <c r="F111" s="39"/>
      <c r="G111" s="39"/>
      <c r="H111" s="39"/>
      <c r="I111" s="39"/>
      <c r="J111" s="108" t="str">
        <f>IF($A111="","",VLOOKUP($A111,'Gingerbread Man'!$A$3:J865,10,FALSE))</f>
        <v/>
      </c>
      <c r="K111" s="108" t="str">
        <f t="shared" si="1"/>
        <v/>
      </c>
      <c r="L111" s="39" t="b">
        <v>0</v>
      </c>
      <c r="M111" s="108" t="str">
        <f>IF($A111="","",VLOOKUP($A111,'Gingerbread Man'!$A$3:M865,13))</f>
        <v/>
      </c>
      <c r="N111" s="108" t="str">
        <f>IFERROR(__xludf.DUMMYFUNCTION("IF($A111="""","""",HYPERLINK(""https://docs.google.com/spreadsheets/d/1LovjCF_yo-DR4S4HXV7VkZLEyCUjv4US6kt_l-v8-GM/edit#gid=0&amp;range=L""&amp;(REGEXREPLACE($A111,"".* #"","""")+1),IF($I111="""",""View!"",""Verify!"")))"),"")</f>
        <v/>
      </c>
    </row>
    <row r="112">
      <c r="A112" s="39"/>
      <c r="B112" s="39"/>
      <c r="C112" s="39"/>
      <c r="D112" s="113"/>
      <c r="E112" s="113"/>
      <c r="F112" s="39"/>
      <c r="G112" s="39"/>
      <c r="H112" s="39"/>
      <c r="I112" s="39"/>
      <c r="J112" s="108" t="str">
        <f>IF($A112="","",VLOOKUP($A112,'Gingerbread Man'!$A$3:J865,10,FALSE))</f>
        <v/>
      </c>
      <c r="K112" s="108" t="str">
        <f t="shared" si="1"/>
        <v/>
      </c>
      <c r="L112" s="39" t="b">
        <v>0</v>
      </c>
      <c r="M112" s="108" t="str">
        <f>IF($A112="","",VLOOKUP($A112,'Gingerbread Man'!$A$3:M865,13))</f>
        <v/>
      </c>
      <c r="N112" s="108" t="str">
        <f>IFERROR(__xludf.DUMMYFUNCTION("IF($A112="""","""",HYPERLINK(""https://docs.google.com/spreadsheets/d/1LovjCF_yo-DR4S4HXV7VkZLEyCUjv4US6kt_l-v8-GM/edit#gid=0&amp;range=L""&amp;(REGEXREPLACE($A112,"".* #"","""")+1),IF($I112="""",""View!"",""Verify!"")))"),"")</f>
        <v/>
      </c>
    </row>
    <row r="113">
      <c r="A113" s="39"/>
      <c r="B113" s="39"/>
      <c r="C113" s="39"/>
      <c r="D113" s="113"/>
      <c r="E113" s="113"/>
      <c r="F113" s="39"/>
      <c r="G113" s="39"/>
      <c r="H113" s="39"/>
      <c r="I113" s="39"/>
      <c r="J113" s="108" t="str">
        <f>IF($A113="","",VLOOKUP($A113,'Gingerbread Man'!$A$3:J865,10,FALSE))</f>
        <v/>
      </c>
      <c r="K113" s="108" t="str">
        <f t="shared" si="1"/>
        <v/>
      </c>
      <c r="L113" s="39" t="b">
        <v>0</v>
      </c>
      <c r="M113" s="108" t="str">
        <f>IF($A113="","",VLOOKUP($A113,'Gingerbread Man'!$A$3:M865,13))</f>
        <v/>
      </c>
      <c r="N113" s="108" t="str">
        <f>IFERROR(__xludf.DUMMYFUNCTION("IF($A113="""","""",HYPERLINK(""https://docs.google.com/spreadsheets/d/1LovjCF_yo-DR4S4HXV7VkZLEyCUjv4US6kt_l-v8-GM/edit#gid=0&amp;range=L""&amp;(REGEXREPLACE($A113,"".* #"","""")+1),IF($I113="""",""View!"",""Verify!"")))"),"")</f>
        <v/>
      </c>
    </row>
    <row r="114">
      <c r="A114" s="39"/>
      <c r="B114" s="39"/>
      <c r="C114" s="39"/>
      <c r="D114" s="113"/>
      <c r="E114" s="113"/>
      <c r="F114" s="39"/>
      <c r="G114" s="39"/>
      <c r="H114" s="39"/>
      <c r="I114" s="39"/>
      <c r="J114" s="108" t="str">
        <f>IF($A114="","",VLOOKUP($A114,'Gingerbread Man'!$A$3:J865,10,FALSE))</f>
        <v/>
      </c>
      <c r="K114" s="108" t="str">
        <f t="shared" si="1"/>
        <v/>
      </c>
      <c r="L114" s="39" t="b">
        <v>0</v>
      </c>
      <c r="M114" s="108" t="str">
        <f>IF($A114="","",VLOOKUP($A114,'Gingerbread Man'!$A$3:M865,13))</f>
        <v/>
      </c>
      <c r="N114" s="108" t="str">
        <f>IFERROR(__xludf.DUMMYFUNCTION("IF($A114="""","""",HYPERLINK(""https://docs.google.com/spreadsheets/d/1LovjCF_yo-DR4S4HXV7VkZLEyCUjv4US6kt_l-v8-GM/edit#gid=0&amp;range=L""&amp;(REGEXREPLACE($A114,"".* #"","""")+1),IF($I114="""",""View!"",""Verify!"")))"),"")</f>
        <v/>
      </c>
    </row>
    <row r="115">
      <c r="A115" s="39"/>
      <c r="B115" s="39"/>
      <c r="C115" s="39"/>
      <c r="D115" s="113"/>
      <c r="E115" s="113"/>
      <c r="F115" s="39"/>
      <c r="G115" s="39"/>
      <c r="H115" s="39"/>
      <c r="I115" s="39"/>
      <c r="J115" s="108" t="str">
        <f>IF($A115="","",VLOOKUP($A115,'Gingerbread Man'!$A$3:J865,10,FALSE))</f>
        <v/>
      </c>
      <c r="K115" s="108" t="str">
        <f t="shared" si="1"/>
        <v/>
      </c>
      <c r="L115" s="39" t="b">
        <v>0</v>
      </c>
      <c r="M115" s="108" t="str">
        <f>IF($A115="","",VLOOKUP($A115,'Gingerbread Man'!$A$3:M865,13))</f>
        <v/>
      </c>
      <c r="N115" s="108" t="str">
        <f>IFERROR(__xludf.DUMMYFUNCTION("IF($A115="""","""",HYPERLINK(""https://docs.google.com/spreadsheets/d/1LovjCF_yo-DR4S4HXV7VkZLEyCUjv4US6kt_l-v8-GM/edit#gid=0&amp;range=L""&amp;(REGEXREPLACE($A115,"".* #"","""")+1),IF($I115="""",""View!"",""Verify!"")))"),"")</f>
        <v/>
      </c>
    </row>
    <row r="116">
      <c r="A116" s="39"/>
      <c r="B116" s="39"/>
      <c r="C116" s="39"/>
      <c r="D116" s="113"/>
      <c r="E116" s="113"/>
      <c r="F116" s="39"/>
      <c r="G116" s="39"/>
      <c r="H116" s="39"/>
      <c r="I116" s="39"/>
      <c r="J116" s="108" t="str">
        <f>IF($A116="","",VLOOKUP($A116,'Gingerbread Man'!$A$3:J865,10,FALSE))</f>
        <v/>
      </c>
      <c r="K116" s="108" t="str">
        <f t="shared" si="1"/>
        <v/>
      </c>
      <c r="L116" s="39" t="b">
        <v>0</v>
      </c>
      <c r="M116" s="108" t="str">
        <f>IF($A116="","",VLOOKUP($A116,'Gingerbread Man'!$A$3:M865,13))</f>
        <v/>
      </c>
      <c r="N116" s="108" t="str">
        <f>IFERROR(__xludf.DUMMYFUNCTION("IF($A116="""","""",HYPERLINK(""https://docs.google.com/spreadsheets/d/1LovjCF_yo-DR4S4HXV7VkZLEyCUjv4US6kt_l-v8-GM/edit#gid=0&amp;range=L""&amp;(REGEXREPLACE($A116,"".* #"","""")+1),IF($I116="""",""View!"",""Verify!"")))"),"")</f>
        <v/>
      </c>
    </row>
    <row r="117">
      <c r="A117" s="39"/>
      <c r="B117" s="39"/>
      <c r="C117" s="39"/>
      <c r="D117" s="113"/>
      <c r="E117" s="113"/>
      <c r="F117" s="39"/>
      <c r="G117" s="39"/>
      <c r="H117" s="39"/>
      <c r="I117" s="39"/>
      <c r="J117" s="108" t="str">
        <f>IF($A117="","",VLOOKUP($A117,'Gingerbread Man'!$A$3:J865,10,FALSE))</f>
        <v/>
      </c>
      <c r="K117" s="108" t="str">
        <f t="shared" si="1"/>
        <v/>
      </c>
      <c r="L117" s="39" t="b">
        <v>0</v>
      </c>
      <c r="M117" s="108" t="str">
        <f>IF($A117="","",VLOOKUP($A117,'Gingerbread Man'!$A$3:M865,13))</f>
        <v/>
      </c>
      <c r="N117" s="108" t="str">
        <f>IFERROR(__xludf.DUMMYFUNCTION("IF($A117="""","""",HYPERLINK(""https://docs.google.com/spreadsheets/d/1LovjCF_yo-DR4S4HXV7VkZLEyCUjv4US6kt_l-v8-GM/edit#gid=0&amp;range=L""&amp;(REGEXREPLACE($A117,"".* #"","""")+1),IF($I117="""",""View!"",""Verify!"")))"),"")</f>
        <v/>
      </c>
    </row>
    <row r="118">
      <c r="A118" s="39"/>
      <c r="B118" s="39"/>
      <c r="C118" s="39"/>
      <c r="D118" s="113"/>
      <c r="E118" s="113"/>
      <c r="F118" s="39"/>
      <c r="G118" s="39"/>
      <c r="H118" s="39"/>
      <c r="I118" s="39"/>
      <c r="J118" s="108" t="str">
        <f>IF($A118="","",VLOOKUP($A118,'Gingerbread Man'!$A$3:J865,10,FALSE))</f>
        <v/>
      </c>
      <c r="K118" s="108" t="str">
        <f t="shared" si="1"/>
        <v/>
      </c>
      <c r="L118" s="39" t="b">
        <v>0</v>
      </c>
      <c r="M118" s="108" t="str">
        <f>IF($A118="","",VLOOKUP($A118,'Gingerbread Man'!$A$3:M865,13))</f>
        <v/>
      </c>
      <c r="N118" s="108" t="str">
        <f>IFERROR(__xludf.DUMMYFUNCTION("IF($A118="""","""",HYPERLINK(""https://docs.google.com/spreadsheets/d/1LovjCF_yo-DR4S4HXV7VkZLEyCUjv4US6kt_l-v8-GM/edit#gid=0&amp;range=L""&amp;(REGEXREPLACE($A118,"".* #"","""")+1),IF($I118="""",""View!"",""Verify!"")))"),"")</f>
        <v/>
      </c>
    </row>
    <row r="119">
      <c r="A119" s="39"/>
      <c r="B119" s="39"/>
      <c r="C119" s="39"/>
      <c r="D119" s="113"/>
      <c r="E119" s="113"/>
      <c r="F119" s="39"/>
      <c r="G119" s="39"/>
      <c r="H119" s="39"/>
      <c r="I119" s="39"/>
      <c r="J119" s="108" t="str">
        <f>IF($A119="","",VLOOKUP($A119,'Gingerbread Man'!$A$3:J865,10,FALSE))</f>
        <v/>
      </c>
      <c r="K119" s="108" t="str">
        <f t="shared" si="1"/>
        <v/>
      </c>
      <c r="L119" s="39" t="b">
        <v>0</v>
      </c>
      <c r="M119" s="108" t="str">
        <f>IF($A119="","",VLOOKUP($A119,'Gingerbread Man'!$A$3:M865,13))</f>
        <v/>
      </c>
      <c r="N119" s="108" t="str">
        <f>IFERROR(__xludf.DUMMYFUNCTION("IF($A119="""","""",HYPERLINK(""https://docs.google.com/spreadsheets/d/1LovjCF_yo-DR4S4HXV7VkZLEyCUjv4US6kt_l-v8-GM/edit#gid=0&amp;range=L""&amp;(REGEXREPLACE($A119,"".* #"","""")+1),IF($I119="""",""View!"",""Verify!"")))"),"")</f>
        <v/>
      </c>
    </row>
    <row r="120">
      <c r="A120" s="39"/>
      <c r="B120" s="39"/>
      <c r="C120" s="39"/>
      <c r="D120" s="113"/>
      <c r="E120" s="113"/>
      <c r="F120" s="39"/>
      <c r="G120" s="39"/>
      <c r="H120" s="39"/>
      <c r="I120" s="39"/>
      <c r="J120" s="108" t="str">
        <f>IF($A120="","",VLOOKUP($A120,'Gingerbread Man'!$A$3:J865,10,FALSE))</f>
        <v/>
      </c>
      <c r="K120" s="108" t="str">
        <f t="shared" si="1"/>
        <v/>
      </c>
      <c r="L120" s="39" t="b">
        <v>0</v>
      </c>
      <c r="M120" s="108" t="str">
        <f>IF($A120="","",VLOOKUP($A120,'Gingerbread Man'!$A$3:M865,13))</f>
        <v/>
      </c>
      <c r="N120" s="108" t="str">
        <f>IFERROR(__xludf.DUMMYFUNCTION("IF($A120="""","""",HYPERLINK(""https://docs.google.com/spreadsheets/d/1LovjCF_yo-DR4S4HXV7VkZLEyCUjv4US6kt_l-v8-GM/edit#gid=0&amp;range=L""&amp;(REGEXREPLACE($A120,"".* #"","""")+1),IF($I120="""",""View!"",""Verify!"")))"),"")</f>
        <v/>
      </c>
    </row>
    <row r="121">
      <c r="A121" s="39"/>
      <c r="B121" s="39"/>
      <c r="C121" s="39"/>
      <c r="D121" s="113"/>
      <c r="E121" s="113"/>
      <c r="F121" s="39"/>
      <c r="G121" s="39"/>
      <c r="H121" s="39"/>
      <c r="I121" s="39"/>
      <c r="J121" s="108" t="str">
        <f>IF($A121="","",VLOOKUP($A121,'Gingerbread Man'!$A$3:J865,10,FALSE))</f>
        <v/>
      </c>
      <c r="K121" s="108" t="str">
        <f t="shared" si="1"/>
        <v/>
      </c>
      <c r="L121" s="39" t="b">
        <v>0</v>
      </c>
      <c r="M121" s="108" t="str">
        <f>IF($A121="","",VLOOKUP($A121,'Gingerbread Man'!$A$3:M865,13))</f>
        <v/>
      </c>
      <c r="N121" s="108" t="str">
        <f>IFERROR(__xludf.DUMMYFUNCTION("IF($A121="""","""",HYPERLINK(""https://docs.google.com/spreadsheets/d/1LovjCF_yo-DR4S4HXV7VkZLEyCUjv4US6kt_l-v8-GM/edit#gid=0&amp;range=L""&amp;(REGEXREPLACE($A121,"".* #"","""")+1),IF($I121="""",""View!"",""Verify!"")))"),"")</f>
        <v/>
      </c>
    </row>
    <row r="122">
      <c r="A122" s="39"/>
      <c r="B122" s="39"/>
      <c r="C122" s="39"/>
      <c r="D122" s="113"/>
      <c r="E122" s="113"/>
      <c r="F122" s="39"/>
      <c r="G122" s="39"/>
      <c r="H122" s="39"/>
      <c r="I122" s="39"/>
      <c r="J122" s="108" t="str">
        <f>IF($A122="","",VLOOKUP($A122,'Gingerbread Man'!$A$3:J865,10,FALSE))</f>
        <v/>
      </c>
      <c r="K122" s="108" t="str">
        <f t="shared" si="1"/>
        <v/>
      </c>
      <c r="L122" s="39" t="b">
        <v>0</v>
      </c>
      <c r="M122" s="108" t="str">
        <f>IF($A122="","",VLOOKUP($A122,'Gingerbread Man'!$A$3:M865,13))</f>
        <v/>
      </c>
      <c r="N122" s="108" t="str">
        <f>IFERROR(__xludf.DUMMYFUNCTION("IF($A122="""","""",HYPERLINK(""https://docs.google.com/spreadsheets/d/1LovjCF_yo-DR4S4HXV7VkZLEyCUjv4US6kt_l-v8-GM/edit#gid=0&amp;range=L""&amp;(REGEXREPLACE($A122,"".* #"","""")+1),IF($I122="""",""View!"",""Verify!"")))"),"")</f>
        <v/>
      </c>
    </row>
    <row r="123">
      <c r="A123" s="39"/>
      <c r="B123" s="39"/>
      <c r="C123" s="39"/>
      <c r="D123" s="113"/>
      <c r="E123" s="113"/>
      <c r="F123" s="39"/>
      <c r="G123" s="39"/>
      <c r="H123" s="39"/>
      <c r="I123" s="39"/>
      <c r="J123" s="108" t="str">
        <f>IF($A123="","",VLOOKUP($A123,'Gingerbread Man'!$A$3:J865,10,FALSE))</f>
        <v/>
      </c>
      <c r="K123" s="108" t="str">
        <f t="shared" si="1"/>
        <v/>
      </c>
      <c r="L123" s="39" t="b">
        <v>0</v>
      </c>
      <c r="M123" s="108" t="str">
        <f>IF($A123="","",VLOOKUP($A123,'Gingerbread Man'!$A$3:M865,13))</f>
        <v/>
      </c>
      <c r="N123" s="108" t="str">
        <f>IFERROR(__xludf.DUMMYFUNCTION("IF($A123="""","""",HYPERLINK(""https://docs.google.com/spreadsheets/d/1LovjCF_yo-DR4S4HXV7VkZLEyCUjv4US6kt_l-v8-GM/edit#gid=0&amp;range=L""&amp;(REGEXREPLACE($A123,"".* #"","""")+1),IF($I123="""",""View!"",""Verify!"")))"),"")</f>
        <v/>
      </c>
    </row>
    <row r="124">
      <c r="A124" s="39"/>
      <c r="B124" s="39"/>
      <c r="C124" s="39"/>
      <c r="D124" s="113"/>
      <c r="E124" s="113"/>
      <c r="F124" s="39"/>
      <c r="G124" s="39"/>
      <c r="H124" s="39"/>
      <c r="I124" s="39"/>
      <c r="J124" s="108" t="str">
        <f>IF($A124="","",VLOOKUP($A124,'Gingerbread Man'!$A$3:J865,10,FALSE))</f>
        <v/>
      </c>
      <c r="K124" s="108" t="str">
        <f t="shared" si="1"/>
        <v/>
      </c>
      <c r="L124" s="39" t="b">
        <v>0</v>
      </c>
      <c r="M124" s="108" t="str">
        <f>IF($A124="","",VLOOKUP($A124,'Gingerbread Man'!$A$3:M865,13))</f>
        <v/>
      </c>
      <c r="N124" s="108" t="str">
        <f>IFERROR(__xludf.DUMMYFUNCTION("IF($A124="""","""",HYPERLINK(""https://docs.google.com/spreadsheets/d/1LovjCF_yo-DR4S4HXV7VkZLEyCUjv4US6kt_l-v8-GM/edit#gid=0&amp;range=L""&amp;(REGEXREPLACE($A124,"".* #"","""")+1),IF($I124="""",""View!"",""Verify!"")))"),"")</f>
        <v/>
      </c>
    </row>
    <row r="125">
      <c r="A125" s="39"/>
      <c r="B125" s="39"/>
      <c r="C125" s="39"/>
      <c r="D125" s="113"/>
      <c r="E125" s="113"/>
      <c r="F125" s="39"/>
      <c r="G125" s="39"/>
      <c r="H125" s="39"/>
      <c r="I125" s="39"/>
      <c r="J125" s="108" t="str">
        <f>IF($A125="","",VLOOKUP($A125,'Gingerbread Man'!$A$3:J865,10,FALSE))</f>
        <v/>
      </c>
      <c r="K125" s="108" t="str">
        <f t="shared" si="1"/>
        <v/>
      </c>
      <c r="L125" s="39" t="b">
        <v>0</v>
      </c>
      <c r="M125" s="108" t="str">
        <f>IF($A125="","",VLOOKUP($A125,'Gingerbread Man'!$A$3:M865,13))</f>
        <v/>
      </c>
      <c r="N125" s="108" t="str">
        <f>IFERROR(__xludf.DUMMYFUNCTION("IF($A125="""","""",HYPERLINK(""https://docs.google.com/spreadsheets/d/1LovjCF_yo-DR4S4HXV7VkZLEyCUjv4US6kt_l-v8-GM/edit#gid=0&amp;range=L""&amp;(REGEXREPLACE($A125,"".* #"","""")+1),IF($I125="""",""View!"",""Verify!"")))"),"")</f>
        <v/>
      </c>
    </row>
    <row r="126">
      <c r="A126" s="39"/>
      <c r="B126" s="39"/>
      <c r="C126" s="39"/>
      <c r="D126" s="113"/>
      <c r="E126" s="113"/>
      <c r="F126" s="39"/>
      <c r="G126" s="39"/>
      <c r="H126" s="39"/>
      <c r="I126" s="39"/>
      <c r="J126" s="108" t="str">
        <f>IF($A126="","",VLOOKUP($A126,'Gingerbread Man'!$A$3:J865,10,FALSE))</f>
        <v/>
      </c>
      <c r="K126" s="108" t="str">
        <f t="shared" si="1"/>
        <v/>
      </c>
      <c r="L126" s="39" t="b">
        <v>0</v>
      </c>
      <c r="M126" s="108" t="str">
        <f>IF($A126="","",VLOOKUP($A126,'Gingerbread Man'!$A$3:M865,13))</f>
        <v/>
      </c>
      <c r="N126" s="108" t="str">
        <f>IFERROR(__xludf.DUMMYFUNCTION("IF($A126="""","""",HYPERLINK(""https://docs.google.com/spreadsheets/d/1LovjCF_yo-DR4S4HXV7VkZLEyCUjv4US6kt_l-v8-GM/edit#gid=0&amp;range=L""&amp;(REGEXREPLACE($A126,"".* #"","""")+1),IF($I126="""",""View!"",""Verify!"")))"),"")</f>
        <v/>
      </c>
    </row>
    <row r="127">
      <c r="A127" s="39"/>
      <c r="B127" s="39"/>
      <c r="C127" s="39"/>
      <c r="D127" s="113"/>
      <c r="E127" s="113"/>
      <c r="F127" s="39"/>
      <c r="G127" s="39"/>
      <c r="H127" s="39"/>
      <c r="I127" s="39"/>
      <c r="J127" s="108" t="str">
        <f>IF($A127="","",VLOOKUP($A127,'Gingerbread Man'!$A$3:J865,10,FALSE))</f>
        <v/>
      </c>
      <c r="K127" s="108" t="str">
        <f t="shared" si="1"/>
        <v/>
      </c>
      <c r="L127" s="39" t="b">
        <v>0</v>
      </c>
      <c r="M127" s="108" t="str">
        <f>IF($A127="","",VLOOKUP($A127,'Gingerbread Man'!$A$3:M865,13))</f>
        <v/>
      </c>
      <c r="N127" s="108" t="str">
        <f>IFERROR(__xludf.DUMMYFUNCTION("IF($A127="""","""",HYPERLINK(""https://docs.google.com/spreadsheets/d/1LovjCF_yo-DR4S4HXV7VkZLEyCUjv4US6kt_l-v8-GM/edit#gid=0&amp;range=L""&amp;(REGEXREPLACE($A127,"".* #"","""")+1),IF($I127="""",""View!"",""Verify!"")))"),"")</f>
        <v/>
      </c>
    </row>
    <row r="128">
      <c r="A128" s="39"/>
      <c r="B128" s="39"/>
      <c r="C128" s="39"/>
      <c r="D128" s="113"/>
      <c r="E128" s="113"/>
      <c r="F128" s="39"/>
      <c r="G128" s="39"/>
      <c r="H128" s="39"/>
      <c r="I128" s="39"/>
      <c r="J128" s="108" t="str">
        <f>IF($A128="","",VLOOKUP($A128,'Gingerbread Man'!$A$3:J865,10,FALSE))</f>
        <v/>
      </c>
      <c r="K128" s="108" t="str">
        <f t="shared" si="1"/>
        <v/>
      </c>
      <c r="L128" s="39" t="b">
        <v>0</v>
      </c>
      <c r="M128" s="108" t="str">
        <f>IF($A128="","",VLOOKUP($A128,'Gingerbread Man'!$A$3:M865,13))</f>
        <v/>
      </c>
      <c r="N128" s="108" t="str">
        <f>IFERROR(__xludf.DUMMYFUNCTION("IF($A128="""","""",HYPERLINK(""https://docs.google.com/spreadsheets/d/1LovjCF_yo-DR4S4HXV7VkZLEyCUjv4US6kt_l-v8-GM/edit#gid=0&amp;range=L""&amp;(REGEXREPLACE($A128,"".* #"","""")+1),IF($I128="""",""View!"",""Verify!"")))"),"")</f>
        <v/>
      </c>
    </row>
    <row r="129">
      <c r="A129" s="39"/>
      <c r="B129" s="39"/>
      <c r="C129" s="39"/>
      <c r="D129" s="113"/>
      <c r="E129" s="113"/>
      <c r="F129" s="39"/>
      <c r="G129" s="39"/>
      <c r="H129" s="39"/>
      <c r="I129" s="39"/>
      <c r="J129" s="108" t="str">
        <f>IF($A129="","",VLOOKUP($A129,'Gingerbread Man'!$A$3:J865,10,FALSE))</f>
        <v/>
      </c>
      <c r="K129" s="108" t="str">
        <f t="shared" si="1"/>
        <v/>
      </c>
      <c r="L129" s="39" t="b">
        <v>0</v>
      </c>
      <c r="M129" s="108" t="str">
        <f>IF($A129="","",VLOOKUP($A129,'Gingerbread Man'!$A$3:M865,13))</f>
        <v/>
      </c>
      <c r="N129" s="108" t="str">
        <f>IFERROR(__xludf.DUMMYFUNCTION("IF($A129="""","""",HYPERLINK(""https://docs.google.com/spreadsheets/d/1LovjCF_yo-DR4S4HXV7VkZLEyCUjv4US6kt_l-v8-GM/edit#gid=0&amp;range=L""&amp;(REGEXREPLACE($A129,"".* #"","""")+1),IF($I129="""",""View!"",""Verify!"")))"),"")</f>
        <v/>
      </c>
    </row>
    <row r="130">
      <c r="A130" s="39"/>
      <c r="B130" s="39"/>
      <c r="C130" s="39"/>
      <c r="D130" s="113"/>
      <c r="E130" s="113"/>
      <c r="F130" s="39"/>
      <c r="G130" s="39"/>
      <c r="H130" s="39"/>
      <c r="I130" s="39"/>
      <c r="J130" s="108" t="str">
        <f>IF($A130="","",VLOOKUP($A130,'Gingerbread Man'!$A$3:J865,10,FALSE))</f>
        <v/>
      </c>
      <c r="K130" s="108" t="str">
        <f t="shared" si="1"/>
        <v/>
      </c>
      <c r="L130" s="39" t="b">
        <v>0</v>
      </c>
      <c r="M130" s="108" t="str">
        <f>IF($A130="","",VLOOKUP($A130,'Gingerbread Man'!$A$3:M865,13))</f>
        <v/>
      </c>
      <c r="N130" s="108" t="str">
        <f>IFERROR(__xludf.DUMMYFUNCTION("IF($A130="""","""",HYPERLINK(""https://docs.google.com/spreadsheets/d/1LovjCF_yo-DR4S4HXV7VkZLEyCUjv4US6kt_l-v8-GM/edit#gid=0&amp;range=L""&amp;(REGEXREPLACE($A130,"".* #"","""")+1),IF($I130="""",""View!"",""Verify!"")))"),"")</f>
        <v/>
      </c>
    </row>
    <row r="131">
      <c r="A131" s="39"/>
      <c r="B131" s="39"/>
      <c r="C131" s="39"/>
      <c r="D131" s="113"/>
      <c r="E131" s="113"/>
      <c r="F131" s="39"/>
      <c r="G131" s="39"/>
      <c r="H131" s="39"/>
      <c r="I131" s="39"/>
      <c r="J131" s="108" t="str">
        <f>IF($A131="","",VLOOKUP($A131,'Gingerbread Man'!$A$3:J865,10,FALSE))</f>
        <v/>
      </c>
      <c r="K131" s="108" t="str">
        <f t="shared" si="1"/>
        <v/>
      </c>
      <c r="L131" s="39" t="b">
        <v>0</v>
      </c>
      <c r="M131" s="108" t="str">
        <f>IF($A131="","",VLOOKUP($A131,'Gingerbread Man'!$A$3:M865,13))</f>
        <v/>
      </c>
      <c r="N131" s="108" t="str">
        <f>IFERROR(__xludf.DUMMYFUNCTION("IF($A131="""","""",HYPERLINK(""https://docs.google.com/spreadsheets/d/1LovjCF_yo-DR4S4HXV7VkZLEyCUjv4US6kt_l-v8-GM/edit#gid=0&amp;range=L""&amp;(REGEXREPLACE($A131,"".* #"","""")+1),IF($I131="""",""View!"",""Verify!"")))"),"")</f>
        <v/>
      </c>
    </row>
    <row r="132">
      <c r="A132" s="39"/>
      <c r="B132" s="39"/>
      <c r="C132" s="39"/>
      <c r="D132" s="113"/>
      <c r="E132" s="113"/>
      <c r="F132" s="39"/>
      <c r="G132" s="39"/>
      <c r="H132" s="39"/>
      <c r="I132" s="39"/>
      <c r="J132" s="108" t="str">
        <f>IF($A132="","",VLOOKUP($A132,'Gingerbread Man'!$A$3:J865,10,FALSE))</f>
        <v/>
      </c>
      <c r="K132" s="108" t="str">
        <f t="shared" si="1"/>
        <v/>
      </c>
      <c r="L132" s="39" t="b">
        <v>0</v>
      </c>
      <c r="M132" s="108" t="str">
        <f>IF($A132="","",VLOOKUP($A132,'Gingerbread Man'!$A$3:M865,13))</f>
        <v/>
      </c>
      <c r="N132" s="108" t="str">
        <f>IFERROR(__xludf.DUMMYFUNCTION("IF($A132="""","""",HYPERLINK(""https://docs.google.com/spreadsheets/d/1LovjCF_yo-DR4S4HXV7VkZLEyCUjv4US6kt_l-v8-GM/edit#gid=0&amp;range=L""&amp;(REGEXREPLACE($A132,"".* #"","""")+1),IF($I132="""",""View!"",""Verify!"")))"),"")</f>
        <v/>
      </c>
    </row>
    <row r="133">
      <c r="A133" s="39"/>
      <c r="B133" s="39"/>
      <c r="C133" s="39"/>
      <c r="D133" s="113"/>
      <c r="E133" s="113"/>
      <c r="F133" s="39"/>
      <c r="G133" s="39"/>
      <c r="H133" s="39"/>
      <c r="I133" s="39"/>
      <c r="J133" s="108"/>
      <c r="K133" s="108" t="str">
        <f t="shared" si="1"/>
        <v/>
      </c>
      <c r="L133" s="39"/>
      <c r="M133" s="108" t="str">
        <f>IF($A133="","",VLOOKUP($A133,'Gingerbread Man'!$A$3:M865,13))</f>
        <v/>
      </c>
      <c r="N133" s="108" t="str">
        <f>IFERROR(__xludf.DUMMYFUNCTION("IF($A133="""","""",HYPERLINK(""https://docs.google.com/spreadsheets/d/1LovjCF_yo-DR4S4HXV7VkZLEyCUjv4US6kt_l-v8-GM/edit#gid=0&amp;range=L""&amp;(REGEXREPLACE($A133,"".* #"","""")+1),IF($I133="""",""View!"",""Verify!"")))"),"")</f>
        <v/>
      </c>
    </row>
    <row r="134">
      <c r="A134" s="39"/>
      <c r="B134" s="39"/>
      <c r="C134" s="39"/>
      <c r="D134" s="113"/>
      <c r="E134" s="113"/>
      <c r="F134" s="39"/>
      <c r="G134" s="39"/>
      <c r="H134" s="39"/>
      <c r="I134" s="39"/>
      <c r="J134" s="108"/>
      <c r="K134" s="108" t="str">
        <f t="shared" si="1"/>
        <v/>
      </c>
      <c r="L134" s="39"/>
      <c r="M134" s="108" t="str">
        <f>IF($A134="","",VLOOKUP($A134,'Gingerbread Man'!$A$3:M865,13))</f>
        <v/>
      </c>
      <c r="N134" s="108" t="str">
        <f>IFERROR(__xludf.DUMMYFUNCTION("IF($A134="""","""",HYPERLINK(""https://docs.google.com/spreadsheets/d/1LovjCF_yo-DR4S4HXV7VkZLEyCUjv4US6kt_l-v8-GM/edit#gid=0&amp;range=L""&amp;(REGEXREPLACE($A134,"".* #"","""")+1),IF($I134="""",""View!"",""Verify!"")))"),"")</f>
        <v/>
      </c>
    </row>
    <row r="135">
      <c r="A135" s="39"/>
      <c r="B135" s="39"/>
      <c r="C135" s="39"/>
      <c r="D135" s="113"/>
      <c r="E135" s="113"/>
      <c r="F135" s="39"/>
      <c r="G135" s="39"/>
      <c r="H135" s="39"/>
      <c r="I135" s="39"/>
      <c r="J135" s="108"/>
      <c r="K135" s="108" t="str">
        <f t="shared" si="1"/>
        <v/>
      </c>
      <c r="L135" s="39"/>
      <c r="M135" s="108" t="str">
        <f>IF($A135="","",VLOOKUP($A135,'Gingerbread Man'!$A$3:M865,13))</f>
        <v/>
      </c>
      <c r="N135" s="108" t="str">
        <f>IFERROR(__xludf.DUMMYFUNCTION("IF($A135="""","""",HYPERLINK(""https://docs.google.com/spreadsheets/d/1LovjCF_yo-DR4S4HXV7VkZLEyCUjv4US6kt_l-v8-GM/edit#gid=0&amp;range=L""&amp;(REGEXREPLACE($A135,"".* #"","""")+1),IF($I135="""",""View!"",""Verify!"")))"),"")</f>
        <v/>
      </c>
    </row>
    <row r="136">
      <c r="A136" s="39"/>
      <c r="B136" s="39"/>
      <c r="C136" s="39"/>
      <c r="D136" s="113"/>
      <c r="E136" s="113"/>
      <c r="F136" s="39"/>
      <c r="G136" s="39"/>
      <c r="H136" s="39"/>
      <c r="I136" s="39"/>
      <c r="J136" s="108"/>
      <c r="K136" s="108" t="str">
        <f t="shared" si="1"/>
        <v/>
      </c>
      <c r="L136" s="39"/>
      <c r="M136" s="108" t="str">
        <f>IF($A136="","",VLOOKUP($A136,'Gingerbread Man'!$A$3:M865,13))</f>
        <v/>
      </c>
      <c r="N136" s="108" t="str">
        <f>IFERROR(__xludf.DUMMYFUNCTION("IF($A136="""","""",HYPERLINK(""https://docs.google.com/spreadsheets/d/1LovjCF_yo-DR4S4HXV7VkZLEyCUjv4US6kt_l-v8-GM/edit#gid=0&amp;range=L""&amp;(REGEXREPLACE($A136,"".* #"","""")+1),IF($I136="""",""View!"",""Verify!"")))"),"")</f>
        <v/>
      </c>
    </row>
    <row r="137">
      <c r="A137" s="39"/>
      <c r="B137" s="39"/>
      <c r="C137" s="39"/>
      <c r="D137" s="113"/>
      <c r="E137" s="113"/>
      <c r="F137" s="39"/>
      <c r="G137" s="39"/>
      <c r="H137" s="39"/>
      <c r="I137" s="39"/>
      <c r="J137" s="108"/>
      <c r="K137" s="108" t="str">
        <f t="shared" si="1"/>
        <v/>
      </c>
      <c r="L137" s="39"/>
      <c r="M137" s="108" t="str">
        <f>IF($A137="","",VLOOKUP($A137,'Gingerbread Man'!$A$3:M865,13))</f>
        <v/>
      </c>
      <c r="N137" s="108" t="str">
        <f>IFERROR(__xludf.DUMMYFUNCTION("IF($A137="""","""",HYPERLINK(""https://docs.google.com/spreadsheets/d/1LovjCF_yo-DR4S4HXV7VkZLEyCUjv4US6kt_l-v8-GM/edit#gid=0&amp;range=L""&amp;(REGEXREPLACE($A137,"".* #"","""")+1),IF($I137="""",""View!"",""Verify!"")))"),"")</f>
        <v/>
      </c>
    </row>
    <row r="138">
      <c r="A138" s="39"/>
      <c r="B138" s="39"/>
      <c r="C138" s="39"/>
      <c r="D138" s="113"/>
      <c r="E138" s="113"/>
      <c r="F138" s="39"/>
      <c r="G138" s="39"/>
      <c r="H138" s="39"/>
      <c r="I138" s="39"/>
      <c r="J138" s="108"/>
      <c r="K138" s="108" t="str">
        <f t="shared" si="1"/>
        <v/>
      </c>
      <c r="L138" s="39"/>
      <c r="M138" s="108" t="str">
        <f>IF($A138="","",VLOOKUP($A138,'Gingerbread Man'!$A$3:M865,13))</f>
        <v/>
      </c>
      <c r="N138" s="108" t="str">
        <f>IFERROR(__xludf.DUMMYFUNCTION("IF($A138="""","""",HYPERLINK(""https://docs.google.com/spreadsheets/d/1LovjCF_yo-DR4S4HXV7VkZLEyCUjv4US6kt_l-v8-GM/edit#gid=0&amp;range=L""&amp;(REGEXREPLACE($A138,"".* #"","""")+1),IF($I138="""",""View!"",""Verify!"")))"),"")</f>
        <v/>
      </c>
    </row>
    <row r="139">
      <c r="A139" s="39"/>
      <c r="B139" s="39"/>
      <c r="C139" s="39"/>
      <c r="D139" s="113"/>
      <c r="E139" s="113"/>
      <c r="F139" s="39"/>
      <c r="G139" s="39"/>
      <c r="H139" s="39"/>
      <c r="I139" s="39"/>
      <c r="J139" s="108"/>
      <c r="K139" s="108" t="str">
        <f t="shared" si="1"/>
        <v/>
      </c>
      <c r="L139" s="39"/>
      <c r="M139" s="108" t="str">
        <f>IF($A139="","",VLOOKUP($A139,'Gingerbread Man'!$A$3:M865,13))</f>
        <v/>
      </c>
      <c r="N139" s="108" t="str">
        <f>IFERROR(__xludf.DUMMYFUNCTION("IF($A139="""","""",HYPERLINK(""https://docs.google.com/spreadsheets/d/1LovjCF_yo-DR4S4HXV7VkZLEyCUjv4US6kt_l-v8-GM/edit#gid=0&amp;range=L""&amp;(REGEXREPLACE($A139,"".* #"","""")+1),IF($I139="""",""View!"",""Verify!"")))"),"")</f>
        <v/>
      </c>
    </row>
    <row r="140">
      <c r="A140" s="39"/>
      <c r="B140" s="39"/>
      <c r="C140" s="39"/>
      <c r="D140" s="113"/>
      <c r="E140" s="113"/>
      <c r="F140" s="39"/>
      <c r="G140" s="39"/>
      <c r="H140" s="39"/>
      <c r="I140" s="39"/>
      <c r="J140" s="108"/>
      <c r="K140" s="108" t="str">
        <f t="shared" si="1"/>
        <v/>
      </c>
      <c r="L140" s="39"/>
      <c r="M140" s="108" t="str">
        <f>IF($A140="","",VLOOKUP($A140,'Gingerbread Man'!$A$3:M865,13))</f>
        <v/>
      </c>
      <c r="N140" s="108" t="str">
        <f>IFERROR(__xludf.DUMMYFUNCTION("IF($A140="""","""",HYPERLINK(""https://docs.google.com/spreadsheets/d/1LovjCF_yo-DR4S4HXV7VkZLEyCUjv4US6kt_l-v8-GM/edit#gid=0&amp;range=L""&amp;(REGEXREPLACE($A140,"".* #"","""")+1),IF($I140="""",""View!"",""Verify!"")))"),"")</f>
        <v/>
      </c>
    </row>
    <row r="141">
      <c r="A141" s="39"/>
      <c r="B141" s="39"/>
      <c r="C141" s="39"/>
      <c r="D141" s="113"/>
      <c r="E141" s="113"/>
      <c r="F141" s="39"/>
      <c r="G141" s="39"/>
      <c r="H141" s="39"/>
      <c r="I141" s="39"/>
      <c r="J141" s="108"/>
      <c r="K141" s="108" t="str">
        <f t="shared" si="1"/>
        <v/>
      </c>
      <c r="L141" s="39"/>
      <c r="M141" s="108" t="str">
        <f>IF($A141="","",VLOOKUP($A141,'Gingerbread Man'!$A$3:M865,13))</f>
        <v/>
      </c>
      <c r="N141" s="108" t="str">
        <f>IFERROR(__xludf.DUMMYFUNCTION("IF($A141="""","""",HYPERLINK(""https://docs.google.com/spreadsheets/d/1LovjCF_yo-DR4S4HXV7VkZLEyCUjv4US6kt_l-v8-GM/edit#gid=0&amp;range=L""&amp;(REGEXREPLACE($A141,"".* #"","""")+1),IF($I141="""",""View!"",""Verify!"")))"),"")</f>
        <v/>
      </c>
    </row>
    <row r="142">
      <c r="A142" s="39"/>
      <c r="B142" s="39"/>
      <c r="C142" s="39"/>
      <c r="D142" s="113"/>
      <c r="E142" s="113"/>
      <c r="F142" s="39"/>
      <c r="G142" s="39"/>
      <c r="H142" s="39"/>
      <c r="I142" s="39"/>
      <c r="J142" s="108"/>
      <c r="K142" s="108" t="str">
        <f t="shared" si="1"/>
        <v/>
      </c>
      <c r="L142" s="39"/>
      <c r="M142" s="108" t="str">
        <f>IF($A142="","",VLOOKUP($A142,'Gingerbread Man'!$A$3:M865,13))</f>
        <v/>
      </c>
      <c r="N142" s="108" t="str">
        <f>IFERROR(__xludf.DUMMYFUNCTION("IF($A142="""","""",HYPERLINK(""https://docs.google.com/spreadsheets/d/1LovjCF_yo-DR4S4HXV7VkZLEyCUjv4US6kt_l-v8-GM/edit#gid=0&amp;range=L""&amp;(REGEXREPLACE($A142,"".* #"","""")+1),IF($I142="""",""View!"",""Verify!"")))"),"")</f>
        <v/>
      </c>
    </row>
    <row r="143">
      <c r="A143" s="39"/>
      <c r="B143" s="39"/>
      <c r="C143" s="39"/>
      <c r="D143" s="113"/>
      <c r="E143" s="113"/>
      <c r="F143" s="39"/>
      <c r="G143" s="39"/>
      <c r="H143" s="39"/>
      <c r="I143" s="39"/>
      <c r="J143" s="108"/>
      <c r="K143" s="108" t="str">
        <f t="shared" si="1"/>
        <v/>
      </c>
      <c r="L143" s="39"/>
      <c r="M143" s="108" t="str">
        <f>IF($A143="","",VLOOKUP($A143,'Gingerbread Man'!$A$3:M865,13))</f>
        <v/>
      </c>
      <c r="N143" s="108" t="str">
        <f>IFERROR(__xludf.DUMMYFUNCTION("IF($A143="""","""",HYPERLINK(""https://docs.google.com/spreadsheets/d/1LovjCF_yo-DR4S4HXV7VkZLEyCUjv4US6kt_l-v8-GM/edit#gid=0&amp;range=L""&amp;(REGEXREPLACE($A143,"".* #"","""")+1),IF($I143="""",""View!"",""Verify!"")))"),"")</f>
        <v/>
      </c>
    </row>
    <row r="144">
      <c r="A144" s="39"/>
      <c r="B144" s="39"/>
      <c r="C144" s="39"/>
      <c r="D144" s="113"/>
      <c r="E144" s="113"/>
      <c r="F144" s="39"/>
      <c r="G144" s="39"/>
      <c r="H144" s="39"/>
      <c r="I144" s="39"/>
      <c r="J144" s="108"/>
      <c r="K144" s="108" t="str">
        <f t="shared" si="1"/>
        <v/>
      </c>
      <c r="L144" s="39"/>
      <c r="M144" s="108" t="str">
        <f>IF($A144="","",VLOOKUP($A144,'Gingerbread Man'!$A$3:M865,13))</f>
        <v/>
      </c>
      <c r="N144" s="108" t="str">
        <f>IFERROR(__xludf.DUMMYFUNCTION("IF($A144="""","""",HYPERLINK(""https://docs.google.com/spreadsheets/d/1LovjCF_yo-DR4S4HXV7VkZLEyCUjv4US6kt_l-v8-GM/edit#gid=0&amp;range=L""&amp;(REGEXREPLACE($A144,"".* #"","""")+1),IF($I144="""",""View!"",""Verify!"")))"),"")</f>
        <v/>
      </c>
    </row>
    <row r="145">
      <c r="A145" s="39"/>
      <c r="B145" s="39"/>
      <c r="C145" s="39"/>
      <c r="D145" s="113"/>
      <c r="E145" s="113"/>
      <c r="F145" s="39"/>
      <c r="G145" s="39"/>
      <c r="H145" s="39"/>
      <c r="I145" s="39"/>
      <c r="J145" s="108"/>
      <c r="K145" s="108" t="str">
        <f t="shared" si="1"/>
        <v/>
      </c>
      <c r="L145" s="19" t="b">
        <v>0</v>
      </c>
      <c r="M145" s="108" t="str">
        <f>IF($A145="","",VLOOKUP($A145,'Gingerbread Man'!$A$3:M865,13))</f>
        <v/>
      </c>
      <c r="N145" s="108" t="str">
        <f>IFERROR(__xludf.DUMMYFUNCTION("IF($A145="""","""",HYPERLINK(""https://docs.google.com/spreadsheets/d/1LovjCF_yo-DR4S4HXV7VkZLEyCUjv4US6kt_l-v8-GM/edit#gid=0&amp;range=L""&amp;(REGEXREPLACE($A145,"".* #"","""")+1),IF($I145="""",""View!"",""Verify!"")))"),"")</f>
        <v/>
      </c>
    </row>
    <row r="146">
      <c r="A146" s="39"/>
      <c r="B146" s="39"/>
      <c r="C146" s="39"/>
      <c r="D146" s="113"/>
      <c r="E146" s="113"/>
      <c r="F146" s="39"/>
      <c r="G146" s="39"/>
      <c r="H146" s="39"/>
      <c r="I146" s="39"/>
      <c r="J146" s="108"/>
      <c r="K146" s="108" t="str">
        <f t="shared" si="1"/>
        <v/>
      </c>
      <c r="L146" s="39"/>
      <c r="M146" s="108"/>
      <c r="N146" s="108" t="str">
        <f>IFERROR(__xludf.DUMMYFUNCTION("IF($A146="""","""",HYPERLINK(""https://docs.google.com/spreadsheets/d/1LovjCF_yo-DR4S4HXV7VkZLEyCUjv4US6kt_l-v8-GM/edit#gid=0&amp;range=L""&amp;(REGEXREPLACE($A146,"".* #"","""")+1),IF($I146="""",""View!"",""Verify!"")))"),"")</f>
        <v/>
      </c>
    </row>
    <row r="147">
      <c r="A147" s="39"/>
      <c r="B147" s="39"/>
      <c r="C147" s="39"/>
      <c r="D147" s="113"/>
      <c r="E147" s="113"/>
      <c r="F147" s="39"/>
      <c r="G147" s="39"/>
      <c r="H147" s="39"/>
      <c r="I147" s="39"/>
      <c r="J147" s="108"/>
      <c r="K147" s="108" t="str">
        <f t="shared" si="1"/>
        <v/>
      </c>
      <c r="L147" s="39"/>
      <c r="M147" s="108"/>
      <c r="N147" s="108" t="str">
        <f>IFERROR(__xludf.DUMMYFUNCTION("IF($A147="""","""",HYPERLINK(""https://docs.google.com/spreadsheets/d/1LovjCF_yo-DR4S4HXV7VkZLEyCUjv4US6kt_l-v8-GM/edit#gid=0&amp;range=L""&amp;(REGEXREPLACE($A147,"".* #"","""")+1),IF($I147="""",""View!"",""Verify!"")))"),"")</f>
        <v/>
      </c>
    </row>
    <row r="148">
      <c r="A148" s="39"/>
      <c r="B148" s="39"/>
      <c r="C148" s="39"/>
      <c r="D148" s="113"/>
      <c r="E148" s="113"/>
      <c r="F148" s="39"/>
      <c r="G148" s="39"/>
      <c r="H148" s="39"/>
      <c r="I148" s="39"/>
      <c r="J148" s="108"/>
      <c r="K148" s="108" t="str">
        <f t="shared" si="1"/>
        <v/>
      </c>
      <c r="L148" s="39"/>
      <c r="M148" s="108"/>
      <c r="N148" s="108" t="str">
        <f>IFERROR(__xludf.DUMMYFUNCTION("IF($A148="""","""",HYPERLINK(""https://docs.google.com/spreadsheets/d/1LovjCF_yo-DR4S4HXV7VkZLEyCUjv4US6kt_l-v8-GM/edit#gid=0&amp;range=L""&amp;(REGEXREPLACE($A148,"".* #"","""")+1),IF($I148="""",""View!"",""Verify!"")))"),"")</f>
        <v/>
      </c>
    </row>
    <row r="149">
      <c r="A149" s="39"/>
      <c r="B149" s="39"/>
      <c r="C149" s="39"/>
      <c r="D149" s="113"/>
      <c r="E149" s="113"/>
      <c r="F149" s="39"/>
      <c r="G149" s="39"/>
      <c r="H149" s="39"/>
      <c r="I149" s="39"/>
      <c r="J149" s="108"/>
      <c r="K149" s="108" t="str">
        <f t="shared" si="1"/>
        <v/>
      </c>
      <c r="L149" s="39"/>
      <c r="M149" s="108"/>
      <c r="N149" s="108" t="str">
        <f>IFERROR(__xludf.DUMMYFUNCTION("IF($A149="""","""",HYPERLINK(""https://docs.google.com/spreadsheets/d/1LovjCF_yo-DR4S4HXV7VkZLEyCUjv4US6kt_l-v8-GM/edit#gid=0&amp;range=L""&amp;(REGEXREPLACE($A149,"".* #"","""")+1),IF($I149="""",""View!"",""Verify!"")))"),"")</f>
        <v/>
      </c>
    </row>
    <row r="150">
      <c r="A150" s="39"/>
      <c r="B150" s="39"/>
      <c r="C150" s="39"/>
      <c r="D150" s="113"/>
      <c r="E150" s="113"/>
      <c r="F150" s="39"/>
      <c r="G150" s="39"/>
      <c r="H150" s="39"/>
      <c r="I150" s="39"/>
      <c r="J150" s="108"/>
      <c r="K150" s="108" t="str">
        <f t="shared" si="1"/>
        <v/>
      </c>
      <c r="L150" s="39"/>
      <c r="M150" s="108"/>
      <c r="N150" s="108" t="str">
        <f>IFERROR(__xludf.DUMMYFUNCTION("IF($A150="""","""",HYPERLINK(""https://docs.google.com/spreadsheets/d/1LovjCF_yo-DR4S4HXV7VkZLEyCUjv4US6kt_l-v8-GM/edit#gid=0&amp;range=L""&amp;(REGEXREPLACE($A150,"".* #"","""")+1),IF($I150="""",""View!"",""Verify!"")))"),"")</f>
        <v/>
      </c>
    </row>
    <row r="151">
      <c r="A151" s="39"/>
      <c r="B151" s="39"/>
      <c r="C151" s="39"/>
      <c r="D151" s="113"/>
      <c r="E151" s="113"/>
      <c r="F151" s="39"/>
      <c r="G151" s="39"/>
      <c r="H151" s="39"/>
      <c r="I151" s="39"/>
      <c r="J151" s="108"/>
      <c r="K151" s="108" t="str">
        <f t="shared" si="1"/>
        <v/>
      </c>
      <c r="L151" s="39"/>
      <c r="M151" s="108"/>
      <c r="N151" s="108" t="str">
        <f>IFERROR(__xludf.DUMMYFUNCTION("IF($A151="""","""",HYPERLINK(""https://docs.google.com/spreadsheets/d/1LovjCF_yo-DR4S4HXV7VkZLEyCUjv4US6kt_l-v8-GM/edit#gid=0&amp;range=L""&amp;(REGEXREPLACE($A151,"".* #"","""")+1),IF($I151="""",""View!"",""Verify!"")))"),"")</f>
        <v/>
      </c>
    </row>
    <row r="152">
      <c r="A152" s="39"/>
      <c r="B152" s="39"/>
      <c r="C152" s="39"/>
      <c r="D152" s="113"/>
      <c r="E152" s="113"/>
      <c r="F152" s="39"/>
      <c r="G152" s="39"/>
      <c r="H152" s="39"/>
      <c r="I152" s="39"/>
      <c r="J152" s="108"/>
      <c r="K152" s="108" t="str">
        <f t="shared" si="1"/>
        <v/>
      </c>
      <c r="L152" s="39"/>
      <c r="M152" s="108"/>
      <c r="N152" s="108" t="str">
        <f>IFERROR(__xludf.DUMMYFUNCTION("IF($A152="""","""",HYPERLINK(""https://docs.google.com/spreadsheets/d/1LovjCF_yo-DR4S4HXV7VkZLEyCUjv4US6kt_l-v8-GM/edit#gid=0&amp;range=L""&amp;(REGEXREPLACE($A152,"".* #"","""")+1),IF($I152="""",""View!"",""Verify!"")))"),"")</f>
        <v/>
      </c>
    </row>
    <row r="153">
      <c r="A153" s="39"/>
      <c r="B153" s="39"/>
      <c r="C153" s="39"/>
      <c r="D153" s="113"/>
      <c r="E153" s="113"/>
      <c r="F153" s="39"/>
      <c r="G153" s="39"/>
      <c r="H153" s="39"/>
      <c r="I153" s="39"/>
      <c r="J153" s="108"/>
      <c r="K153" s="108" t="str">
        <f t="shared" si="1"/>
        <v/>
      </c>
      <c r="L153" s="39"/>
      <c r="M153" s="108"/>
      <c r="N153" s="108" t="str">
        <f>IFERROR(__xludf.DUMMYFUNCTION("IF($A153="""","""",HYPERLINK(""https://docs.google.com/spreadsheets/d/1LovjCF_yo-DR4S4HXV7VkZLEyCUjv4US6kt_l-v8-GM/edit#gid=0&amp;range=L""&amp;(REGEXREPLACE($A153,"".* #"","""")+1),IF($I153="""",""View!"",""Verify!"")))"),"")</f>
        <v/>
      </c>
    </row>
    <row r="154">
      <c r="A154" s="39"/>
      <c r="B154" s="39"/>
      <c r="C154" s="39"/>
      <c r="D154" s="113"/>
      <c r="E154" s="113"/>
      <c r="F154" s="39"/>
      <c r="G154" s="39"/>
      <c r="H154" s="39"/>
      <c r="I154" s="39"/>
      <c r="J154" s="108"/>
      <c r="K154" s="108" t="str">
        <f t="shared" si="1"/>
        <v/>
      </c>
      <c r="L154" s="39"/>
      <c r="M154" s="108"/>
      <c r="N154" s="108" t="str">
        <f>IFERROR(__xludf.DUMMYFUNCTION("IF($A154="""","""",HYPERLINK(""https://docs.google.com/spreadsheets/d/1LovjCF_yo-DR4S4HXV7VkZLEyCUjv4US6kt_l-v8-GM/edit#gid=0&amp;range=L""&amp;(REGEXREPLACE($A154,"".* #"","""")+1),IF($I154="""",""View!"",""Verify!"")))"),"")</f>
        <v/>
      </c>
    </row>
    <row r="155">
      <c r="A155" s="39"/>
      <c r="B155" s="39"/>
      <c r="C155" s="39"/>
      <c r="D155" s="113"/>
      <c r="E155" s="113"/>
      <c r="F155" s="39"/>
      <c r="G155" s="39"/>
      <c r="H155" s="39"/>
      <c r="I155" s="39"/>
      <c r="J155" s="108"/>
      <c r="K155" s="108" t="str">
        <f t="shared" si="1"/>
        <v/>
      </c>
      <c r="L155" s="39"/>
      <c r="M155" s="108"/>
      <c r="N155" s="108" t="str">
        <f>IFERROR(__xludf.DUMMYFUNCTION("IF($A155="""","""",HYPERLINK(""https://docs.google.com/spreadsheets/d/1LovjCF_yo-DR4S4HXV7VkZLEyCUjv4US6kt_l-v8-GM/edit#gid=0&amp;range=L""&amp;(REGEXREPLACE($A155,"".* #"","""")+1),IF($I155="""",""View!"",""Verify!"")))"),"")</f>
        <v/>
      </c>
    </row>
    <row r="156">
      <c r="A156" s="39"/>
      <c r="B156" s="39"/>
      <c r="C156" s="39"/>
      <c r="D156" s="113"/>
      <c r="E156" s="113"/>
      <c r="F156" s="39"/>
      <c r="G156" s="39"/>
      <c r="H156" s="39"/>
      <c r="I156" s="39"/>
      <c r="J156" s="108"/>
      <c r="K156" s="108" t="str">
        <f t="shared" si="1"/>
        <v/>
      </c>
      <c r="L156" s="39"/>
      <c r="M156" s="108"/>
      <c r="N156" s="108" t="str">
        <f>IFERROR(__xludf.DUMMYFUNCTION("IF($A156="""","""",HYPERLINK(""https://docs.google.com/spreadsheets/d/1LovjCF_yo-DR4S4HXV7VkZLEyCUjv4US6kt_l-v8-GM/edit#gid=0&amp;range=L""&amp;(REGEXREPLACE($A156,"".* #"","""")+1),IF($I156="""",""View!"",""Verify!"")))"),"")</f>
        <v/>
      </c>
    </row>
    <row r="157">
      <c r="A157" s="39"/>
      <c r="B157" s="39"/>
      <c r="C157" s="39"/>
      <c r="D157" s="113"/>
      <c r="E157" s="113"/>
      <c r="F157" s="39"/>
      <c r="G157" s="39"/>
      <c r="H157" s="39"/>
      <c r="I157" s="39"/>
      <c r="J157" s="108"/>
      <c r="K157" s="108" t="str">
        <f t="shared" si="1"/>
        <v/>
      </c>
      <c r="L157" s="39"/>
      <c r="M157" s="108"/>
      <c r="N157" s="108" t="str">
        <f>IFERROR(__xludf.DUMMYFUNCTION("IF($A157="""","""",HYPERLINK(""https://docs.google.com/spreadsheets/d/1LovjCF_yo-DR4S4HXV7VkZLEyCUjv4US6kt_l-v8-GM/edit#gid=0&amp;range=L""&amp;(REGEXREPLACE($A157,"".* #"","""")+1),IF($I157="""",""View!"",""Verify!"")))"),"")</f>
        <v/>
      </c>
    </row>
    <row r="158">
      <c r="A158" s="39"/>
      <c r="B158" s="39"/>
      <c r="C158" s="39"/>
      <c r="D158" s="113"/>
      <c r="E158" s="113"/>
      <c r="F158" s="39"/>
      <c r="G158" s="39"/>
      <c r="H158" s="39"/>
      <c r="I158" s="39"/>
      <c r="J158" s="108"/>
      <c r="K158" s="108" t="str">
        <f t="shared" si="1"/>
        <v/>
      </c>
      <c r="L158" s="39"/>
      <c r="M158" s="108"/>
      <c r="N158" s="108" t="str">
        <f>IFERROR(__xludf.DUMMYFUNCTION("IF($A158="""","""",HYPERLINK(""https://docs.google.com/spreadsheets/d/1LovjCF_yo-DR4S4HXV7VkZLEyCUjv4US6kt_l-v8-GM/edit#gid=0&amp;range=L""&amp;(REGEXREPLACE($A158,"".* #"","""")+1),IF($I158="""",""View!"",""Verify!"")))"),"")</f>
        <v/>
      </c>
    </row>
    <row r="159">
      <c r="A159" s="39"/>
      <c r="B159" s="39"/>
      <c r="C159" s="39"/>
      <c r="D159" s="113"/>
      <c r="E159" s="113"/>
      <c r="F159" s="39"/>
      <c r="G159" s="39"/>
      <c r="H159" s="39"/>
      <c r="I159" s="39"/>
      <c r="J159" s="108"/>
      <c r="K159" s="108" t="str">
        <f t="shared" si="1"/>
        <v/>
      </c>
      <c r="L159" s="39"/>
      <c r="M159" s="108"/>
      <c r="N159" s="108" t="str">
        <f>IFERROR(__xludf.DUMMYFUNCTION("IF($A159="""","""",HYPERLINK(""https://docs.google.com/spreadsheets/d/1LovjCF_yo-DR4S4HXV7VkZLEyCUjv4US6kt_l-v8-GM/edit#gid=0&amp;range=L""&amp;(REGEXREPLACE($A159,"".* #"","""")+1),IF($I159="""",""View!"",""Verify!"")))"),"")</f>
        <v/>
      </c>
    </row>
    <row r="160">
      <c r="A160" s="39"/>
      <c r="B160" s="39"/>
      <c r="C160" s="39"/>
      <c r="D160" s="113"/>
      <c r="E160" s="113"/>
      <c r="F160" s="39"/>
      <c r="G160" s="39"/>
      <c r="H160" s="39"/>
      <c r="I160" s="39"/>
      <c r="J160" s="108"/>
      <c r="K160" s="108" t="str">
        <f t="shared" si="1"/>
        <v/>
      </c>
      <c r="L160" s="39"/>
      <c r="M160" s="108"/>
      <c r="N160" s="108" t="str">
        <f>IFERROR(__xludf.DUMMYFUNCTION("IF($A160="""","""",HYPERLINK(""https://docs.google.com/spreadsheets/d/1LovjCF_yo-DR4S4HXV7VkZLEyCUjv4US6kt_l-v8-GM/edit#gid=0&amp;range=L""&amp;(REGEXREPLACE($A160,"".* #"","""")+1),IF($I160="""",""View!"",""Verify!"")))"),"")</f>
        <v/>
      </c>
    </row>
    <row r="161">
      <c r="A161" s="39"/>
      <c r="B161" s="39"/>
      <c r="C161" s="39"/>
      <c r="D161" s="113"/>
      <c r="E161" s="113"/>
      <c r="F161" s="39"/>
      <c r="G161" s="39"/>
      <c r="H161" s="39"/>
      <c r="I161" s="39"/>
      <c r="J161" s="108"/>
      <c r="K161" s="108" t="str">
        <f t="shared" si="1"/>
        <v/>
      </c>
      <c r="L161" s="39"/>
      <c r="M161" s="108"/>
      <c r="N161" s="108" t="str">
        <f>IFERROR(__xludf.DUMMYFUNCTION("IF($A161="""","""",HYPERLINK(""https://docs.google.com/spreadsheets/d/1LovjCF_yo-DR4S4HXV7VkZLEyCUjv4US6kt_l-v8-GM/edit#gid=0&amp;range=L""&amp;(REGEXREPLACE($A161,"".* #"","""")+1),IF($I161="""",""View!"",""Verify!"")))"),"")</f>
        <v/>
      </c>
    </row>
    <row r="162">
      <c r="A162" s="39"/>
      <c r="B162" s="39"/>
      <c r="C162" s="39"/>
      <c r="D162" s="113"/>
      <c r="E162" s="113"/>
      <c r="F162" s="39"/>
      <c r="G162" s="39"/>
      <c r="H162" s="39"/>
      <c r="I162" s="39"/>
      <c r="J162" s="108"/>
      <c r="K162" s="108" t="str">
        <f t="shared" si="1"/>
        <v/>
      </c>
      <c r="L162" s="39"/>
      <c r="M162" s="108"/>
      <c r="N162" s="108" t="str">
        <f>IFERROR(__xludf.DUMMYFUNCTION("IF($A162="""","""",HYPERLINK(""https://docs.google.com/spreadsheets/d/1LovjCF_yo-DR4S4HXV7VkZLEyCUjv4US6kt_l-v8-GM/edit#gid=0&amp;range=L""&amp;(REGEXREPLACE($A162,"".* #"","""")+1),IF($I162="""",""View!"",""Verify!"")))"),"")</f>
        <v/>
      </c>
    </row>
    <row r="163">
      <c r="A163" s="39"/>
      <c r="B163" s="39"/>
      <c r="C163" s="39"/>
      <c r="D163" s="113"/>
      <c r="E163" s="113"/>
      <c r="F163" s="39"/>
      <c r="G163" s="39"/>
      <c r="H163" s="39"/>
      <c r="I163" s="39"/>
      <c r="J163" s="108"/>
      <c r="K163" s="108" t="str">
        <f t="shared" si="1"/>
        <v/>
      </c>
      <c r="L163" s="39"/>
      <c r="M163" s="108"/>
      <c r="N163" s="108" t="str">
        <f>IFERROR(__xludf.DUMMYFUNCTION("IF($A163="""","""",HYPERLINK(""https://docs.google.com/spreadsheets/d/1LovjCF_yo-DR4S4HXV7VkZLEyCUjv4US6kt_l-v8-GM/edit#gid=0&amp;range=L""&amp;(REGEXREPLACE($A163,"".* #"","""")+1),IF($I163="""",""View!"",""Verify!"")))"),"")</f>
        <v/>
      </c>
    </row>
    <row r="164">
      <c r="A164" s="39"/>
      <c r="B164" s="39"/>
      <c r="C164" s="39"/>
      <c r="D164" s="113"/>
      <c r="E164" s="113"/>
      <c r="F164" s="39"/>
      <c r="G164" s="39"/>
      <c r="H164" s="39"/>
      <c r="I164" s="39"/>
      <c r="J164" s="108"/>
      <c r="K164" s="108" t="str">
        <f t="shared" si="1"/>
        <v/>
      </c>
      <c r="L164" s="39"/>
      <c r="M164" s="108"/>
      <c r="N164" s="108" t="str">
        <f>IFERROR(__xludf.DUMMYFUNCTION("IF($A164="""","""",HYPERLINK(""https://docs.google.com/spreadsheets/d/1LovjCF_yo-DR4S4HXV7VkZLEyCUjv4US6kt_l-v8-GM/edit#gid=0&amp;range=L""&amp;(REGEXREPLACE($A164,"".* #"","""")+1),IF($I164="""",""View!"",""Verify!"")))"),"")</f>
        <v/>
      </c>
    </row>
    <row r="165">
      <c r="A165" s="39"/>
      <c r="B165" s="39"/>
      <c r="C165" s="39"/>
      <c r="D165" s="113"/>
      <c r="E165" s="113"/>
      <c r="F165" s="39"/>
      <c r="G165" s="39"/>
      <c r="H165" s="39"/>
      <c r="I165" s="39"/>
      <c r="J165" s="108"/>
      <c r="K165" s="108" t="str">
        <f t="shared" si="1"/>
        <v/>
      </c>
      <c r="L165" s="39"/>
      <c r="M165" s="108"/>
      <c r="N165" s="108" t="str">
        <f>IFERROR(__xludf.DUMMYFUNCTION("IF($A165="""","""",HYPERLINK(""https://docs.google.com/spreadsheets/d/1LovjCF_yo-DR4S4HXV7VkZLEyCUjv4US6kt_l-v8-GM/edit#gid=0&amp;range=L""&amp;(REGEXREPLACE($A165,"".* #"","""")+1),IF($I165="""",""View!"",""Verify!"")))"),"")</f>
        <v/>
      </c>
    </row>
    <row r="166">
      <c r="A166" s="39"/>
      <c r="B166" s="39"/>
      <c r="C166" s="39"/>
      <c r="D166" s="113"/>
      <c r="E166" s="113"/>
      <c r="F166" s="39"/>
      <c r="G166" s="39"/>
      <c r="H166" s="39"/>
      <c r="I166" s="39"/>
      <c r="J166" s="108"/>
      <c r="K166" s="108" t="str">
        <f t="shared" si="1"/>
        <v/>
      </c>
      <c r="L166" s="39"/>
      <c r="M166" s="108"/>
      <c r="N166" s="108" t="str">
        <f>IFERROR(__xludf.DUMMYFUNCTION("IF($A166="""","""",HYPERLINK(""https://docs.google.com/spreadsheets/d/1LovjCF_yo-DR4S4HXV7VkZLEyCUjv4US6kt_l-v8-GM/edit#gid=0&amp;range=L""&amp;(REGEXREPLACE($A166,"".* #"","""")+1),IF($I166="""",""View!"",""Verify!"")))"),"")</f>
        <v/>
      </c>
    </row>
    <row r="167">
      <c r="A167" s="39"/>
      <c r="B167" s="39"/>
      <c r="C167" s="39"/>
      <c r="D167" s="113"/>
      <c r="E167" s="113"/>
      <c r="F167" s="39"/>
      <c r="G167" s="39"/>
      <c r="H167" s="39"/>
      <c r="I167" s="39"/>
      <c r="J167" s="108"/>
      <c r="K167" s="108" t="str">
        <f t="shared" si="1"/>
        <v/>
      </c>
      <c r="L167" s="39"/>
      <c r="M167" s="108"/>
      <c r="N167" s="108" t="str">
        <f>IFERROR(__xludf.DUMMYFUNCTION("IF($A167="""","""",HYPERLINK(""https://docs.google.com/spreadsheets/d/1LovjCF_yo-DR4S4HXV7VkZLEyCUjv4US6kt_l-v8-GM/edit#gid=0&amp;range=L""&amp;(REGEXREPLACE($A167,"".* #"","""")+1),IF($I167="""",""View!"",""Verify!"")))"),"")</f>
        <v/>
      </c>
    </row>
    <row r="168">
      <c r="A168" s="39"/>
      <c r="B168" s="39"/>
      <c r="C168" s="39"/>
      <c r="D168" s="113"/>
      <c r="E168" s="113"/>
      <c r="F168" s="39"/>
      <c r="G168" s="39"/>
      <c r="H168" s="39"/>
      <c r="I168" s="39"/>
      <c r="J168" s="108"/>
      <c r="K168" s="108" t="str">
        <f t="shared" si="1"/>
        <v/>
      </c>
      <c r="L168" s="39"/>
      <c r="M168" s="108"/>
      <c r="N168" s="108" t="str">
        <f>IFERROR(__xludf.DUMMYFUNCTION("IF($A168="""","""",HYPERLINK(""https://docs.google.com/spreadsheets/d/1LovjCF_yo-DR4S4HXV7VkZLEyCUjv4US6kt_l-v8-GM/edit#gid=0&amp;range=L""&amp;(REGEXREPLACE($A168,"".* #"","""")+1),IF($I168="""",""View!"",""Verify!"")))"),"")</f>
        <v/>
      </c>
    </row>
    <row r="169">
      <c r="A169" s="39"/>
      <c r="B169" s="39"/>
      <c r="C169" s="39"/>
      <c r="D169" s="113"/>
      <c r="E169" s="113"/>
      <c r="F169" s="39"/>
      <c r="G169" s="39"/>
      <c r="H169" s="39"/>
      <c r="I169" s="39"/>
      <c r="J169" s="108"/>
      <c r="K169" s="108" t="str">
        <f t="shared" si="1"/>
        <v/>
      </c>
      <c r="L169" s="39"/>
      <c r="M169" s="108"/>
      <c r="N169" s="108" t="str">
        <f>IFERROR(__xludf.DUMMYFUNCTION("IF($A169="""","""",HYPERLINK(""https://docs.google.com/spreadsheets/d/1LovjCF_yo-DR4S4HXV7VkZLEyCUjv4US6kt_l-v8-GM/edit#gid=0&amp;range=L""&amp;(REGEXREPLACE($A169,"".* #"","""")+1),IF($I169="""",""View!"",""Verify!"")))"),"")</f>
        <v/>
      </c>
    </row>
    <row r="170">
      <c r="A170" s="39"/>
      <c r="B170" s="39"/>
      <c r="C170" s="39"/>
      <c r="D170" s="113"/>
      <c r="E170" s="113"/>
      <c r="F170" s="39"/>
      <c r="G170" s="39"/>
      <c r="H170" s="39"/>
      <c r="I170" s="39"/>
      <c r="J170" s="108"/>
      <c r="K170" s="108" t="str">
        <f t="shared" si="1"/>
        <v/>
      </c>
      <c r="L170" s="39"/>
      <c r="M170" s="108"/>
      <c r="N170" s="108" t="str">
        <f>IFERROR(__xludf.DUMMYFUNCTION("IF($A170="""","""",HYPERLINK(""https://docs.google.com/spreadsheets/d/1LovjCF_yo-DR4S4HXV7VkZLEyCUjv4US6kt_l-v8-GM/edit#gid=0&amp;range=L""&amp;(REGEXREPLACE($A170,"".* #"","""")+1),IF($I170="""",""View!"",""Verify!"")))"),"")</f>
        <v/>
      </c>
    </row>
    <row r="171">
      <c r="A171" s="39"/>
      <c r="B171" s="39"/>
      <c r="C171" s="39"/>
      <c r="D171" s="113"/>
      <c r="E171" s="113"/>
      <c r="F171" s="39"/>
      <c r="G171" s="39"/>
      <c r="H171" s="39"/>
      <c r="I171" s="39"/>
      <c r="J171" s="108"/>
      <c r="K171" s="108" t="str">
        <f t="shared" si="1"/>
        <v/>
      </c>
      <c r="L171" s="39"/>
      <c r="M171" s="108"/>
      <c r="N171" s="108" t="str">
        <f>IFERROR(__xludf.DUMMYFUNCTION("IF($A171="""","""",HYPERLINK(""https://docs.google.com/spreadsheets/d/1LovjCF_yo-DR4S4HXV7VkZLEyCUjv4US6kt_l-v8-GM/edit#gid=0&amp;range=L""&amp;(REGEXREPLACE($A171,"".* #"","""")+1),IF($I171="""",""View!"",""Verify!"")))"),"")</f>
        <v/>
      </c>
    </row>
    <row r="172">
      <c r="A172" s="39"/>
      <c r="B172" s="39"/>
      <c r="C172" s="39"/>
      <c r="D172" s="113"/>
      <c r="E172" s="113"/>
      <c r="F172" s="39"/>
      <c r="G172" s="39"/>
      <c r="H172" s="39"/>
      <c r="I172" s="39"/>
      <c r="J172" s="108"/>
      <c r="K172" s="108" t="str">
        <f t="shared" si="1"/>
        <v/>
      </c>
      <c r="L172" s="39"/>
      <c r="M172" s="108"/>
      <c r="N172" s="108" t="str">
        <f>IFERROR(__xludf.DUMMYFUNCTION("IF($A172="""","""",HYPERLINK(""https://docs.google.com/spreadsheets/d/1LovjCF_yo-DR4S4HXV7VkZLEyCUjv4US6kt_l-v8-GM/edit#gid=0&amp;range=L""&amp;(REGEXREPLACE($A172,"".* #"","""")+1),IF($I172="""",""View!"",""Verify!"")))"),"")</f>
        <v/>
      </c>
    </row>
    <row r="173">
      <c r="A173" s="39"/>
      <c r="B173" s="39"/>
      <c r="C173" s="39"/>
      <c r="D173" s="113"/>
      <c r="E173" s="113"/>
      <c r="F173" s="39"/>
      <c r="G173" s="39"/>
      <c r="H173" s="39"/>
      <c r="I173" s="39"/>
      <c r="J173" s="108"/>
      <c r="K173" s="108" t="str">
        <f t="shared" si="1"/>
        <v/>
      </c>
      <c r="L173" s="39"/>
      <c r="M173" s="108"/>
      <c r="N173" s="108" t="str">
        <f>IFERROR(__xludf.DUMMYFUNCTION("IF($A173="""","""",HYPERLINK(""https://docs.google.com/spreadsheets/d/1LovjCF_yo-DR4S4HXV7VkZLEyCUjv4US6kt_l-v8-GM/edit#gid=0&amp;range=L""&amp;(REGEXREPLACE($A173,"".* #"","""")+1),IF($I173="""",""View!"",""Verify!"")))"),"")</f>
        <v/>
      </c>
    </row>
    <row r="174">
      <c r="A174" s="39"/>
      <c r="B174" s="39"/>
      <c r="C174" s="39"/>
      <c r="D174" s="113"/>
      <c r="E174" s="113"/>
      <c r="F174" s="39"/>
      <c r="G174" s="39"/>
      <c r="H174" s="39"/>
      <c r="I174" s="39"/>
      <c r="J174" s="108"/>
      <c r="K174" s="108" t="str">
        <f t="shared" si="1"/>
        <v/>
      </c>
      <c r="L174" s="39"/>
      <c r="M174" s="108"/>
      <c r="N174" s="108" t="str">
        <f>IFERROR(__xludf.DUMMYFUNCTION("IF($A174="""","""",HYPERLINK(""https://docs.google.com/spreadsheets/d/1LovjCF_yo-DR4S4HXV7VkZLEyCUjv4US6kt_l-v8-GM/edit#gid=0&amp;range=L""&amp;(REGEXREPLACE($A174,"".* #"","""")+1),IF($I174="""",""View!"",""Verify!"")))"),"")</f>
        <v/>
      </c>
    </row>
    <row r="175">
      <c r="A175" s="39"/>
      <c r="B175" s="39"/>
      <c r="C175" s="39"/>
      <c r="D175" s="113"/>
      <c r="E175" s="113"/>
      <c r="F175" s="39"/>
      <c r="G175" s="39"/>
      <c r="H175" s="39"/>
      <c r="I175" s="39"/>
      <c r="J175" s="108"/>
      <c r="K175" s="108"/>
      <c r="L175" s="39"/>
      <c r="M175" s="108"/>
      <c r="N175" s="108" t="str">
        <f>IFERROR(__xludf.DUMMYFUNCTION("IF($A175="""","""",HYPERLINK(""https://docs.google.com/spreadsheets/d/1LovjCF_yo-DR4S4HXV7VkZLEyCUjv4US6kt_l-v8-GM/edit#gid=0&amp;range=L""&amp;(REGEXREPLACE($A175,"".* #"","""")+1),IF($I175="""",""View!"",""Verify!"")))"),"")</f>
        <v/>
      </c>
    </row>
    <row r="176">
      <c r="A176" s="39"/>
      <c r="B176" s="39"/>
      <c r="C176" s="39"/>
      <c r="D176" s="113"/>
      <c r="E176" s="113"/>
      <c r="F176" s="39"/>
      <c r="G176" s="39"/>
      <c r="H176" s="39"/>
      <c r="I176" s="39"/>
      <c r="J176" s="108"/>
      <c r="K176" s="108"/>
      <c r="L176" s="39"/>
      <c r="M176" s="108"/>
      <c r="N176" s="108" t="str">
        <f>IFERROR(__xludf.DUMMYFUNCTION("IF($A176="""","""",HYPERLINK(""https://docs.google.com/spreadsheets/d/1LovjCF_yo-DR4S4HXV7VkZLEyCUjv4US6kt_l-v8-GM/edit#gid=0&amp;range=L""&amp;(REGEXREPLACE($A176,"".* #"","""")+1),IF($I176="""",""View!"",""Verify!"")))"),"")</f>
        <v/>
      </c>
    </row>
    <row r="177">
      <c r="A177" s="39"/>
      <c r="B177" s="39"/>
      <c r="C177" s="39"/>
      <c r="D177" s="113"/>
      <c r="E177" s="113"/>
      <c r="F177" s="39"/>
      <c r="G177" s="39"/>
      <c r="H177" s="39"/>
      <c r="I177" s="39"/>
      <c r="J177" s="108"/>
      <c r="K177" s="108"/>
      <c r="L177" s="39"/>
      <c r="M177" s="108"/>
      <c r="N177" s="108" t="str">
        <f>IFERROR(__xludf.DUMMYFUNCTION("IF($A177="""","""",HYPERLINK(""https://docs.google.com/spreadsheets/d/1LovjCF_yo-DR4S4HXV7VkZLEyCUjv4US6kt_l-v8-GM/edit#gid=0&amp;range=L""&amp;(REGEXREPLACE($A177,"".* #"","""")+1),IF($I177="""",""View!"",""Verify!"")))"),"")</f>
        <v/>
      </c>
    </row>
    <row r="178">
      <c r="A178" s="39"/>
      <c r="B178" s="39"/>
      <c r="C178" s="39"/>
      <c r="D178" s="113"/>
      <c r="E178" s="113"/>
      <c r="F178" s="39"/>
      <c r="G178" s="39"/>
      <c r="H178" s="39"/>
      <c r="I178" s="39"/>
      <c r="J178" s="108"/>
      <c r="K178" s="108"/>
      <c r="L178" s="39"/>
      <c r="M178" s="108"/>
      <c r="N178" s="108" t="str">
        <f>IFERROR(__xludf.DUMMYFUNCTION("IF($A178="""","""",HYPERLINK(""https://docs.google.com/spreadsheets/d/1LovjCF_yo-DR4S4HXV7VkZLEyCUjv4US6kt_l-v8-GM/edit#gid=0&amp;range=L""&amp;(REGEXREPLACE($A178,"".* #"","""")+1),IF($I178="""",""View!"",""Verify!"")))"),"")</f>
        <v/>
      </c>
    </row>
    <row r="179">
      <c r="A179" s="39"/>
      <c r="B179" s="39"/>
      <c r="C179" s="39"/>
      <c r="D179" s="113"/>
      <c r="E179" s="113"/>
      <c r="F179" s="39"/>
      <c r="G179" s="39"/>
      <c r="H179" s="39"/>
      <c r="I179" s="39"/>
      <c r="J179" s="108"/>
      <c r="K179" s="108"/>
      <c r="L179" s="39"/>
      <c r="M179" s="108"/>
      <c r="N179" s="108" t="str">
        <f>IFERROR(__xludf.DUMMYFUNCTION("IF($A179="""","""",HYPERLINK(""https://docs.google.com/spreadsheets/d/1LovjCF_yo-DR4S4HXV7VkZLEyCUjv4US6kt_l-v8-GM/edit#gid=0&amp;range=L""&amp;(REGEXREPLACE($A179,"".* #"","""")+1),IF($I179="""",""View!"",""Verify!"")))"),"")</f>
        <v/>
      </c>
    </row>
    <row r="180">
      <c r="A180" s="39"/>
      <c r="B180" s="39"/>
      <c r="C180" s="39"/>
      <c r="D180" s="113"/>
      <c r="E180" s="113"/>
      <c r="F180" s="39"/>
      <c r="G180" s="39"/>
      <c r="H180" s="39"/>
      <c r="I180" s="39"/>
      <c r="J180" s="108"/>
      <c r="K180" s="108"/>
      <c r="L180" s="39"/>
      <c r="M180" s="108"/>
      <c r="N180" s="108" t="str">
        <f>IFERROR(__xludf.DUMMYFUNCTION("IF($A180="""","""",HYPERLINK(""https://docs.google.com/spreadsheets/d/1LovjCF_yo-DR4S4HXV7VkZLEyCUjv4US6kt_l-v8-GM/edit#gid=0&amp;range=L""&amp;(REGEXREPLACE($A180,"".* #"","""")+1),IF($I180="""",""View!"",""Verify!"")))"),"")</f>
        <v/>
      </c>
    </row>
    <row r="181">
      <c r="A181" s="39"/>
      <c r="B181" s="39"/>
      <c r="C181" s="39"/>
      <c r="D181" s="113"/>
      <c r="E181" s="113"/>
      <c r="F181" s="39"/>
      <c r="G181" s="39"/>
      <c r="H181" s="39"/>
      <c r="I181" s="39"/>
      <c r="J181" s="108"/>
      <c r="K181" s="108"/>
      <c r="L181" s="39"/>
      <c r="M181" s="108"/>
      <c r="N181" s="108" t="str">
        <f>IFERROR(__xludf.DUMMYFUNCTION("IF($A181="""","""",HYPERLINK(""https://docs.google.com/spreadsheets/d/1LovjCF_yo-DR4S4HXV7VkZLEyCUjv4US6kt_l-v8-GM/edit#gid=0&amp;range=L""&amp;(REGEXREPLACE($A181,"".* #"","""")+1),IF($I181="""",""View!"",""Verify!"")))"),"")</f>
        <v/>
      </c>
    </row>
    <row r="182">
      <c r="A182" s="39"/>
      <c r="B182" s="39"/>
      <c r="C182" s="39"/>
      <c r="D182" s="113"/>
      <c r="E182" s="113"/>
      <c r="F182" s="39"/>
      <c r="G182" s="39"/>
      <c r="H182" s="39"/>
      <c r="I182" s="39"/>
      <c r="J182" s="108"/>
      <c r="K182" s="108"/>
      <c r="L182" s="39"/>
      <c r="M182" s="108"/>
      <c r="N182" s="108" t="str">
        <f>IFERROR(__xludf.DUMMYFUNCTION("IF($A182="""","""",HYPERLINK(""https://docs.google.com/spreadsheets/d/1LovjCF_yo-DR4S4HXV7VkZLEyCUjv4US6kt_l-v8-GM/edit#gid=0&amp;range=L""&amp;(REGEXREPLACE($A182,"".* #"","""")+1),IF($I182="""",""View!"",""Verify!"")))"),"")</f>
        <v/>
      </c>
    </row>
    <row r="183">
      <c r="A183" s="39"/>
      <c r="B183" s="39"/>
      <c r="C183" s="39"/>
      <c r="D183" s="113"/>
      <c r="E183" s="113"/>
      <c r="F183" s="39"/>
      <c r="G183" s="39"/>
      <c r="H183" s="39"/>
      <c r="I183" s="39"/>
      <c r="J183" s="108"/>
      <c r="K183" s="108"/>
      <c r="L183" s="39"/>
      <c r="M183" s="108"/>
      <c r="N183" s="108" t="str">
        <f>IFERROR(__xludf.DUMMYFUNCTION("IF($A183="""","""",HYPERLINK(""https://docs.google.com/spreadsheets/d/1LovjCF_yo-DR4S4HXV7VkZLEyCUjv4US6kt_l-v8-GM/edit#gid=0&amp;range=L""&amp;(REGEXREPLACE($A183,"".* #"","""")+1),IF($I183="""",""View!"",""Verify!"")))"),"")</f>
        <v/>
      </c>
    </row>
    <row r="184">
      <c r="A184" s="39"/>
      <c r="B184" s="39"/>
      <c r="C184" s="39"/>
      <c r="D184" s="113"/>
      <c r="E184" s="113"/>
      <c r="F184" s="39"/>
      <c r="G184" s="39"/>
      <c r="H184" s="39"/>
      <c r="I184" s="39"/>
      <c r="J184" s="108"/>
      <c r="K184" s="108"/>
      <c r="L184" s="39"/>
      <c r="M184" s="108"/>
      <c r="N184" s="108" t="str">
        <f>IFERROR(__xludf.DUMMYFUNCTION("IF($A184="""","""",HYPERLINK(""https://docs.google.com/spreadsheets/d/1LovjCF_yo-DR4S4HXV7VkZLEyCUjv4US6kt_l-v8-GM/edit#gid=0&amp;range=L""&amp;(REGEXREPLACE($A184,"".* #"","""")+1),IF($I184="""",""View!"",""Verify!"")))"),"")</f>
        <v/>
      </c>
    </row>
    <row r="185">
      <c r="A185" s="39"/>
      <c r="B185" s="39"/>
      <c r="C185" s="39"/>
      <c r="D185" s="113"/>
      <c r="E185" s="113"/>
      <c r="F185" s="39"/>
      <c r="G185" s="39"/>
      <c r="H185" s="39"/>
      <c r="I185" s="39"/>
      <c r="J185" s="108"/>
      <c r="K185" s="108"/>
      <c r="L185" s="39"/>
      <c r="M185" s="108"/>
      <c r="N185" s="108" t="str">
        <f>IFERROR(__xludf.DUMMYFUNCTION("IF($A185="""","""",HYPERLINK(""https://docs.google.com/spreadsheets/d/1LovjCF_yo-DR4S4HXV7VkZLEyCUjv4US6kt_l-v8-GM/edit#gid=0&amp;range=L""&amp;(REGEXREPLACE($A185,"".* #"","""")+1),IF($I185="""",""View!"",""Verify!"")))"),"")</f>
        <v/>
      </c>
    </row>
    <row r="186">
      <c r="A186" s="39"/>
      <c r="B186" s="39"/>
      <c r="C186" s="39"/>
      <c r="D186" s="113"/>
      <c r="E186" s="113"/>
      <c r="F186" s="39"/>
      <c r="G186" s="39"/>
      <c r="H186" s="39"/>
      <c r="I186" s="39"/>
      <c r="J186" s="108"/>
      <c r="K186" s="108"/>
      <c r="L186" s="39"/>
      <c r="M186" s="108"/>
      <c r="N186" s="108" t="str">
        <f>IFERROR(__xludf.DUMMYFUNCTION("IF($A186="""","""",HYPERLINK(""https://docs.google.com/spreadsheets/d/1LovjCF_yo-DR4S4HXV7VkZLEyCUjv4US6kt_l-v8-GM/edit#gid=0&amp;range=L""&amp;(REGEXREPLACE($A186,"".* #"","""")+1),IF($I186="""",""View!"",""Verify!"")))"),"")</f>
        <v/>
      </c>
    </row>
    <row r="187">
      <c r="A187" s="39"/>
      <c r="B187" s="39"/>
      <c r="C187" s="39"/>
      <c r="D187" s="113"/>
      <c r="E187" s="113"/>
      <c r="F187" s="39"/>
      <c r="G187" s="39"/>
      <c r="H187" s="39"/>
      <c r="I187" s="39"/>
      <c r="J187" s="108"/>
      <c r="K187" s="108"/>
      <c r="L187" s="39"/>
      <c r="M187" s="108"/>
      <c r="N187" s="108" t="str">
        <f>IFERROR(__xludf.DUMMYFUNCTION("IF($A187="""","""",HYPERLINK(""https://docs.google.com/spreadsheets/d/1LovjCF_yo-DR4S4HXV7VkZLEyCUjv4US6kt_l-v8-GM/edit#gid=0&amp;range=L""&amp;(REGEXREPLACE($A187,"".* #"","""")+1),IF($I187="""",""View!"",""Verify!"")))"),"")</f>
        <v/>
      </c>
    </row>
    <row r="188">
      <c r="A188" s="39"/>
      <c r="B188" s="39"/>
      <c r="C188" s="39"/>
      <c r="D188" s="113"/>
      <c r="E188" s="113"/>
      <c r="F188" s="39"/>
      <c r="G188" s="39"/>
      <c r="H188" s="39"/>
      <c r="I188" s="39"/>
      <c r="J188" s="108"/>
      <c r="K188" s="108"/>
      <c r="L188" s="39"/>
      <c r="M188" s="108"/>
      <c r="N188" s="108" t="str">
        <f>IFERROR(__xludf.DUMMYFUNCTION("IF($A188="""","""",HYPERLINK(""https://docs.google.com/spreadsheets/d/1LovjCF_yo-DR4S4HXV7VkZLEyCUjv4US6kt_l-v8-GM/edit#gid=0&amp;range=L""&amp;(REGEXREPLACE($A188,"".* #"","""")+1),IF($I188="""",""View!"",""Verify!"")))"),"")</f>
        <v/>
      </c>
    </row>
    <row r="189">
      <c r="A189" s="39"/>
      <c r="B189" s="39"/>
      <c r="C189" s="39"/>
      <c r="D189" s="113"/>
      <c r="E189" s="113"/>
      <c r="F189" s="39"/>
      <c r="G189" s="39"/>
      <c r="H189" s="39"/>
      <c r="I189" s="39"/>
      <c r="J189" s="108"/>
      <c r="K189" s="108"/>
      <c r="L189" s="39"/>
      <c r="M189" s="108"/>
      <c r="N189" s="108" t="str">
        <f>IFERROR(__xludf.DUMMYFUNCTION("IF($A189="""","""",HYPERLINK(""https://docs.google.com/spreadsheets/d/1LovjCF_yo-DR4S4HXV7VkZLEyCUjv4US6kt_l-v8-GM/edit#gid=0&amp;range=L""&amp;(REGEXREPLACE($A189,"".* #"","""")+1),IF($I189="""",""View!"",""Verify!"")))"),"")</f>
        <v/>
      </c>
    </row>
    <row r="190">
      <c r="A190" s="39"/>
      <c r="B190" s="39"/>
      <c r="C190" s="39"/>
      <c r="D190" s="113"/>
      <c r="E190" s="113"/>
      <c r="F190" s="39"/>
      <c r="G190" s="39"/>
      <c r="H190" s="39"/>
      <c r="I190" s="39"/>
      <c r="J190" s="108"/>
      <c r="K190" s="108"/>
      <c r="L190" s="39"/>
      <c r="M190" s="108"/>
      <c r="N190" s="108" t="str">
        <f>IFERROR(__xludf.DUMMYFUNCTION("IF($A190="""","""",HYPERLINK(""https://docs.google.com/spreadsheets/d/1LovjCF_yo-DR4S4HXV7VkZLEyCUjv4US6kt_l-v8-GM/edit#gid=0&amp;range=L""&amp;(REGEXREPLACE($A190,"".* #"","""")+1),IF($I190="""",""View!"",""Verify!"")))"),"")</f>
        <v/>
      </c>
    </row>
    <row r="191">
      <c r="A191" s="39"/>
      <c r="B191" s="39"/>
      <c r="C191" s="39"/>
      <c r="D191" s="113"/>
      <c r="E191" s="113"/>
      <c r="F191" s="39"/>
      <c r="G191" s="39"/>
      <c r="H191" s="39"/>
      <c r="I191" s="39"/>
      <c r="J191" s="108"/>
      <c r="K191" s="108"/>
      <c r="L191" s="39"/>
      <c r="M191" s="108"/>
      <c r="N191" s="108" t="str">
        <f>IFERROR(__xludf.DUMMYFUNCTION("IF($A191="""","""",HYPERLINK(""https://docs.google.com/spreadsheets/d/1LovjCF_yo-DR4S4HXV7VkZLEyCUjv4US6kt_l-v8-GM/edit#gid=0&amp;range=L""&amp;(REGEXREPLACE($A191,"".* #"","""")+1),IF($I191="""",""View!"",""Verify!"")))"),"")</f>
        <v/>
      </c>
    </row>
    <row r="192">
      <c r="A192" s="39"/>
      <c r="B192" s="39"/>
      <c r="C192" s="39"/>
      <c r="D192" s="113"/>
      <c r="E192" s="113"/>
      <c r="F192" s="39"/>
      <c r="G192" s="39"/>
      <c r="H192" s="39"/>
      <c r="I192" s="39"/>
      <c r="J192" s="108"/>
      <c r="K192" s="108"/>
      <c r="L192" s="39"/>
      <c r="M192" s="108"/>
      <c r="N192" s="108" t="str">
        <f>IFERROR(__xludf.DUMMYFUNCTION("IF($A192="""","""",HYPERLINK(""https://docs.google.com/spreadsheets/d/1LovjCF_yo-DR4S4HXV7VkZLEyCUjv4US6kt_l-v8-GM/edit#gid=0&amp;range=L""&amp;(REGEXREPLACE($A192,"".* #"","""")+1),IF($I192="""",""View!"",""Verify!"")))"),"")</f>
        <v/>
      </c>
    </row>
    <row r="193">
      <c r="A193" s="39"/>
      <c r="B193" s="39"/>
      <c r="C193" s="39"/>
      <c r="D193" s="113"/>
      <c r="E193" s="113"/>
      <c r="F193" s="39"/>
      <c r="G193" s="39"/>
      <c r="H193" s="39"/>
      <c r="I193" s="39"/>
      <c r="J193" s="108"/>
      <c r="K193" s="108"/>
      <c r="L193" s="39"/>
      <c r="M193" s="108"/>
      <c r="N193" s="108" t="str">
        <f>IFERROR(__xludf.DUMMYFUNCTION("IF($A193="""","""",HYPERLINK(""https://docs.google.com/spreadsheets/d/1LovjCF_yo-DR4S4HXV7VkZLEyCUjv4US6kt_l-v8-GM/edit#gid=0&amp;range=L""&amp;(REGEXREPLACE($A193,"".* #"","""")+1),IF($I193="""",""View!"",""Verify!"")))"),"")</f>
        <v/>
      </c>
    </row>
    <row r="194">
      <c r="A194" s="39"/>
      <c r="B194" s="39"/>
      <c r="C194" s="39"/>
      <c r="D194" s="113"/>
      <c r="E194" s="113"/>
      <c r="F194" s="39"/>
      <c r="G194" s="39"/>
      <c r="H194" s="39"/>
      <c r="I194" s="39"/>
      <c r="J194" s="108"/>
      <c r="K194" s="108"/>
      <c r="L194" s="39"/>
      <c r="M194" s="108"/>
      <c r="N194" s="108" t="str">
        <f>IFERROR(__xludf.DUMMYFUNCTION("IF($A194="""","""",HYPERLINK(""https://docs.google.com/spreadsheets/d/1LovjCF_yo-DR4S4HXV7VkZLEyCUjv4US6kt_l-v8-GM/edit#gid=0&amp;range=L""&amp;(REGEXREPLACE($A194,"".* #"","""")+1),IF($I194="""",""View!"",""Verify!"")))"),"")</f>
        <v/>
      </c>
    </row>
    <row r="195">
      <c r="A195" s="39"/>
      <c r="B195" s="39"/>
      <c r="C195" s="39"/>
      <c r="D195" s="113"/>
      <c r="E195" s="113"/>
      <c r="F195" s="39"/>
      <c r="G195" s="39"/>
      <c r="H195" s="39"/>
      <c r="I195" s="39"/>
      <c r="J195" s="108"/>
      <c r="K195" s="108"/>
      <c r="L195" s="39"/>
      <c r="M195" s="108"/>
      <c r="N195" s="108" t="str">
        <f>IFERROR(__xludf.DUMMYFUNCTION("IF($A195="""","""",HYPERLINK(""https://docs.google.com/spreadsheets/d/1LovjCF_yo-DR4S4HXV7VkZLEyCUjv4US6kt_l-v8-GM/edit#gid=0&amp;range=L""&amp;(REGEXREPLACE($A195,"".* #"","""")+1),IF($I195="""",""View!"",""Verify!"")))"),"")</f>
        <v/>
      </c>
    </row>
    <row r="196">
      <c r="A196" s="39"/>
      <c r="B196" s="39"/>
      <c r="C196" s="39"/>
      <c r="D196" s="113"/>
      <c r="E196" s="113"/>
      <c r="F196" s="39"/>
      <c r="G196" s="39"/>
      <c r="H196" s="39"/>
      <c r="I196" s="39"/>
      <c r="J196" s="108"/>
      <c r="K196" s="108"/>
      <c r="L196" s="39"/>
      <c r="M196" s="108"/>
      <c r="N196" s="108" t="str">
        <f>IFERROR(__xludf.DUMMYFUNCTION("IF($A196="""","""",HYPERLINK(""https://docs.google.com/spreadsheets/d/1LovjCF_yo-DR4S4HXV7VkZLEyCUjv4US6kt_l-v8-GM/edit#gid=0&amp;range=L""&amp;(REGEXREPLACE($A196,"".* #"","""")+1),IF($I196="""",""View!"",""Verify!"")))"),"")</f>
        <v/>
      </c>
    </row>
    <row r="197">
      <c r="A197" s="39"/>
      <c r="B197" s="39"/>
      <c r="C197" s="39"/>
      <c r="D197" s="113"/>
      <c r="E197" s="113"/>
      <c r="F197" s="39"/>
      <c r="G197" s="39"/>
      <c r="H197" s="39"/>
      <c r="I197" s="39"/>
      <c r="J197" s="108"/>
      <c r="K197" s="108"/>
      <c r="L197" s="39"/>
      <c r="M197" s="108"/>
      <c r="N197" s="108" t="str">
        <f>IFERROR(__xludf.DUMMYFUNCTION("IF($A197="""","""",HYPERLINK(""https://docs.google.com/spreadsheets/d/1LovjCF_yo-DR4S4HXV7VkZLEyCUjv4US6kt_l-v8-GM/edit#gid=0&amp;range=L""&amp;(REGEXREPLACE($A197,"".* #"","""")+1),IF($I197="""",""View!"",""Verify!"")))"),"")</f>
        <v/>
      </c>
    </row>
    <row r="198">
      <c r="A198" s="39"/>
      <c r="B198" s="39"/>
      <c r="C198" s="39"/>
      <c r="D198" s="113"/>
      <c r="E198" s="113"/>
      <c r="F198" s="39"/>
      <c r="G198" s="39"/>
      <c r="H198" s="39"/>
      <c r="I198" s="39"/>
      <c r="J198" s="108"/>
      <c r="K198" s="108"/>
      <c r="L198" s="39"/>
      <c r="M198" s="108"/>
      <c r="N198" s="108" t="str">
        <f>IFERROR(__xludf.DUMMYFUNCTION("IF($A198="""","""",HYPERLINK(""https://docs.google.com/spreadsheets/d/1LovjCF_yo-DR4S4HXV7VkZLEyCUjv4US6kt_l-v8-GM/edit#gid=0&amp;range=L""&amp;(REGEXREPLACE($A198,"".* #"","""")+1),IF($I198="""",""View!"",""Verify!"")))"),"")</f>
        <v/>
      </c>
    </row>
    <row r="199">
      <c r="A199" s="39"/>
      <c r="B199" s="39"/>
      <c r="C199" s="39"/>
      <c r="D199" s="113"/>
      <c r="E199" s="113"/>
      <c r="F199" s="39"/>
      <c r="G199" s="39"/>
      <c r="H199" s="39"/>
      <c r="I199" s="39"/>
      <c r="J199" s="108"/>
      <c r="K199" s="108"/>
      <c r="L199" s="39"/>
      <c r="M199" s="108"/>
      <c r="N199" s="108" t="str">
        <f>IFERROR(__xludf.DUMMYFUNCTION("IF($A199="""","""",HYPERLINK(""https://docs.google.com/spreadsheets/d/1LovjCF_yo-DR4S4HXV7VkZLEyCUjv4US6kt_l-v8-GM/edit#gid=0&amp;range=L""&amp;(REGEXREPLACE($A199,"".* #"","""")+1),IF($I199="""",""View!"",""Verify!"")))"),"")</f>
        <v/>
      </c>
    </row>
    <row r="200">
      <c r="A200" s="39"/>
      <c r="B200" s="39"/>
      <c r="C200" s="39"/>
      <c r="D200" s="113"/>
      <c r="E200" s="113"/>
      <c r="F200" s="39"/>
      <c r="G200" s="39"/>
      <c r="H200" s="39"/>
      <c r="I200" s="39"/>
      <c r="J200" s="108"/>
      <c r="K200" s="108"/>
      <c r="L200" s="39"/>
      <c r="M200" s="108"/>
      <c r="N200" s="108" t="str">
        <f>IFERROR(__xludf.DUMMYFUNCTION("IF($A200="""","""",HYPERLINK(""https://docs.google.com/spreadsheets/d/1LovjCF_yo-DR4S4HXV7VkZLEyCUjv4US6kt_l-v8-GM/edit#gid=0&amp;range=L""&amp;(REGEXREPLACE($A200,"".* #"","""")+1),IF($I200="""",""View!"",""Verify!"")))"),"")</f>
        <v/>
      </c>
    </row>
    <row r="201">
      <c r="A201" s="39"/>
      <c r="B201" s="39"/>
      <c r="C201" s="39"/>
      <c r="D201" s="113"/>
      <c r="E201" s="113"/>
      <c r="F201" s="39"/>
      <c r="G201" s="39"/>
      <c r="H201" s="39"/>
      <c r="I201" s="39"/>
      <c r="J201" s="108"/>
      <c r="K201" s="108"/>
      <c r="L201" s="39"/>
      <c r="M201" s="108"/>
      <c r="N201" s="108" t="str">
        <f>IFERROR(__xludf.DUMMYFUNCTION("IF($A201="""","""",HYPERLINK(""https://docs.google.com/spreadsheets/d/1LovjCF_yo-DR4S4HXV7VkZLEyCUjv4US6kt_l-v8-GM/edit#gid=0&amp;range=L""&amp;(REGEXREPLACE($A201,"".* #"","""")+1),IF($I201="""",""View!"",""Verify!"")))"),"")</f>
        <v/>
      </c>
    </row>
    <row r="202">
      <c r="A202" s="39"/>
      <c r="B202" s="39"/>
      <c r="C202" s="39"/>
      <c r="D202" s="113"/>
      <c r="E202" s="113"/>
      <c r="F202" s="39"/>
      <c r="G202" s="39"/>
      <c r="H202" s="39"/>
      <c r="I202" s="39"/>
      <c r="J202" s="108"/>
      <c r="K202" s="108"/>
      <c r="L202" s="39"/>
      <c r="M202" s="108"/>
      <c r="N202" s="108" t="str">
        <f>IFERROR(__xludf.DUMMYFUNCTION("IF($A202="""","""",HYPERLINK(""https://docs.google.com/spreadsheets/d/1LovjCF_yo-DR4S4HXV7VkZLEyCUjv4US6kt_l-v8-GM/edit#gid=0&amp;range=L""&amp;(REGEXREPLACE($A202,"".* #"","""")+1),IF($I202="""",""View!"",""Verify!"")))"),"")</f>
        <v/>
      </c>
    </row>
    <row r="203">
      <c r="A203" s="39"/>
      <c r="B203" s="39"/>
      <c r="C203" s="39"/>
      <c r="D203" s="113"/>
      <c r="E203" s="113"/>
      <c r="F203" s="39"/>
      <c r="G203" s="39"/>
      <c r="H203" s="39"/>
      <c r="I203" s="39"/>
      <c r="J203" s="108"/>
      <c r="K203" s="108"/>
      <c r="L203" s="39"/>
      <c r="M203" s="108"/>
      <c r="N203" s="108" t="str">
        <f>IFERROR(__xludf.DUMMYFUNCTION("IF($A203="""","""",HYPERLINK(""https://docs.google.com/spreadsheets/d/1LovjCF_yo-DR4S4HXV7VkZLEyCUjv4US6kt_l-v8-GM/edit#gid=0&amp;range=L""&amp;(REGEXREPLACE($A203,"".* #"","""")+1),IF($I203="""",""View!"",""Verify!"")))"),"")</f>
        <v/>
      </c>
    </row>
    <row r="204">
      <c r="A204" s="39"/>
      <c r="B204" s="39"/>
      <c r="C204" s="39"/>
      <c r="D204" s="113"/>
      <c r="E204" s="113"/>
      <c r="F204" s="39"/>
      <c r="G204" s="39"/>
      <c r="H204" s="39"/>
      <c r="I204" s="39"/>
      <c r="J204" s="108"/>
      <c r="K204" s="108"/>
      <c r="L204" s="39"/>
      <c r="M204" s="108"/>
      <c r="N204" s="108" t="str">
        <f>IFERROR(__xludf.DUMMYFUNCTION("IF($A204="""","""",HYPERLINK(""https://docs.google.com/spreadsheets/d/1LovjCF_yo-DR4S4HXV7VkZLEyCUjv4US6kt_l-v8-GM/edit#gid=0&amp;range=L""&amp;(REGEXREPLACE($A204,"".* #"","""")+1),IF($I204="""",""View!"",""Verify!"")))"),"")</f>
        <v/>
      </c>
    </row>
    <row r="205">
      <c r="A205" s="39"/>
      <c r="B205" s="39"/>
      <c r="C205" s="39"/>
      <c r="D205" s="113"/>
      <c r="E205" s="113"/>
      <c r="F205" s="39"/>
      <c r="G205" s="39"/>
      <c r="H205" s="39"/>
      <c r="I205" s="39"/>
      <c r="J205" s="108"/>
      <c r="K205" s="108"/>
      <c r="L205" s="39"/>
      <c r="M205" s="108"/>
      <c r="N205" s="108" t="str">
        <f>IFERROR(__xludf.DUMMYFUNCTION("IF($A205="""","""",HYPERLINK(""https://docs.google.com/spreadsheets/d/1LovjCF_yo-DR4S4HXV7VkZLEyCUjv4US6kt_l-v8-GM/edit#gid=0&amp;range=L""&amp;(REGEXREPLACE($A205,"".* #"","""")+1),IF($I205="""",""View!"",""Verify!"")))"),"")</f>
        <v/>
      </c>
    </row>
    <row r="206">
      <c r="A206" s="39"/>
      <c r="B206" s="39"/>
      <c r="C206" s="39"/>
      <c r="D206" s="113"/>
      <c r="E206" s="113"/>
      <c r="F206" s="39"/>
      <c r="G206" s="39"/>
      <c r="H206" s="39"/>
      <c r="I206" s="39"/>
      <c r="J206" s="108"/>
      <c r="K206" s="108"/>
      <c r="L206" s="39"/>
      <c r="M206" s="108"/>
      <c r="N206" s="108" t="str">
        <f>IFERROR(__xludf.DUMMYFUNCTION("IF($A206="""","""",HYPERLINK(""https://docs.google.com/spreadsheets/d/1LovjCF_yo-DR4S4HXV7VkZLEyCUjv4US6kt_l-v8-GM/edit#gid=0&amp;range=L""&amp;(REGEXREPLACE($A206,"".* #"","""")+1),IF($I206="""",""View!"",""Verify!"")))"),"")</f>
        <v/>
      </c>
    </row>
    <row r="207">
      <c r="A207" s="39"/>
      <c r="B207" s="39"/>
      <c r="C207" s="39"/>
      <c r="D207" s="113"/>
      <c r="E207" s="113"/>
      <c r="F207" s="39"/>
      <c r="G207" s="39"/>
      <c r="H207" s="39"/>
      <c r="I207" s="39"/>
      <c r="J207" s="108"/>
      <c r="K207" s="108"/>
      <c r="L207" s="39"/>
      <c r="M207" s="108"/>
      <c r="N207" s="108" t="str">
        <f>IFERROR(__xludf.DUMMYFUNCTION("IF($A207="""","""",HYPERLINK(""https://docs.google.com/spreadsheets/d/1LovjCF_yo-DR4S4HXV7VkZLEyCUjv4US6kt_l-v8-GM/edit#gid=0&amp;range=L""&amp;(REGEXREPLACE($A207,"".* #"","""")+1),IF($I207="""",""View!"",""Verify!"")))"),"")</f>
        <v/>
      </c>
    </row>
    <row r="208">
      <c r="A208" s="39"/>
      <c r="B208" s="39"/>
      <c r="C208" s="39"/>
      <c r="D208" s="113"/>
      <c r="E208" s="113"/>
      <c r="F208" s="39"/>
      <c r="G208" s="39"/>
      <c r="H208" s="39"/>
      <c r="I208" s="39"/>
      <c r="J208" s="108"/>
      <c r="K208" s="108"/>
      <c r="L208" s="39"/>
      <c r="M208" s="108"/>
      <c r="N208" s="108" t="str">
        <f>IFERROR(__xludf.DUMMYFUNCTION("IF($A208="""","""",HYPERLINK(""https://docs.google.com/spreadsheets/d/1LovjCF_yo-DR4S4HXV7VkZLEyCUjv4US6kt_l-v8-GM/edit#gid=0&amp;range=L""&amp;(REGEXREPLACE($A208,"".* #"","""")+1),IF($I208="""",""View!"",""Verify!"")))"),"")</f>
        <v/>
      </c>
    </row>
    <row r="209">
      <c r="A209" s="39"/>
      <c r="B209" s="39"/>
      <c r="C209" s="39"/>
      <c r="D209" s="113"/>
      <c r="E209" s="113"/>
      <c r="F209" s="39"/>
      <c r="G209" s="39"/>
      <c r="H209" s="39"/>
      <c r="I209" s="39"/>
      <c r="J209" s="108"/>
      <c r="K209" s="108"/>
      <c r="L209" s="39"/>
      <c r="M209" s="108"/>
      <c r="N209" s="108" t="str">
        <f>IFERROR(__xludf.DUMMYFUNCTION("IF($A209="""","""",HYPERLINK(""https://docs.google.com/spreadsheets/d/1LovjCF_yo-DR4S4HXV7VkZLEyCUjv4US6kt_l-v8-GM/edit#gid=0&amp;range=L""&amp;(REGEXREPLACE($A209,"".* #"","""")+1),IF($I209="""",""View!"",""Verify!"")))"),"")</f>
        <v/>
      </c>
    </row>
    <row r="210">
      <c r="A210" s="39"/>
      <c r="B210" s="39"/>
      <c r="C210" s="39"/>
      <c r="D210" s="113"/>
      <c r="E210" s="113"/>
      <c r="F210" s="39"/>
      <c r="G210" s="39"/>
      <c r="H210" s="39"/>
      <c r="I210" s="39"/>
      <c r="J210" s="108"/>
      <c r="K210" s="108"/>
      <c r="L210" s="39"/>
      <c r="M210" s="108"/>
      <c r="N210" s="108" t="str">
        <f>IFERROR(__xludf.DUMMYFUNCTION("IF($A210="""","""",HYPERLINK(""https://docs.google.com/spreadsheets/d/1LovjCF_yo-DR4S4HXV7VkZLEyCUjv4US6kt_l-v8-GM/edit#gid=0&amp;range=L""&amp;(REGEXREPLACE($A210,"".* #"","""")+1),IF($I210="""",""View!"",""Verify!"")))"),"")</f>
        <v/>
      </c>
    </row>
    <row r="211">
      <c r="A211" s="39"/>
      <c r="B211" s="39"/>
      <c r="C211" s="39"/>
      <c r="D211" s="113"/>
      <c r="E211" s="113"/>
      <c r="F211" s="39"/>
      <c r="G211" s="39"/>
      <c r="H211" s="39"/>
      <c r="I211" s="39"/>
      <c r="J211" s="108"/>
      <c r="K211" s="108"/>
      <c r="L211" s="39"/>
      <c r="M211" s="108"/>
      <c r="N211" s="108" t="str">
        <f>IFERROR(__xludf.DUMMYFUNCTION("IF($A211="""","""",HYPERLINK(""https://docs.google.com/spreadsheets/d/1LovjCF_yo-DR4S4HXV7VkZLEyCUjv4US6kt_l-v8-GM/edit#gid=0&amp;range=L""&amp;(REGEXREPLACE($A211,"".* #"","""")+1),IF($I211="""",""View!"",""Verify!"")))"),"")</f>
        <v/>
      </c>
    </row>
    <row r="212">
      <c r="A212" s="39"/>
      <c r="B212" s="39"/>
      <c r="C212" s="39"/>
      <c r="D212" s="113"/>
      <c r="E212" s="113"/>
      <c r="F212" s="39"/>
      <c r="G212" s="39"/>
      <c r="H212" s="39"/>
      <c r="I212" s="39"/>
      <c r="J212" s="108"/>
      <c r="K212" s="108"/>
      <c r="L212" s="39"/>
      <c r="M212" s="108"/>
      <c r="N212" s="108" t="str">
        <f>IFERROR(__xludf.DUMMYFUNCTION("IF($A212="""","""",HYPERLINK(""https://docs.google.com/spreadsheets/d/1LovjCF_yo-DR4S4HXV7VkZLEyCUjv4US6kt_l-v8-GM/edit#gid=0&amp;range=L""&amp;(REGEXREPLACE($A212,"".* #"","""")+1),IF($I212="""",""View!"",""Verify!"")))"),"")</f>
        <v/>
      </c>
    </row>
    <row r="213">
      <c r="A213" s="39"/>
      <c r="B213" s="39"/>
      <c r="C213" s="39"/>
      <c r="D213" s="113"/>
      <c r="E213" s="113"/>
      <c r="F213" s="39"/>
      <c r="G213" s="39"/>
      <c r="H213" s="39"/>
      <c r="I213" s="39"/>
      <c r="J213" s="108"/>
      <c r="K213" s="108"/>
      <c r="L213" s="39"/>
      <c r="M213" s="108"/>
      <c r="N213" s="108" t="str">
        <f>IFERROR(__xludf.DUMMYFUNCTION("IF($A213="""","""",HYPERLINK(""https://docs.google.com/spreadsheets/d/1LovjCF_yo-DR4S4HXV7VkZLEyCUjv4US6kt_l-v8-GM/edit#gid=0&amp;range=L""&amp;(REGEXREPLACE($A213,"".* #"","""")+1),IF($I213="""",""View!"",""Verify!"")))"),"")</f>
        <v/>
      </c>
    </row>
    <row r="214">
      <c r="A214" s="39"/>
      <c r="B214" s="39"/>
      <c r="C214" s="39"/>
      <c r="D214" s="113"/>
      <c r="E214" s="113"/>
      <c r="F214" s="39"/>
      <c r="G214" s="39"/>
      <c r="H214" s="39"/>
      <c r="I214" s="39"/>
      <c r="J214" s="108"/>
      <c r="K214" s="108"/>
      <c r="L214" s="39"/>
      <c r="M214" s="108"/>
      <c r="N214" s="108" t="str">
        <f>IFERROR(__xludf.DUMMYFUNCTION("IF($A214="""","""",HYPERLINK(""https://docs.google.com/spreadsheets/d/1LovjCF_yo-DR4S4HXV7VkZLEyCUjv4US6kt_l-v8-GM/edit#gid=0&amp;range=L""&amp;(REGEXREPLACE($A214,"".* #"","""")+1),IF($I214="""",""View!"",""Verify!"")))"),"")</f>
        <v/>
      </c>
    </row>
    <row r="215">
      <c r="A215" s="39"/>
      <c r="B215" s="39"/>
      <c r="C215" s="39"/>
      <c r="D215" s="113"/>
      <c r="E215" s="113"/>
      <c r="F215" s="39"/>
      <c r="G215" s="39"/>
      <c r="H215" s="39"/>
      <c r="I215" s="39"/>
      <c r="J215" s="108"/>
      <c r="K215" s="108"/>
      <c r="L215" s="39"/>
      <c r="M215" s="108"/>
      <c r="N215" s="108" t="str">
        <f>IFERROR(__xludf.DUMMYFUNCTION("IF($A215="""","""",HYPERLINK(""https://docs.google.com/spreadsheets/d/1LovjCF_yo-DR4S4HXV7VkZLEyCUjv4US6kt_l-v8-GM/edit#gid=0&amp;range=L""&amp;(REGEXREPLACE($A215,"".* #"","""")+1),IF($I215="""",""View!"",""Verify!"")))"),"")</f>
        <v/>
      </c>
    </row>
    <row r="216">
      <c r="A216" s="39"/>
      <c r="B216" s="39"/>
      <c r="C216" s="39"/>
      <c r="D216" s="113"/>
      <c r="E216" s="113"/>
      <c r="F216" s="39"/>
      <c r="G216" s="39"/>
      <c r="H216" s="39"/>
      <c r="I216" s="39"/>
      <c r="J216" s="108"/>
      <c r="K216" s="108"/>
      <c r="L216" s="39"/>
      <c r="M216" s="108"/>
      <c r="N216" s="108" t="str">
        <f>IFERROR(__xludf.DUMMYFUNCTION("IF($A216="""","""",HYPERLINK(""https://docs.google.com/spreadsheets/d/1LovjCF_yo-DR4S4HXV7VkZLEyCUjv4US6kt_l-v8-GM/edit#gid=0&amp;range=L""&amp;(REGEXREPLACE($A216,"".* #"","""")+1),IF($I216="""",""View!"",""Verify!"")))"),"")</f>
        <v/>
      </c>
    </row>
    <row r="217">
      <c r="A217" s="39"/>
      <c r="B217" s="39"/>
      <c r="C217" s="39"/>
      <c r="D217" s="113"/>
      <c r="E217" s="113"/>
      <c r="F217" s="39"/>
      <c r="G217" s="39"/>
      <c r="H217" s="39"/>
      <c r="I217" s="39"/>
      <c r="J217" s="108"/>
      <c r="K217" s="108"/>
      <c r="L217" s="39"/>
      <c r="M217" s="108"/>
      <c r="N217" s="108" t="str">
        <f>IFERROR(__xludf.DUMMYFUNCTION("IF($A217="""","""",HYPERLINK(""https://docs.google.com/spreadsheets/d/1LovjCF_yo-DR4S4HXV7VkZLEyCUjv4US6kt_l-v8-GM/edit#gid=0&amp;range=L""&amp;(REGEXREPLACE($A217,"".* #"","""")+1),IF($I217="""",""View!"",""Verify!"")))"),"")</f>
        <v/>
      </c>
    </row>
    <row r="218">
      <c r="A218" s="39"/>
      <c r="B218" s="39"/>
      <c r="C218" s="39"/>
      <c r="D218" s="113"/>
      <c r="E218" s="113"/>
      <c r="F218" s="39"/>
      <c r="G218" s="39"/>
      <c r="H218" s="39"/>
      <c r="I218" s="39"/>
      <c r="J218" s="108"/>
      <c r="K218" s="108"/>
      <c r="L218" s="39"/>
      <c r="M218" s="108"/>
      <c r="N218" s="108" t="str">
        <f>IFERROR(__xludf.DUMMYFUNCTION("IF($A218="""","""",HYPERLINK(""https://docs.google.com/spreadsheets/d/1LovjCF_yo-DR4S4HXV7VkZLEyCUjv4US6kt_l-v8-GM/edit#gid=0&amp;range=L""&amp;(REGEXREPLACE($A218,"".* #"","""")+1),IF($I218="""",""View!"",""Verify!"")))"),"")</f>
        <v/>
      </c>
    </row>
    <row r="219">
      <c r="A219" s="39"/>
      <c r="B219" s="39"/>
      <c r="C219" s="39"/>
      <c r="D219" s="113"/>
      <c r="E219" s="113"/>
      <c r="F219" s="39"/>
      <c r="G219" s="39"/>
      <c r="H219" s="39"/>
      <c r="I219" s="39"/>
      <c r="J219" s="108"/>
      <c r="K219" s="108"/>
      <c r="L219" s="39"/>
      <c r="M219" s="108"/>
      <c r="N219" s="108" t="str">
        <f>IFERROR(__xludf.DUMMYFUNCTION("IF($A219="""","""",HYPERLINK(""https://docs.google.com/spreadsheets/d/1LovjCF_yo-DR4S4HXV7VkZLEyCUjv4US6kt_l-v8-GM/edit#gid=0&amp;range=L""&amp;(REGEXREPLACE($A219,"".* #"","""")+1),IF($I219="""",""View!"",""Verify!"")))"),"")</f>
        <v/>
      </c>
    </row>
    <row r="220">
      <c r="A220" s="39"/>
      <c r="B220" s="39"/>
      <c r="C220" s="39"/>
      <c r="D220" s="113"/>
      <c r="E220" s="113"/>
      <c r="F220" s="39"/>
      <c r="G220" s="39"/>
      <c r="H220" s="39"/>
      <c r="I220" s="39"/>
      <c r="J220" s="108"/>
      <c r="K220" s="108"/>
      <c r="L220" s="39"/>
      <c r="M220" s="108"/>
      <c r="N220" s="108" t="str">
        <f>IFERROR(__xludf.DUMMYFUNCTION("IF($A220="""","""",HYPERLINK(""https://docs.google.com/spreadsheets/d/1LovjCF_yo-DR4S4HXV7VkZLEyCUjv4US6kt_l-v8-GM/edit#gid=0&amp;range=L""&amp;(REGEXREPLACE($A220,"".* #"","""")+1),IF($I220="""",""View!"",""Verify!"")))"),"")</f>
        <v/>
      </c>
    </row>
    <row r="221">
      <c r="A221" s="39"/>
      <c r="B221" s="39"/>
      <c r="C221" s="39"/>
      <c r="D221" s="113"/>
      <c r="E221" s="113"/>
      <c r="F221" s="39"/>
      <c r="G221" s="39"/>
      <c r="H221" s="39"/>
      <c r="I221" s="39"/>
      <c r="J221" s="108"/>
      <c r="K221" s="108"/>
      <c r="L221" s="39"/>
      <c r="M221" s="108"/>
      <c r="N221" s="108" t="str">
        <f>IFERROR(__xludf.DUMMYFUNCTION("IF($A221="""","""",HYPERLINK(""https://docs.google.com/spreadsheets/d/1LovjCF_yo-DR4S4HXV7VkZLEyCUjv4US6kt_l-v8-GM/edit#gid=0&amp;range=L""&amp;(REGEXREPLACE($A221,"".* #"","""")+1),IF($I221="""",""View!"",""Verify!"")))"),"")</f>
        <v/>
      </c>
    </row>
    <row r="222">
      <c r="A222" s="39"/>
      <c r="B222" s="39"/>
      <c r="C222" s="39"/>
      <c r="D222" s="113"/>
      <c r="E222" s="113"/>
      <c r="F222" s="39"/>
      <c r="G222" s="39"/>
      <c r="H222" s="39"/>
      <c r="I222" s="39"/>
      <c r="J222" s="108"/>
      <c r="K222" s="108"/>
      <c r="L222" s="39"/>
      <c r="M222" s="108"/>
      <c r="N222" s="108" t="str">
        <f>IFERROR(__xludf.DUMMYFUNCTION("IF($A222="""","""",HYPERLINK(""https://docs.google.com/spreadsheets/d/1LovjCF_yo-DR4S4HXV7VkZLEyCUjv4US6kt_l-v8-GM/edit#gid=0&amp;range=L""&amp;(REGEXREPLACE($A222,"".* #"","""")+1),IF($I222="""",""View!"",""Verify!"")))"),"")</f>
        <v/>
      </c>
    </row>
    <row r="223">
      <c r="A223" s="39"/>
      <c r="B223" s="39"/>
      <c r="C223" s="39"/>
      <c r="D223" s="113"/>
      <c r="E223" s="113"/>
      <c r="F223" s="39"/>
      <c r="G223" s="39"/>
      <c r="H223" s="39"/>
      <c r="I223" s="39"/>
      <c r="J223" s="108"/>
      <c r="K223" s="108"/>
      <c r="L223" s="39"/>
      <c r="M223" s="108"/>
      <c r="N223" s="108" t="str">
        <f>IFERROR(__xludf.DUMMYFUNCTION("IF($A223="""","""",HYPERLINK(""https://docs.google.com/spreadsheets/d/1LovjCF_yo-DR4S4HXV7VkZLEyCUjv4US6kt_l-v8-GM/edit#gid=0&amp;range=L""&amp;(REGEXREPLACE($A223,"".* #"","""")+1),IF($I223="""",""View!"",""Verify!"")))"),"")</f>
        <v/>
      </c>
    </row>
    <row r="224">
      <c r="A224" s="39"/>
      <c r="B224" s="39"/>
      <c r="C224" s="39"/>
      <c r="D224" s="113"/>
      <c r="E224" s="113"/>
      <c r="F224" s="39"/>
      <c r="G224" s="39"/>
      <c r="H224" s="39"/>
      <c r="I224" s="39"/>
      <c r="J224" s="108"/>
      <c r="K224" s="108"/>
      <c r="L224" s="39"/>
      <c r="M224" s="108"/>
      <c r="N224" s="108" t="str">
        <f>IFERROR(__xludf.DUMMYFUNCTION("IF($A224="""","""",HYPERLINK(""https://docs.google.com/spreadsheets/d/1LovjCF_yo-DR4S4HXV7VkZLEyCUjv4US6kt_l-v8-GM/edit#gid=0&amp;range=L""&amp;(REGEXREPLACE($A224,"".* #"","""")+1),IF($I224="""",""View!"",""Verify!"")))"),"")</f>
        <v/>
      </c>
    </row>
    <row r="225">
      <c r="A225" s="39"/>
      <c r="B225" s="39"/>
      <c r="C225" s="39"/>
      <c r="D225" s="113"/>
      <c r="E225" s="113"/>
      <c r="F225" s="39"/>
      <c r="G225" s="39"/>
      <c r="H225" s="39"/>
      <c r="I225" s="39"/>
      <c r="J225" s="108"/>
      <c r="K225" s="108"/>
      <c r="L225" s="39"/>
      <c r="M225" s="108"/>
      <c r="N225" s="108" t="str">
        <f>IFERROR(__xludf.DUMMYFUNCTION("IF($A225="""","""",HYPERLINK(""https://docs.google.com/spreadsheets/d/1LovjCF_yo-DR4S4HXV7VkZLEyCUjv4US6kt_l-v8-GM/edit#gid=0&amp;range=L""&amp;(REGEXREPLACE($A225,"".* #"","""")+1),IF($I225="""",""View!"",""Verify!"")))"),"")</f>
        <v/>
      </c>
    </row>
    <row r="226">
      <c r="A226" s="39"/>
      <c r="B226" s="39"/>
      <c r="C226" s="39"/>
      <c r="D226" s="113"/>
      <c r="E226" s="113"/>
      <c r="F226" s="39"/>
      <c r="G226" s="39"/>
      <c r="H226" s="39"/>
      <c r="I226" s="39"/>
      <c r="J226" s="108"/>
      <c r="K226" s="108"/>
      <c r="L226" s="39"/>
      <c r="M226" s="108"/>
      <c r="N226" s="108" t="str">
        <f>IFERROR(__xludf.DUMMYFUNCTION("IF($A226="""","""",HYPERLINK(""https://docs.google.com/spreadsheets/d/1LovjCF_yo-DR4S4HXV7VkZLEyCUjv4US6kt_l-v8-GM/edit#gid=0&amp;range=L""&amp;(REGEXREPLACE($A226,"".* #"","""")+1),IF($I226="""",""View!"",""Verify!"")))"),"")</f>
        <v/>
      </c>
    </row>
    <row r="227">
      <c r="A227" s="39"/>
      <c r="B227" s="39"/>
      <c r="C227" s="39"/>
      <c r="D227" s="113"/>
      <c r="E227" s="113"/>
      <c r="F227" s="39"/>
      <c r="G227" s="39"/>
      <c r="H227" s="39"/>
      <c r="I227" s="39"/>
      <c r="J227" s="108"/>
      <c r="K227" s="108"/>
      <c r="L227" s="39"/>
      <c r="M227" s="108"/>
      <c r="N227" s="108" t="str">
        <f>IFERROR(__xludf.DUMMYFUNCTION("IF($A227="""","""",HYPERLINK(""https://docs.google.com/spreadsheets/d/1LovjCF_yo-DR4S4HXV7VkZLEyCUjv4US6kt_l-v8-GM/edit#gid=0&amp;range=L""&amp;(REGEXREPLACE($A227,"".* #"","""")+1),IF($I227="""",""View!"",""Verify!"")))"),"")</f>
        <v/>
      </c>
    </row>
    <row r="228">
      <c r="A228" s="39"/>
      <c r="B228" s="39"/>
      <c r="C228" s="39"/>
      <c r="D228" s="113"/>
      <c r="E228" s="113"/>
      <c r="F228" s="39"/>
      <c r="G228" s="39"/>
      <c r="H228" s="39"/>
      <c r="I228" s="39"/>
      <c r="J228" s="108"/>
      <c r="K228" s="108"/>
      <c r="L228" s="39"/>
      <c r="M228" s="108"/>
      <c r="N228" s="108" t="str">
        <f>IFERROR(__xludf.DUMMYFUNCTION("IF($A228="""","""",HYPERLINK(""https://docs.google.com/spreadsheets/d/1LovjCF_yo-DR4S4HXV7VkZLEyCUjv4US6kt_l-v8-GM/edit#gid=0&amp;range=L""&amp;(REGEXREPLACE($A228,"".* #"","""")+1),IF($I228="""",""View!"",""Verify!"")))"),"")</f>
        <v/>
      </c>
    </row>
    <row r="229">
      <c r="A229" s="39"/>
      <c r="B229" s="39"/>
      <c r="C229" s="39"/>
      <c r="D229" s="113"/>
      <c r="E229" s="113"/>
      <c r="F229" s="39"/>
      <c r="G229" s="39"/>
      <c r="H229" s="39"/>
      <c r="I229" s="39"/>
      <c r="J229" s="108"/>
      <c r="K229" s="108"/>
      <c r="L229" s="39"/>
      <c r="M229" s="108"/>
      <c r="N229" s="108" t="str">
        <f>IFERROR(__xludf.DUMMYFUNCTION("IF($A229="""","""",HYPERLINK(""https://docs.google.com/spreadsheets/d/1LovjCF_yo-DR4S4HXV7VkZLEyCUjv4US6kt_l-v8-GM/edit#gid=0&amp;range=L""&amp;(REGEXREPLACE($A229,"".* #"","""")+1),IF($I229="""",""View!"",""Verify!"")))"),"")</f>
        <v/>
      </c>
    </row>
    <row r="230">
      <c r="A230" s="39"/>
      <c r="B230" s="39"/>
      <c r="C230" s="39"/>
      <c r="D230" s="113"/>
      <c r="E230" s="113"/>
      <c r="F230" s="39"/>
      <c r="G230" s="39"/>
      <c r="H230" s="39"/>
      <c r="I230" s="39"/>
      <c r="J230" s="108"/>
      <c r="K230" s="108"/>
      <c r="L230" s="39"/>
      <c r="M230" s="108"/>
      <c r="N230" s="108" t="str">
        <f>IFERROR(__xludf.DUMMYFUNCTION("IF($A230="""","""",HYPERLINK(""https://docs.google.com/spreadsheets/d/1LovjCF_yo-DR4S4HXV7VkZLEyCUjv4US6kt_l-v8-GM/edit#gid=0&amp;range=L""&amp;(REGEXREPLACE($A230,"".* #"","""")+1),IF($I230="""",""View!"",""Verify!"")))"),"")</f>
        <v/>
      </c>
    </row>
    <row r="231">
      <c r="A231" s="39"/>
      <c r="B231" s="39"/>
      <c r="C231" s="39"/>
      <c r="D231" s="113"/>
      <c r="E231" s="113"/>
      <c r="F231" s="39"/>
      <c r="G231" s="39"/>
      <c r="H231" s="39"/>
      <c r="I231" s="39"/>
      <c r="J231" s="108"/>
      <c r="K231" s="108"/>
      <c r="L231" s="39"/>
      <c r="M231" s="108"/>
      <c r="N231" s="108" t="str">
        <f>IFERROR(__xludf.DUMMYFUNCTION("IF($A231="""","""",HYPERLINK(""https://docs.google.com/spreadsheets/d/1LovjCF_yo-DR4S4HXV7VkZLEyCUjv4US6kt_l-v8-GM/edit#gid=0&amp;range=L""&amp;(REGEXREPLACE($A231,"".* #"","""")+1),IF($I231="""",""View!"",""Verify!"")))"),"")</f>
        <v/>
      </c>
    </row>
    <row r="232">
      <c r="A232" s="39"/>
      <c r="B232" s="39"/>
      <c r="C232" s="39"/>
      <c r="D232" s="113"/>
      <c r="E232" s="113"/>
      <c r="F232" s="39"/>
      <c r="G232" s="39"/>
      <c r="H232" s="39"/>
      <c r="I232" s="39"/>
      <c r="J232" s="108"/>
      <c r="K232" s="108"/>
      <c r="L232" s="39"/>
      <c r="M232" s="108"/>
      <c r="N232" s="108" t="str">
        <f>IFERROR(__xludf.DUMMYFUNCTION("IF($A232="""","""",HYPERLINK(""https://docs.google.com/spreadsheets/d/1LovjCF_yo-DR4S4HXV7VkZLEyCUjv4US6kt_l-v8-GM/edit#gid=0&amp;range=L""&amp;(REGEXREPLACE($A232,"".* #"","""")+1),IF($I232="""",""View!"",""Verify!"")))"),"")</f>
        <v/>
      </c>
    </row>
    <row r="233">
      <c r="A233" s="39"/>
      <c r="B233" s="39"/>
      <c r="C233" s="39"/>
      <c r="D233" s="113"/>
      <c r="E233" s="113"/>
      <c r="F233" s="39"/>
      <c r="G233" s="39"/>
      <c r="H233" s="39"/>
      <c r="I233" s="39"/>
      <c r="J233" s="108"/>
      <c r="K233" s="108"/>
      <c r="L233" s="39"/>
      <c r="M233" s="108"/>
      <c r="N233" s="108" t="str">
        <f>IFERROR(__xludf.DUMMYFUNCTION("IF($A233="""","""",HYPERLINK(""https://docs.google.com/spreadsheets/d/1LovjCF_yo-DR4S4HXV7VkZLEyCUjv4US6kt_l-v8-GM/edit#gid=0&amp;range=L""&amp;(REGEXREPLACE($A233,"".* #"","""")+1),IF($I233="""",""View!"",""Verify!"")))"),"")</f>
        <v/>
      </c>
    </row>
    <row r="234">
      <c r="A234" s="39"/>
      <c r="B234" s="39"/>
      <c r="C234" s="39"/>
      <c r="D234" s="113"/>
      <c r="E234" s="113"/>
      <c r="F234" s="39"/>
      <c r="G234" s="39"/>
      <c r="H234" s="39"/>
      <c r="I234" s="39"/>
      <c r="J234" s="108"/>
      <c r="K234" s="108"/>
      <c r="L234" s="39"/>
      <c r="M234" s="108"/>
      <c r="N234" s="108" t="str">
        <f>IFERROR(__xludf.DUMMYFUNCTION("IF($A234="""","""",HYPERLINK(""https://docs.google.com/spreadsheets/d/1LovjCF_yo-DR4S4HXV7VkZLEyCUjv4US6kt_l-v8-GM/edit#gid=0&amp;range=L""&amp;(REGEXREPLACE($A234,"".* #"","""")+1),IF($I234="""",""View!"",""Verify!"")))"),"")</f>
        <v/>
      </c>
    </row>
    <row r="235">
      <c r="A235" s="39"/>
      <c r="B235" s="39"/>
      <c r="C235" s="39"/>
      <c r="D235" s="113"/>
      <c r="E235" s="113"/>
      <c r="F235" s="39"/>
      <c r="G235" s="39"/>
      <c r="H235" s="39"/>
      <c r="I235" s="39"/>
      <c r="J235" s="108"/>
      <c r="K235" s="108"/>
      <c r="L235" s="39"/>
      <c r="M235" s="108"/>
      <c r="N235" s="108" t="str">
        <f>IFERROR(__xludf.DUMMYFUNCTION("IF($A235="""","""",HYPERLINK(""https://docs.google.com/spreadsheets/d/1LovjCF_yo-DR4S4HXV7VkZLEyCUjv4US6kt_l-v8-GM/edit#gid=0&amp;range=L""&amp;(REGEXREPLACE($A235,"".* #"","""")+1),IF($I235="""",""View!"",""Verify!"")))"),"")</f>
        <v/>
      </c>
    </row>
    <row r="236">
      <c r="A236" s="39"/>
      <c r="B236" s="39"/>
      <c r="C236" s="39"/>
      <c r="D236" s="113"/>
      <c r="E236" s="113"/>
      <c r="F236" s="39"/>
      <c r="G236" s="39"/>
      <c r="H236" s="39"/>
      <c r="I236" s="39"/>
      <c r="J236" s="108"/>
      <c r="K236" s="108"/>
      <c r="L236" s="39"/>
      <c r="M236" s="108"/>
      <c r="N236" s="108" t="str">
        <f>IFERROR(__xludf.DUMMYFUNCTION("IF($A236="""","""",HYPERLINK(""https://docs.google.com/spreadsheets/d/1LovjCF_yo-DR4S4HXV7VkZLEyCUjv4US6kt_l-v8-GM/edit#gid=0&amp;range=L""&amp;(REGEXREPLACE($A236,"".* #"","""")+1),IF($I236="""",""View!"",""Verify!"")))"),"")</f>
        <v/>
      </c>
    </row>
    <row r="237">
      <c r="A237" s="39"/>
      <c r="B237" s="39"/>
      <c r="C237" s="39"/>
      <c r="D237" s="113"/>
      <c r="E237" s="113"/>
      <c r="F237" s="39"/>
      <c r="G237" s="39"/>
      <c r="H237" s="39"/>
      <c r="I237" s="39"/>
      <c r="J237" s="108"/>
      <c r="K237" s="108"/>
      <c r="L237" s="39"/>
      <c r="M237" s="108"/>
      <c r="N237" s="108" t="str">
        <f>IFERROR(__xludf.DUMMYFUNCTION("IF($A237="""","""",HYPERLINK(""https://docs.google.com/spreadsheets/d/1LovjCF_yo-DR4S4HXV7VkZLEyCUjv4US6kt_l-v8-GM/edit#gid=0&amp;range=L""&amp;(REGEXREPLACE($A237,"".* #"","""")+1),IF($I237="""",""View!"",""Verify!"")))"),"")</f>
        <v/>
      </c>
    </row>
    <row r="238">
      <c r="A238" s="39"/>
      <c r="B238" s="39"/>
      <c r="C238" s="39"/>
      <c r="D238" s="113"/>
      <c r="E238" s="113"/>
      <c r="F238" s="39"/>
      <c r="G238" s="39"/>
      <c r="H238" s="39"/>
      <c r="I238" s="39"/>
      <c r="J238" s="108"/>
      <c r="K238" s="108"/>
      <c r="L238" s="39"/>
      <c r="M238" s="108"/>
      <c r="N238" s="108" t="str">
        <f>IFERROR(__xludf.DUMMYFUNCTION("IF($A238="""","""",HYPERLINK(""https://docs.google.com/spreadsheets/d/1LovjCF_yo-DR4S4HXV7VkZLEyCUjv4US6kt_l-v8-GM/edit#gid=0&amp;range=L""&amp;(REGEXREPLACE($A238,"".* #"","""")+1),IF($I238="""",""View!"",""Verify!"")))"),"")</f>
        <v/>
      </c>
    </row>
    <row r="239">
      <c r="A239" s="39"/>
      <c r="B239" s="39"/>
      <c r="C239" s="39"/>
      <c r="D239" s="113"/>
      <c r="E239" s="113"/>
      <c r="F239" s="39"/>
      <c r="G239" s="39"/>
      <c r="H239" s="39"/>
      <c r="I239" s="39"/>
      <c r="J239" s="108"/>
      <c r="K239" s="108"/>
      <c r="L239" s="39"/>
      <c r="M239" s="108"/>
      <c r="N239" s="108" t="str">
        <f>IFERROR(__xludf.DUMMYFUNCTION("IF($A239="""","""",HYPERLINK(""https://docs.google.com/spreadsheets/d/1LovjCF_yo-DR4S4HXV7VkZLEyCUjv4US6kt_l-v8-GM/edit#gid=0&amp;range=L""&amp;(REGEXREPLACE($A239,"".* #"","""")+1),IF($I239="""",""View!"",""Verify!"")))"),"")</f>
        <v/>
      </c>
    </row>
    <row r="240">
      <c r="A240" s="39"/>
      <c r="B240" s="39"/>
      <c r="C240" s="39"/>
      <c r="D240" s="113"/>
      <c r="E240" s="113"/>
      <c r="F240" s="39"/>
      <c r="G240" s="39"/>
      <c r="H240" s="39"/>
      <c r="I240" s="39"/>
      <c r="J240" s="108"/>
      <c r="K240" s="108"/>
      <c r="L240" s="39"/>
      <c r="M240" s="108"/>
      <c r="N240" s="108" t="str">
        <f>IFERROR(__xludf.DUMMYFUNCTION("IF($A240="""","""",HYPERLINK(""https://docs.google.com/spreadsheets/d/1LovjCF_yo-DR4S4HXV7VkZLEyCUjv4US6kt_l-v8-GM/edit#gid=0&amp;range=L""&amp;(REGEXREPLACE($A240,"".* #"","""")+1),IF($I240="""",""View!"",""Verify!"")))"),"")</f>
        <v/>
      </c>
    </row>
    <row r="241">
      <c r="A241" s="39"/>
      <c r="B241" s="39"/>
      <c r="C241" s="39"/>
      <c r="D241" s="113"/>
      <c r="E241" s="113"/>
      <c r="F241" s="39"/>
      <c r="G241" s="39"/>
      <c r="H241" s="39"/>
      <c r="I241" s="39"/>
      <c r="J241" s="108"/>
      <c r="K241" s="108"/>
      <c r="L241" s="39"/>
      <c r="M241" s="108"/>
      <c r="N241" s="108" t="str">
        <f>IFERROR(__xludf.DUMMYFUNCTION("IF($A241="""","""",HYPERLINK(""https://docs.google.com/spreadsheets/d/1LovjCF_yo-DR4S4HXV7VkZLEyCUjv4US6kt_l-v8-GM/edit#gid=0&amp;range=L""&amp;(REGEXREPLACE($A241,"".* #"","""")+1),IF($I241="""",""View!"",""Verify!"")))"),"")</f>
        <v/>
      </c>
    </row>
    <row r="242">
      <c r="A242" s="39"/>
      <c r="B242" s="39"/>
      <c r="C242" s="39"/>
      <c r="D242" s="113"/>
      <c r="E242" s="113"/>
      <c r="F242" s="39"/>
      <c r="G242" s="39"/>
      <c r="H242" s="39"/>
      <c r="I242" s="39"/>
      <c r="J242" s="108"/>
      <c r="K242" s="108"/>
      <c r="L242" s="39"/>
      <c r="M242" s="108"/>
      <c r="N242" s="108" t="str">
        <f>IFERROR(__xludf.DUMMYFUNCTION("IF($A242="""","""",HYPERLINK(""https://docs.google.com/spreadsheets/d/1LovjCF_yo-DR4S4HXV7VkZLEyCUjv4US6kt_l-v8-GM/edit#gid=0&amp;range=L""&amp;(REGEXREPLACE($A242,"".* #"","""")+1),IF($I242="""",""View!"",""Verify!"")))"),"")</f>
        <v/>
      </c>
    </row>
    <row r="243">
      <c r="A243" s="39"/>
      <c r="B243" s="39"/>
      <c r="C243" s="39"/>
      <c r="D243" s="113"/>
      <c r="E243" s="113"/>
      <c r="F243" s="39"/>
      <c r="G243" s="39"/>
      <c r="H243" s="39"/>
      <c r="I243" s="39"/>
      <c r="J243" s="108"/>
      <c r="K243" s="108"/>
      <c r="L243" s="39"/>
      <c r="M243" s="108"/>
      <c r="N243" s="108" t="str">
        <f>IFERROR(__xludf.DUMMYFUNCTION("IF($A243="""","""",HYPERLINK(""https://docs.google.com/spreadsheets/d/1LovjCF_yo-DR4S4HXV7VkZLEyCUjv4US6kt_l-v8-GM/edit#gid=0&amp;range=L""&amp;(REGEXREPLACE($A243,"".* #"","""")+1),IF($I243="""",""View!"",""Verify!"")))"),"")</f>
        <v/>
      </c>
    </row>
    <row r="244">
      <c r="A244" s="39"/>
      <c r="B244" s="39"/>
      <c r="C244" s="39"/>
      <c r="D244" s="113"/>
      <c r="E244" s="113"/>
      <c r="F244" s="39"/>
      <c r="G244" s="39"/>
      <c r="H244" s="39"/>
      <c r="I244" s="39"/>
      <c r="J244" s="108"/>
      <c r="K244" s="108"/>
      <c r="L244" s="39"/>
      <c r="M244" s="108"/>
      <c r="N244" s="108" t="str">
        <f>IFERROR(__xludf.DUMMYFUNCTION("IF($A244="""","""",HYPERLINK(""https://docs.google.com/spreadsheets/d/1LovjCF_yo-DR4S4HXV7VkZLEyCUjv4US6kt_l-v8-GM/edit#gid=0&amp;range=L""&amp;(REGEXREPLACE($A244,"".* #"","""")+1),IF($I244="""",""View!"",""Verify!"")))"),"")</f>
        <v/>
      </c>
    </row>
    <row r="245">
      <c r="A245" s="39"/>
      <c r="B245" s="39"/>
      <c r="C245" s="39"/>
      <c r="D245" s="113"/>
      <c r="E245" s="113"/>
      <c r="F245" s="39"/>
      <c r="G245" s="39"/>
      <c r="H245" s="39"/>
      <c r="I245" s="39"/>
      <c r="J245" s="108"/>
      <c r="K245" s="108"/>
      <c r="L245" s="39"/>
      <c r="M245" s="108"/>
      <c r="N245" s="108" t="str">
        <f>IFERROR(__xludf.DUMMYFUNCTION("IF($A245="""","""",HYPERLINK(""https://docs.google.com/spreadsheets/d/1LovjCF_yo-DR4S4HXV7VkZLEyCUjv4US6kt_l-v8-GM/edit#gid=0&amp;range=L""&amp;(REGEXREPLACE($A245,"".* #"","""")+1),IF($I245="""",""View!"",""Verify!"")))"),"")</f>
        <v/>
      </c>
    </row>
    <row r="246">
      <c r="A246" s="39"/>
      <c r="B246" s="39"/>
      <c r="C246" s="39"/>
      <c r="D246" s="113"/>
      <c r="E246" s="113"/>
      <c r="F246" s="39"/>
      <c r="G246" s="39"/>
      <c r="H246" s="39"/>
      <c r="I246" s="39"/>
      <c r="J246" s="108"/>
      <c r="K246" s="108"/>
      <c r="L246" s="39"/>
      <c r="M246" s="108"/>
      <c r="N246" s="108" t="str">
        <f>IFERROR(__xludf.DUMMYFUNCTION("IF($A246="""","""",HYPERLINK(""https://docs.google.com/spreadsheets/d/1LovjCF_yo-DR4S4HXV7VkZLEyCUjv4US6kt_l-v8-GM/edit#gid=0&amp;range=L""&amp;(REGEXREPLACE($A246,"".* #"","""")+1),IF($I246="""",""View!"",""Verify!"")))"),"")</f>
        <v/>
      </c>
    </row>
    <row r="247">
      <c r="A247" s="39"/>
      <c r="B247" s="39"/>
      <c r="C247" s="39"/>
      <c r="D247" s="113"/>
      <c r="E247" s="113"/>
      <c r="F247" s="39"/>
      <c r="G247" s="39"/>
      <c r="H247" s="39"/>
      <c r="I247" s="39"/>
      <c r="J247" s="108"/>
      <c r="K247" s="108"/>
      <c r="L247" s="39"/>
      <c r="M247" s="108"/>
      <c r="N247" s="108" t="str">
        <f>IFERROR(__xludf.DUMMYFUNCTION("IF($A247="""","""",HYPERLINK(""https://docs.google.com/spreadsheets/d/1LovjCF_yo-DR4S4HXV7VkZLEyCUjv4US6kt_l-v8-GM/edit#gid=0&amp;range=L""&amp;(REGEXREPLACE($A247,"".* #"","""")+1),IF($I247="""",""View!"",""Verify!"")))"),"")</f>
        <v/>
      </c>
    </row>
    <row r="248">
      <c r="A248" s="39"/>
      <c r="B248" s="39"/>
      <c r="C248" s="39"/>
      <c r="D248" s="113"/>
      <c r="E248" s="113"/>
      <c r="F248" s="39"/>
      <c r="G248" s="39"/>
      <c r="H248" s="39"/>
      <c r="I248" s="39"/>
      <c r="J248" s="108"/>
      <c r="K248" s="108"/>
      <c r="L248" s="39"/>
      <c r="M248" s="108"/>
      <c r="N248" s="108" t="str">
        <f>IFERROR(__xludf.DUMMYFUNCTION("IF($A248="""","""",HYPERLINK(""https://docs.google.com/spreadsheets/d/1LovjCF_yo-DR4S4HXV7VkZLEyCUjv4US6kt_l-v8-GM/edit#gid=0&amp;range=L""&amp;(REGEXREPLACE($A248,"".* #"","""")+1),IF($I248="""",""View!"",""Verify!"")))"),"")</f>
        <v/>
      </c>
    </row>
    <row r="249">
      <c r="A249" s="39"/>
      <c r="B249" s="39"/>
      <c r="C249" s="39"/>
      <c r="D249" s="113"/>
      <c r="E249" s="113"/>
      <c r="F249" s="39"/>
      <c r="G249" s="39"/>
      <c r="H249" s="39"/>
      <c r="I249" s="39"/>
      <c r="J249" s="108"/>
      <c r="K249" s="108"/>
      <c r="L249" s="39"/>
      <c r="M249" s="108"/>
      <c r="N249" s="108" t="str">
        <f>IFERROR(__xludf.DUMMYFUNCTION("IF($A249="""","""",HYPERLINK(""https://docs.google.com/spreadsheets/d/1LovjCF_yo-DR4S4HXV7VkZLEyCUjv4US6kt_l-v8-GM/edit#gid=0&amp;range=L""&amp;(REGEXREPLACE($A249,"".* #"","""")+1),IF($I249="""",""View!"",""Verify!"")))"),"")</f>
        <v/>
      </c>
    </row>
    <row r="250">
      <c r="A250" s="39"/>
      <c r="B250" s="39"/>
      <c r="C250" s="39"/>
      <c r="D250" s="113"/>
      <c r="E250" s="113"/>
      <c r="F250" s="39"/>
      <c r="G250" s="39"/>
      <c r="H250" s="39"/>
      <c r="I250" s="39"/>
      <c r="J250" s="108"/>
      <c r="K250" s="108"/>
      <c r="L250" s="39"/>
      <c r="M250" s="108"/>
      <c r="N250" s="108" t="str">
        <f>IFERROR(__xludf.DUMMYFUNCTION("IF($A250="""","""",HYPERLINK(""https://docs.google.com/spreadsheets/d/1LovjCF_yo-DR4S4HXV7VkZLEyCUjv4US6kt_l-v8-GM/edit#gid=0&amp;range=L""&amp;(REGEXREPLACE($A250,"".* #"","""")+1),IF($I250="""",""View!"",""Verify!"")))"),"")</f>
        <v/>
      </c>
    </row>
    <row r="251">
      <c r="A251" s="39"/>
      <c r="B251" s="39"/>
      <c r="C251" s="39"/>
      <c r="D251" s="113"/>
      <c r="E251" s="113"/>
      <c r="F251" s="39"/>
      <c r="G251" s="39"/>
      <c r="H251" s="39"/>
      <c r="I251" s="39"/>
      <c r="J251" s="108"/>
      <c r="K251" s="108"/>
      <c r="L251" s="39"/>
      <c r="M251" s="108"/>
      <c r="N251" s="108" t="str">
        <f>IFERROR(__xludf.DUMMYFUNCTION("IF($A251="""","""",HYPERLINK(""https://docs.google.com/spreadsheets/d/1LovjCF_yo-DR4S4HXV7VkZLEyCUjv4US6kt_l-v8-GM/edit#gid=0&amp;range=L""&amp;(REGEXREPLACE($A251,"".* #"","""")+1),IF($I251="""",""View!"",""Verify!"")))"),"")</f>
        <v/>
      </c>
    </row>
    <row r="252">
      <c r="A252" s="39"/>
      <c r="B252" s="39"/>
      <c r="C252" s="39"/>
      <c r="D252" s="113"/>
      <c r="E252" s="113"/>
      <c r="F252" s="39"/>
      <c r="G252" s="39"/>
      <c r="H252" s="39"/>
      <c r="I252" s="39"/>
      <c r="J252" s="108"/>
      <c r="K252" s="108"/>
      <c r="L252" s="39"/>
      <c r="M252" s="108"/>
      <c r="N252" s="108" t="str">
        <f>IFERROR(__xludf.DUMMYFUNCTION("IF($A252="""","""",HYPERLINK(""https://docs.google.com/spreadsheets/d/1LovjCF_yo-DR4S4HXV7VkZLEyCUjv4US6kt_l-v8-GM/edit#gid=0&amp;range=L""&amp;(REGEXREPLACE($A252,"".* #"","""")+1),IF($I252="""",""View!"",""Verify!"")))"),"")</f>
        <v/>
      </c>
    </row>
    <row r="253">
      <c r="A253" s="39"/>
      <c r="B253" s="39"/>
      <c r="C253" s="39"/>
      <c r="D253" s="113"/>
      <c r="E253" s="113"/>
      <c r="F253" s="39"/>
      <c r="G253" s="39"/>
      <c r="H253" s="39"/>
      <c r="I253" s="39"/>
      <c r="J253" s="108"/>
      <c r="K253" s="108"/>
      <c r="L253" s="39"/>
      <c r="M253" s="108"/>
      <c r="N253" s="108" t="str">
        <f>IFERROR(__xludf.DUMMYFUNCTION("IF($A253="""","""",HYPERLINK(""https://docs.google.com/spreadsheets/d/1LovjCF_yo-DR4S4HXV7VkZLEyCUjv4US6kt_l-v8-GM/edit#gid=0&amp;range=L""&amp;(REGEXREPLACE($A253,"".* #"","""")+1),IF($I253="""",""View!"",""Verify!"")))"),"")</f>
        <v/>
      </c>
    </row>
    <row r="254">
      <c r="A254" s="39"/>
      <c r="B254" s="39"/>
      <c r="C254" s="39"/>
      <c r="D254" s="113"/>
      <c r="E254" s="113"/>
      <c r="F254" s="39"/>
      <c r="G254" s="39"/>
      <c r="H254" s="39"/>
      <c r="I254" s="39"/>
      <c r="J254" s="108"/>
      <c r="K254" s="108"/>
      <c r="L254" s="39"/>
      <c r="M254" s="108"/>
      <c r="N254" s="108" t="str">
        <f>IFERROR(__xludf.DUMMYFUNCTION("IF($A254="""","""",HYPERLINK(""https://docs.google.com/spreadsheets/d/1LovjCF_yo-DR4S4HXV7VkZLEyCUjv4US6kt_l-v8-GM/edit#gid=0&amp;range=L""&amp;(REGEXREPLACE($A254,"".* #"","""")+1),IF($I254="""",""View!"",""Verify!"")))"),"")</f>
        <v/>
      </c>
    </row>
    <row r="255">
      <c r="A255" s="39"/>
      <c r="B255" s="39"/>
      <c r="C255" s="39"/>
      <c r="D255" s="113"/>
      <c r="E255" s="113"/>
      <c r="F255" s="39"/>
      <c r="G255" s="39"/>
      <c r="H255" s="39"/>
      <c r="I255" s="39"/>
      <c r="J255" s="108"/>
      <c r="K255" s="108"/>
      <c r="L255" s="39"/>
      <c r="M255" s="108"/>
      <c r="N255" s="108" t="str">
        <f>IFERROR(__xludf.DUMMYFUNCTION("IF($A255="""","""",HYPERLINK(""https://docs.google.com/spreadsheets/d/1LovjCF_yo-DR4S4HXV7VkZLEyCUjv4US6kt_l-v8-GM/edit#gid=0&amp;range=L""&amp;(REGEXREPLACE($A255,"".* #"","""")+1),IF($I255="""",""View!"",""Verify!"")))"),"")</f>
        <v/>
      </c>
    </row>
    <row r="256">
      <c r="A256" s="39"/>
      <c r="B256" s="39"/>
      <c r="C256" s="39"/>
      <c r="D256" s="113"/>
      <c r="E256" s="113"/>
      <c r="F256" s="39"/>
      <c r="G256" s="39"/>
      <c r="H256" s="39"/>
      <c r="I256" s="39"/>
      <c r="J256" s="108"/>
      <c r="K256" s="108"/>
      <c r="L256" s="39"/>
      <c r="M256" s="108"/>
      <c r="N256" s="108" t="str">
        <f>IFERROR(__xludf.DUMMYFUNCTION("IF($A256="""","""",HYPERLINK(""https://docs.google.com/spreadsheets/d/1LovjCF_yo-DR4S4HXV7VkZLEyCUjv4US6kt_l-v8-GM/edit#gid=0&amp;range=L""&amp;(REGEXREPLACE($A256,"".* #"","""")+1),IF($I256="""",""View!"",""Verify!"")))"),"")</f>
        <v/>
      </c>
    </row>
    <row r="257">
      <c r="A257" s="39"/>
      <c r="B257" s="39"/>
      <c r="C257" s="39"/>
      <c r="D257" s="113"/>
      <c r="E257" s="113"/>
      <c r="F257" s="39"/>
      <c r="G257" s="39"/>
      <c r="H257" s="39"/>
      <c r="I257" s="39"/>
      <c r="J257" s="108"/>
      <c r="K257" s="108"/>
      <c r="L257" s="39"/>
      <c r="M257" s="108"/>
      <c r="N257" s="108" t="str">
        <f>IFERROR(__xludf.DUMMYFUNCTION("IF($A257="""","""",HYPERLINK(""https://docs.google.com/spreadsheets/d/1LovjCF_yo-DR4S4HXV7VkZLEyCUjv4US6kt_l-v8-GM/edit#gid=0&amp;range=L""&amp;(REGEXREPLACE($A257,"".* #"","""")+1),IF($I257="""",""View!"",""Verify!"")))"),"")</f>
        <v/>
      </c>
    </row>
    <row r="258">
      <c r="A258" s="39"/>
      <c r="B258" s="39"/>
      <c r="C258" s="39"/>
      <c r="D258" s="113"/>
      <c r="E258" s="113"/>
      <c r="F258" s="39"/>
      <c r="G258" s="39"/>
      <c r="H258" s="39"/>
      <c r="I258" s="39"/>
      <c r="J258" s="108"/>
      <c r="K258" s="108"/>
      <c r="L258" s="39"/>
      <c r="M258" s="108"/>
      <c r="N258" s="108" t="str">
        <f>IFERROR(__xludf.DUMMYFUNCTION("IF($A258="""","""",HYPERLINK(""https://docs.google.com/spreadsheets/d/1LovjCF_yo-DR4S4HXV7VkZLEyCUjv4US6kt_l-v8-GM/edit#gid=0&amp;range=L""&amp;(REGEXREPLACE($A258,"".* #"","""")+1),IF($I258="""",""View!"",""Verify!"")))"),"")</f>
        <v/>
      </c>
    </row>
    <row r="259">
      <c r="A259" s="39"/>
      <c r="B259" s="39"/>
      <c r="C259" s="39"/>
      <c r="D259" s="113"/>
      <c r="E259" s="113"/>
      <c r="F259" s="39"/>
      <c r="G259" s="39"/>
      <c r="H259" s="39"/>
      <c r="I259" s="39"/>
      <c r="J259" s="108"/>
      <c r="K259" s="108"/>
      <c r="L259" s="39"/>
      <c r="M259" s="108"/>
      <c r="N259" s="108" t="str">
        <f>IFERROR(__xludf.DUMMYFUNCTION("IF($A259="""","""",HYPERLINK(""https://docs.google.com/spreadsheets/d/1LovjCF_yo-DR4S4HXV7VkZLEyCUjv4US6kt_l-v8-GM/edit#gid=0&amp;range=L""&amp;(REGEXREPLACE($A259,"".* #"","""")+1),IF($I259="""",""View!"",""Verify!"")))"),"")</f>
        <v/>
      </c>
    </row>
    <row r="260">
      <c r="A260" s="39"/>
      <c r="B260" s="39"/>
      <c r="C260" s="39"/>
      <c r="D260" s="113"/>
      <c r="E260" s="113"/>
      <c r="F260" s="39"/>
      <c r="G260" s="39"/>
      <c r="H260" s="39"/>
      <c r="I260" s="39"/>
      <c r="J260" s="108"/>
      <c r="K260" s="108"/>
      <c r="L260" s="39"/>
      <c r="M260" s="108"/>
      <c r="N260" s="108" t="str">
        <f>IFERROR(__xludf.DUMMYFUNCTION("IF($A260="""","""",HYPERLINK(""https://docs.google.com/spreadsheets/d/1LovjCF_yo-DR4S4HXV7VkZLEyCUjv4US6kt_l-v8-GM/edit#gid=0&amp;range=L""&amp;(REGEXREPLACE($A260,"".* #"","""")+1),IF($I260="""",""View!"",""Verify!"")))"),"")</f>
        <v/>
      </c>
    </row>
    <row r="261">
      <c r="A261" s="39"/>
      <c r="B261" s="39"/>
      <c r="C261" s="39"/>
      <c r="D261" s="113"/>
      <c r="E261" s="113"/>
      <c r="F261" s="39"/>
      <c r="G261" s="39"/>
      <c r="H261" s="39"/>
      <c r="I261" s="39"/>
      <c r="J261" s="108"/>
      <c r="K261" s="108"/>
      <c r="L261" s="39"/>
      <c r="M261" s="108"/>
      <c r="N261" s="108" t="str">
        <f>IFERROR(__xludf.DUMMYFUNCTION("IF($A261="""","""",HYPERLINK(""https://docs.google.com/spreadsheets/d/1LovjCF_yo-DR4S4HXV7VkZLEyCUjv4US6kt_l-v8-GM/edit#gid=0&amp;range=L""&amp;(REGEXREPLACE($A261,"".* #"","""")+1),IF($I261="""",""View!"",""Verify!"")))"),"")</f>
        <v/>
      </c>
    </row>
    <row r="262">
      <c r="A262" s="39"/>
      <c r="B262" s="39"/>
      <c r="C262" s="39"/>
      <c r="D262" s="113"/>
      <c r="E262" s="113"/>
      <c r="F262" s="39"/>
      <c r="G262" s="39"/>
      <c r="H262" s="39"/>
      <c r="I262" s="39"/>
      <c r="J262" s="108"/>
      <c r="K262" s="108"/>
      <c r="L262" s="39"/>
      <c r="M262" s="108"/>
      <c r="N262" s="108" t="str">
        <f>IFERROR(__xludf.DUMMYFUNCTION("IF($A262="""","""",HYPERLINK(""https://docs.google.com/spreadsheets/d/1LovjCF_yo-DR4S4HXV7VkZLEyCUjv4US6kt_l-v8-GM/edit#gid=0&amp;range=L""&amp;(REGEXREPLACE($A262,"".* #"","""")+1),IF($I262="""",""View!"",""Verify!"")))"),"")</f>
        <v/>
      </c>
    </row>
    <row r="263">
      <c r="A263" s="39"/>
      <c r="B263" s="39"/>
      <c r="C263" s="39"/>
      <c r="D263" s="113"/>
      <c r="E263" s="113"/>
      <c r="F263" s="39"/>
      <c r="G263" s="39"/>
      <c r="H263" s="39"/>
      <c r="I263" s="39"/>
      <c r="J263" s="108"/>
      <c r="K263" s="108"/>
      <c r="L263" s="39"/>
      <c r="M263" s="108"/>
      <c r="N263" s="108" t="str">
        <f>IFERROR(__xludf.DUMMYFUNCTION("IF($A263="""","""",HYPERLINK(""https://docs.google.com/spreadsheets/d/1LovjCF_yo-DR4S4HXV7VkZLEyCUjv4US6kt_l-v8-GM/edit#gid=0&amp;range=L""&amp;(REGEXREPLACE($A263,"".* #"","""")+1),IF($I263="""",""View!"",""Verify!"")))"),"")</f>
        <v/>
      </c>
    </row>
    <row r="264">
      <c r="A264" s="39"/>
      <c r="B264" s="39"/>
      <c r="C264" s="39"/>
      <c r="D264" s="113"/>
      <c r="E264" s="113"/>
      <c r="F264" s="39"/>
      <c r="G264" s="39"/>
      <c r="H264" s="39"/>
      <c r="I264" s="39"/>
      <c r="J264" s="108"/>
      <c r="K264" s="108"/>
      <c r="L264" s="39"/>
      <c r="M264" s="108"/>
      <c r="N264" s="108" t="str">
        <f>IFERROR(__xludf.DUMMYFUNCTION("IF($A264="""","""",HYPERLINK(""https://docs.google.com/spreadsheets/d/1LovjCF_yo-DR4S4HXV7VkZLEyCUjv4US6kt_l-v8-GM/edit#gid=0&amp;range=L""&amp;(REGEXREPLACE($A264,"".* #"","""")+1),IF($I264="""",""View!"",""Verify!"")))"),"")</f>
        <v/>
      </c>
    </row>
    <row r="265">
      <c r="A265" s="39"/>
      <c r="B265" s="39"/>
      <c r="C265" s="39"/>
      <c r="D265" s="113"/>
      <c r="E265" s="113"/>
      <c r="F265" s="39"/>
      <c r="G265" s="39"/>
      <c r="H265" s="39"/>
      <c r="I265" s="39"/>
      <c r="J265" s="108"/>
      <c r="K265" s="108"/>
      <c r="L265" s="39"/>
      <c r="M265" s="108"/>
      <c r="N265" s="108" t="str">
        <f>IFERROR(__xludf.DUMMYFUNCTION("IF($A265="""","""",HYPERLINK(""https://docs.google.com/spreadsheets/d/1LovjCF_yo-DR4S4HXV7VkZLEyCUjv4US6kt_l-v8-GM/edit#gid=0&amp;range=L""&amp;(REGEXREPLACE($A265,"".* #"","""")+1),IF($I265="""",""View!"",""Verify!"")))"),"")</f>
        <v/>
      </c>
    </row>
    <row r="266">
      <c r="A266" s="39"/>
      <c r="B266" s="39"/>
      <c r="C266" s="39"/>
      <c r="D266" s="113"/>
      <c r="E266" s="113"/>
      <c r="F266" s="39"/>
      <c r="G266" s="39"/>
      <c r="H266" s="39"/>
      <c r="I266" s="39"/>
      <c r="J266" s="108"/>
      <c r="K266" s="108"/>
      <c r="L266" s="39"/>
      <c r="M266" s="108"/>
      <c r="N266" s="108" t="str">
        <f>IFERROR(__xludf.DUMMYFUNCTION("IF($A266="""","""",HYPERLINK(""https://docs.google.com/spreadsheets/d/1LovjCF_yo-DR4S4HXV7VkZLEyCUjv4US6kt_l-v8-GM/edit#gid=0&amp;range=L""&amp;(REGEXREPLACE($A266,"".* #"","""")+1),IF($I266="""",""View!"",""Verify!"")))"),"")</f>
        <v/>
      </c>
    </row>
    <row r="267">
      <c r="A267" s="39"/>
      <c r="B267" s="39"/>
      <c r="C267" s="39"/>
      <c r="D267" s="113"/>
      <c r="E267" s="113"/>
      <c r="F267" s="39"/>
      <c r="G267" s="39"/>
      <c r="H267" s="39"/>
      <c r="I267" s="39"/>
      <c r="J267" s="108"/>
      <c r="K267" s="108"/>
      <c r="L267" s="39"/>
      <c r="M267" s="108"/>
      <c r="N267" s="108" t="str">
        <f>IFERROR(__xludf.DUMMYFUNCTION("IF($A267="""","""",HYPERLINK(""https://docs.google.com/spreadsheets/d/1LovjCF_yo-DR4S4HXV7VkZLEyCUjv4US6kt_l-v8-GM/edit#gid=0&amp;range=L""&amp;(REGEXREPLACE($A267,"".* #"","""")+1),IF($I267="""",""View!"",""Verify!"")))"),"")</f>
        <v/>
      </c>
    </row>
    <row r="268">
      <c r="A268" s="39"/>
      <c r="B268" s="39"/>
      <c r="C268" s="39"/>
      <c r="D268" s="113"/>
      <c r="E268" s="113"/>
      <c r="F268" s="39"/>
      <c r="G268" s="39"/>
      <c r="H268" s="39"/>
      <c r="I268" s="39"/>
      <c r="J268" s="108"/>
      <c r="K268" s="108"/>
      <c r="L268" s="39"/>
      <c r="M268" s="108"/>
      <c r="N268" s="108" t="str">
        <f>IFERROR(__xludf.DUMMYFUNCTION("IF($A268="""","""",HYPERLINK(""https://docs.google.com/spreadsheets/d/1LovjCF_yo-DR4S4HXV7VkZLEyCUjv4US6kt_l-v8-GM/edit#gid=0&amp;range=L""&amp;(REGEXREPLACE($A268,"".* #"","""")+1),IF($I268="""",""View!"",""Verify!"")))"),"")</f>
        <v/>
      </c>
    </row>
    <row r="269">
      <c r="A269" s="39"/>
      <c r="B269" s="39"/>
      <c r="C269" s="39"/>
      <c r="D269" s="113"/>
      <c r="E269" s="113"/>
      <c r="F269" s="39"/>
      <c r="G269" s="39"/>
      <c r="H269" s="39"/>
      <c r="I269" s="39"/>
      <c r="J269" s="108"/>
      <c r="K269" s="108"/>
      <c r="L269" s="39"/>
      <c r="M269" s="108"/>
      <c r="N269" s="108" t="str">
        <f>IFERROR(__xludf.DUMMYFUNCTION("IF($A269="""","""",HYPERLINK(""https://docs.google.com/spreadsheets/d/1LovjCF_yo-DR4S4HXV7VkZLEyCUjv4US6kt_l-v8-GM/edit#gid=0&amp;range=L""&amp;(REGEXREPLACE($A269,"".* #"","""")+1),IF($I269="""",""View!"",""Verify!"")))"),"")</f>
        <v/>
      </c>
    </row>
    <row r="270">
      <c r="A270" s="39"/>
      <c r="B270" s="39"/>
      <c r="C270" s="39"/>
      <c r="D270" s="113"/>
      <c r="E270" s="113"/>
      <c r="F270" s="39"/>
      <c r="G270" s="39"/>
      <c r="H270" s="39"/>
      <c r="I270" s="39"/>
      <c r="J270" s="108"/>
      <c r="K270" s="108"/>
      <c r="L270" s="39"/>
      <c r="M270" s="108"/>
      <c r="N270" s="108" t="str">
        <f>IFERROR(__xludf.DUMMYFUNCTION("IF($A270="""","""",HYPERLINK(""https://docs.google.com/spreadsheets/d/1LovjCF_yo-DR4S4HXV7VkZLEyCUjv4US6kt_l-v8-GM/edit#gid=0&amp;range=L""&amp;(REGEXREPLACE($A270,"".* #"","""")+1),IF($I270="""",""View!"",""Verify!"")))"),"")</f>
        <v/>
      </c>
    </row>
    <row r="271">
      <c r="A271" s="39"/>
      <c r="B271" s="39"/>
      <c r="C271" s="39"/>
      <c r="D271" s="113"/>
      <c r="E271" s="113"/>
      <c r="F271" s="39"/>
      <c r="G271" s="39"/>
      <c r="H271" s="39"/>
      <c r="I271" s="39"/>
      <c r="J271" s="108"/>
      <c r="K271" s="108"/>
      <c r="L271" s="39"/>
      <c r="M271" s="108"/>
      <c r="N271" s="108" t="str">
        <f>IFERROR(__xludf.DUMMYFUNCTION("IF($A271="""","""",HYPERLINK(""https://docs.google.com/spreadsheets/d/1LovjCF_yo-DR4S4HXV7VkZLEyCUjv4US6kt_l-v8-GM/edit#gid=0&amp;range=L""&amp;(REGEXREPLACE($A271,"".* #"","""")+1),IF($I271="""",""View!"",""Verify!"")))"),"")</f>
        <v/>
      </c>
    </row>
    <row r="272">
      <c r="A272" s="39"/>
      <c r="B272" s="39"/>
      <c r="C272" s="39"/>
      <c r="D272" s="113"/>
      <c r="E272" s="113"/>
      <c r="F272" s="39"/>
      <c r="G272" s="39"/>
      <c r="H272" s="39"/>
      <c r="I272" s="39"/>
      <c r="J272" s="108"/>
      <c r="K272" s="108"/>
      <c r="L272" s="39"/>
      <c r="M272" s="108"/>
      <c r="N272" s="108" t="str">
        <f>IFERROR(__xludf.DUMMYFUNCTION("IF($A272="""","""",HYPERLINK(""https://docs.google.com/spreadsheets/d/1LovjCF_yo-DR4S4HXV7VkZLEyCUjv4US6kt_l-v8-GM/edit#gid=0&amp;range=L""&amp;(REGEXREPLACE($A272,"".* #"","""")+1),IF($I272="""",""View!"",""Verify!"")))"),"")</f>
        <v/>
      </c>
    </row>
    <row r="273">
      <c r="A273" s="39"/>
      <c r="B273" s="39"/>
      <c r="C273" s="39"/>
      <c r="D273" s="113"/>
      <c r="E273" s="113"/>
      <c r="F273" s="39"/>
      <c r="G273" s="39"/>
      <c r="H273" s="39"/>
      <c r="I273" s="39"/>
      <c r="J273" s="108"/>
      <c r="K273" s="108"/>
      <c r="L273" s="39"/>
      <c r="M273" s="108"/>
      <c r="N273" s="108" t="str">
        <f>IFERROR(__xludf.DUMMYFUNCTION("IF($A273="""","""",HYPERLINK(""https://docs.google.com/spreadsheets/d/1LovjCF_yo-DR4S4HXV7VkZLEyCUjv4US6kt_l-v8-GM/edit#gid=0&amp;range=L""&amp;(REGEXREPLACE($A273,"".* #"","""")+1),IF($I273="""",""View!"",""Verify!"")))"),"")</f>
        <v/>
      </c>
    </row>
    <row r="274">
      <c r="A274" s="39"/>
      <c r="B274" s="39"/>
      <c r="C274" s="39"/>
      <c r="D274" s="113"/>
      <c r="E274" s="113"/>
      <c r="F274" s="39"/>
      <c r="G274" s="39"/>
      <c r="H274" s="39"/>
      <c r="I274" s="39"/>
      <c r="J274" s="108"/>
      <c r="K274" s="108"/>
      <c r="L274" s="39"/>
      <c r="M274" s="108"/>
      <c r="N274" s="108" t="str">
        <f>IFERROR(__xludf.DUMMYFUNCTION("IF($A274="""","""",HYPERLINK(""https://docs.google.com/spreadsheets/d/1LovjCF_yo-DR4S4HXV7VkZLEyCUjv4US6kt_l-v8-GM/edit#gid=0&amp;range=L""&amp;(REGEXREPLACE($A274,"".* #"","""")+1),IF($I274="""",""View!"",""Verify!"")))"),"")</f>
        <v/>
      </c>
    </row>
    <row r="275">
      <c r="A275" s="39"/>
      <c r="B275" s="39"/>
      <c r="C275" s="39"/>
      <c r="D275" s="113"/>
      <c r="E275" s="113"/>
      <c r="F275" s="39"/>
      <c r="G275" s="39"/>
      <c r="H275" s="39"/>
      <c r="I275" s="39"/>
      <c r="J275" s="108"/>
      <c r="K275" s="108"/>
      <c r="L275" s="39"/>
      <c r="M275" s="108"/>
      <c r="N275" s="108" t="str">
        <f>IFERROR(__xludf.DUMMYFUNCTION("IF($A275="""","""",HYPERLINK(""https://docs.google.com/spreadsheets/d/1LovjCF_yo-DR4S4HXV7VkZLEyCUjv4US6kt_l-v8-GM/edit#gid=0&amp;range=L""&amp;(REGEXREPLACE($A275,"".* #"","""")+1),IF($I275="""",""View!"",""Verify!"")))"),"")</f>
        <v/>
      </c>
    </row>
    <row r="276">
      <c r="A276" s="39"/>
      <c r="B276" s="39"/>
      <c r="C276" s="39"/>
      <c r="D276" s="113"/>
      <c r="E276" s="113"/>
      <c r="F276" s="39"/>
      <c r="G276" s="39"/>
      <c r="H276" s="39"/>
      <c r="I276" s="39"/>
      <c r="J276" s="108"/>
      <c r="K276" s="108"/>
      <c r="L276" s="39"/>
      <c r="M276" s="108"/>
      <c r="N276" s="108" t="str">
        <f>IFERROR(__xludf.DUMMYFUNCTION("IF($A276="""","""",HYPERLINK(""https://docs.google.com/spreadsheets/d/1LovjCF_yo-DR4S4HXV7VkZLEyCUjv4US6kt_l-v8-GM/edit#gid=0&amp;range=L""&amp;(REGEXREPLACE($A276,"".* #"","""")+1),IF($I276="""",""View!"",""Verify!"")))"),"")</f>
        <v/>
      </c>
    </row>
    <row r="277">
      <c r="A277" s="39"/>
      <c r="B277" s="39"/>
      <c r="C277" s="39"/>
      <c r="D277" s="113"/>
      <c r="E277" s="113"/>
      <c r="F277" s="39"/>
      <c r="G277" s="39"/>
      <c r="H277" s="39"/>
      <c r="I277" s="39"/>
      <c r="J277" s="108"/>
      <c r="K277" s="108"/>
      <c r="L277" s="39"/>
      <c r="M277" s="108"/>
      <c r="N277" s="108" t="str">
        <f>IFERROR(__xludf.DUMMYFUNCTION("IF($A277="""","""",HYPERLINK(""https://docs.google.com/spreadsheets/d/1LovjCF_yo-DR4S4HXV7VkZLEyCUjv4US6kt_l-v8-GM/edit#gid=0&amp;range=L""&amp;(REGEXREPLACE($A277,"".* #"","""")+1),IF($I277="""",""View!"",""Verify!"")))"),"")</f>
        <v/>
      </c>
    </row>
    <row r="278">
      <c r="A278" s="39"/>
      <c r="B278" s="39"/>
      <c r="C278" s="39"/>
      <c r="D278" s="113"/>
      <c r="E278" s="113"/>
      <c r="F278" s="39"/>
      <c r="G278" s="39"/>
      <c r="H278" s="39"/>
      <c r="I278" s="39"/>
      <c r="J278" s="108"/>
      <c r="K278" s="108"/>
      <c r="L278" s="39"/>
      <c r="M278" s="108"/>
      <c r="N278" s="108" t="str">
        <f>IFERROR(__xludf.DUMMYFUNCTION("IF($A278="""","""",HYPERLINK(""https://docs.google.com/spreadsheets/d/1LovjCF_yo-DR4S4HXV7VkZLEyCUjv4US6kt_l-v8-GM/edit#gid=0&amp;range=L""&amp;(REGEXREPLACE($A278,"".* #"","""")+1),IF($I278="""",""View!"",""Verify!"")))"),"")</f>
        <v/>
      </c>
    </row>
    <row r="279">
      <c r="A279" s="39"/>
      <c r="B279" s="39"/>
      <c r="C279" s="39"/>
      <c r="D279" s="113"/>
      <c r="E279" s="113"/>
      <c r="F279" s="39"/>
      <c r="G279" s="39"/>
      <c r="H279" s="39"/>
      <c r="I279" s="39"/>
      <c r="J279" s="108"/>
      <c r="K279" s="108"/>
      <c r="L279" s="39"/>
      <c r="M279" s="108"/>
      <c r="N279" s="108" t="str">
        <f>IFERROR(__xludf.DUMMYFUNCTION("IF($A279="""","""",HYPERLINK(""https://docs.google.com/spreadsheets/d/1LovjCF_yo-DR4S4HXV7VkZLEyCUjv4US6kt_l-v8-GM/edit#gid=0&amp;range=L""&amp;(REGEXREPLACE($A279,"".* #"","""")+1),IF($I279="""",""View!"",""Verify!"")))"),"")</f>
        <v/>
      </c>
    </row>
    <row r="280">
      <c r="A280" s="39"/>
      <c r="B280" s="39"/>
      <c r="C280" s="39"/>
      <c r="D280" s="113"/>
      <c r="E280" s="113"/>
      <c r="F280" s="39"/>
      <c r="G280" s="39"/>
      <c r="H280" s="39"/>
      <c r="I280" s="39"/>
      <c r="J280" s="108"/>
      <c r="K280" s="108"/>
      <c r="L280" s="39"/>
      <c r="M280" s="108"/>
      <c r="N280" s="108" t="str">
        <f>IFERROR(__xludf.DUMMYFUNCTION("IF($A280="""","""",HYPERLINK(""https://docs.google.com/spreadsheets/d/1LovjCF_yo-DR4S4HXV7VkZLEyCUjv4US6kt_l-v8-GM/edit#gid=0&amp;range=L""&amp;(REGEXREPLACE($A280,"".* #"","""")+1),IF($I280="""",""View!"",""Verify!"")))"),"")</f>
        <v/>
      </c>
    </row>
    <row r="281">
      <c r="A281" s="39"/>
      <c r="B281" s="39"/>
      <c r="C281" s="39"/>
      <c r="D281" s="113"/>
      <c r="E281" s="113"/>
      <c r="F281" s="39"/>
      <c r="G281" s="39"/>
      <c r="H281" s="39"/>
      <c r="I281" s="39"/>
      <c r="J281" s="108"/>
      <c r="K281" s="108"/>
      <c r="L281" s="39"/>
      <c r="M281" s="108"/>
      <c r="N281" s="108" t="str">
        <f>IFERROR(__xludf.DUMMYFUNCTION("IF($A281="""","""",HYPERLINK(""https://docs.google.com/spreadsheets/d/1LovjCF_yo-DR4S4HXV7VkZLEyCUjv4US6kt_l-v8-GM/edit#gid=0&amp;range=L""&amp;(REGEXREPLACE($A281,"".* #"","""")+1),IF($I281="""",""View!"",""Verify!"")))"),"")</f>
        <v/>
      </c>
    </row>
    <row r="282">
      <c r="A282" s="39"/>
      <c r="B282" s="39"/>
      <c r="C282" s="39"/>
      <c r="D282" s="113"/>
      <c r="E282" s="113"/>
      <c r="F282" s="39"/>
      <c r="G282" s="39"/>
      <c r="H282" s="39"/>
      <c r="I282" s="39"/>
      <c r="J282" s="108"/>
      <c r="K282" s="108"/>
      <c r="L282" s="39"/>
      <c r="M282" s="108"/>
      <c r="N282" s="108" t="str">
        <f>IFERROR(__xludf.DUMMYFUNCTION("IF($A282="""","""",HYPERLINK(""https://docs.google.com/spreadsheets/d/1LovjCF_yo-DR4S4HXV7VkZLEyCUjv4US6kt_l-v8-GM/edit#gid=0&amp;range=L""&amp;(REGEXREPLACE($A282,"".* #"","""")+1),IF($I282="""",""View!"",""Verify!"")))"),"")</f>
        <v/>
      </c>
    </row>
    <row r="283">
      <c r="A283" s="39"/>
      <c r="B283" s="39"/>
      <c r="C283" s="39"/>
      <c r="D283" s="113"/>
      <c r="E283" s="113"/>
      <c r="F283" s="39"/>
      <c r="G283" s="39"/>
      <c r="H283" s="39"/>
      <c r="I283" s="39"/>
      <c r="J283" s="108"/>
      <c r="K283" s="108"/>
      <c r="L283" s="39"/>
      <c r="M283" s="108"/>
      <c r="N283" s="108" t="str">
        <f>IFERROR(__xludf.DUMMYFUNCTION("IF($A283="""","""",HYPERLINK(""https://docs.google.com/spreadsheets/d/1LovjCF_yo-DR4S4HXV7VkZLEyCUjv4US6kt_l-v8-GM/edit#gid=0&amp;range=L""&amp;(REGEXREPLACE($A283,"".* #"","""")+1),IF($I283="""",""View!"",""Verify!"")))"),"")</f>
        <v/>
      </c>
    </row>
    <row r="284">
      <c r="A284" s="39"/>
      <c r="B284" s="39"/>
      <c r="C284" s="39"/>
      <c r="D284" s="113"/>
      <c r="E284" s="113"/>
      <c r="F284" s="39"/>
      <c r="G284" s="39"/>
      <c r="H284" s="39"/>
      <c r="I284" s="39"/>
      <c r="J284" s="108"/>
      <c r="K284" s="108"/>
      <c r="L284" s="39"/>
      <c r="M284" s="108"/>
      <c r="N284" s="108" t="str">
        <f>IFERROR(__xludf.DUMMYFUNCTION("IF($A284="""","""",HYPERLINK(""https://docs.google.com/spreadsheets/d/1LovjCF_yo-DR4S4HXV7VkZLEyCUjv4US6kt_l-v8-GM/edit#gid=0&amp;range=L""&amp;(REGEXREPLACE($A284,"".* #"","""")+1),IF($I284="""",""View!"",""Verify!"")))"),"")</f>
        <v/>
      </c>
    </row>
    <row r="285">
      <c r="A285" s="39"/>
      <c r="B285" s="39"/>
      <c r="C285" s="39"/>
      <c r="D285" s="113"/>
      <c r="E285" s="113"/>
      <c r="F285" s="39"/>
      <c r="G285" s="39"/>
      <c r="H285" s="39"/>
      <c r="I285" s="39"/>
      <c r="J285" s="108"/>
      <c r="K285" s="108"/>
      <c r="L285" s="39"/>
      <c r="M285" s="108"/>
      <c r="N285" s="108" t="str">
        <f>IFERROR(__xludf.DUMMYFUNCTION("IF($A285="""","""",HYPERLINK(""https://docs.google.com/spreadsheets/d/1LovjCF_yo-DR4S4HXV7VkZLEyCUjv4US6kt_l-v8-GM/edit#gid=0&amp;range=L""&amp;(REGEXREPLACE($A285,"".* #"","""")+1),IF($I285="""",""View!"",""Verify!"")))"),"")</f>
        <v/>
      </c>
    </row>
    <row r="286">
      <c r="A286" s="39"/>
      <c r="B286" s="39"/>
      <c r="C286" s="39"/>
      <c r="D286" s="113"/>
      <c r="E286" s="113"/>
      <c r="F286" s="39"/>
      <c r="G286" s="39"/>
      <c r="H286" s="39"/>
      <c r="I286" s="39"/>
      <c r="J286" s="108"/>
      <c r="K286" s="108"/>
      <c r="L286" s="39"/>
      <c r="M286" s="108"/>
      <c r="N286" s="108" t="str">
        <f>IFERROR(__xludf.DUMMYFUNCTION("IF($A286="""","""",HYPERLINK(""https://docs.google.com/spreadsheets/d/1LovjCF_yo-DR4S4HXV7VkZLEyCUjv4US6kt_l-v8-GM/edit#gid=0&amp;range=L""&amp;(REGEXREPLACE($A286,"".* #"","""")+1),IF($I286="""",""View!"",""Verify!"")))"),"")</f>
        <v/>
      </c>
    </row>
    <row r="287">
      <c r="A287" s="39"/>
      <c r="B287" s="39"/>
      <c r="C287" s="39"/>
      <c r="D287" s="113"/>
      <c r="E287" s="113"/>
      <c r="F287" s="39"/>
      <c r="G287" s="39"/>
      <c r="H287" s="39"/>
      <c r="I287" s="39"/>
      <c r="J287" s="108"/>
      <c r="K287" s="108"/>
      <c r="L287" s="39"/>
      <c r="M287" s="108"/>
      <c r="N287" s="108" t="str">
        <f>IFERROR(__xludf.DUMMYFUNCTION("IF($A287="""","""",HYPERLINK(""https://docs.google.com/spreadsheets/d/1LovjCF_yo-DR4S4HXV7VkZLEyCUjv4US6kt_l-v8-GM/edit#gid=0&amp;range=L""&amp;(REGEXREPLACE($A287,"".* #"","""")+1),IF($I287="""",""View!"",""Verify!"")))"),"")</f>
        <v/>
      </c>
    </row>
    <row r="288">
      <c r="A288" s="39"/>
      <c r="B288" s="39"/>
      <c r="C288" s="39"/>
      <c r="D288" s="113"/>
      <c r="E288" s="113"/>
      <c r="F288" s="39"/>
      <c r="G288" s="39"/>
      <c r="H288" s="39"/>
      <c r="I288" s="39"/>
      <c r="J288" s="108"/>
      <c r="K288" s="108"/>
      <c r="L288" s="39"/>
      <c r="M288" s="108"/>
      <c r="N288" s="108" t="str">
        <f>IFERROR(__xludf.DUMMYFUNCTION("IF($A288="""","""",HYPERLINK(""https://docs.google.com/spreadsheets/d/1LovjCF_yo-DR4S4HXV7VkZLEyCUjv4US6kt_l-v8-GM/edit#gid=0&amp;range=L""&amp;(REGEXREPLACE($A288,"".* #"","""")+1),IF($I288="""",""View!"",""Verify!"")))"),"")</f>
        <v/>
      </c>
    </row>
    <row r="289">
      <c r="A289" s="39"/>
      <c r="B289" s="39"/>
      <c r="C289" s="39"/>
      <c r="D289" s="113"/>
      <c r="E289" s="113"/>
      <c r="F289" s="39"/>
      <c r="G289" s="39"/>
      <c r="H289" s="39"/>
      <c r="I289" s="39"/>
      <c r="J289" s="108"/>
      <c r="K289" s="108"/>
      <c r="L289" s="39"/>
      <c r="M289" s="108"/>
      <c r="N289" s="108" t="str">
        <f>IFERROR(__xludf.DUMMYFUNCTION("IF($A289="""","""",HYPERLINK(""https://docs.google.com/spreadsheets/d/1LovjCF_yo-DR4S4HXV7VkZLEyCUjv4US6kt_l-v8-GM/edit#gid=0&amp;range=L""&amp;(REGEXREPLACE($A289,"".* #"","""")+1),IF($I289="""",""View!"",""Verify!"")))"),"")</f>
        <v/>
      </c>
    </row>
    <row r="290">
      <c r="A290" s="39"/>
      <c r="B290" s="39"/>
      <c r="C290" s="39"/>
      <c r="D290" s="113"/>
      <c r="E290" s="113"/>
      <c r="F290" s="39"/>
      <c r="G290" s="39"/>
      <c r="H290" s="39"/>
      <c r="I290" s="39"/>
      <c r="J290" s="108"/>
      <c r="K290" s="108"/>
      <c r="L290" s="39"/>
      <c r="M290" s="108"/>
      <c r="N290" s="108" t="str">
        <f>IFERROR(__xludf.DUMMYFUNCTION("IF($A290="""","""",HYPERLINK(""https://docs.google.com/spreadsheets/d/1LovjCF_yo-DR4S4HXV7VkZLEyCUjv4US6kt_l-v8-GM/edit#gid=0&amp;range=L""&amp;(REGEXREPLACE($A290,"".* #"","""")+1),IF($I290="""",""View!"",""Verify!"")))"),"")</f>
        <v/>
      </c>
    </row>
    <row r="291">
      <c r="A291" s="39"/>
      <c r="B291" s="39"/>
      <c r="C291" s="39"/>
      <c r="D291" s="113"/>
      <c r="E291" s="113"/>
      <c r="F291" s="39"/>
      <c r="G291" s="39"/>
      <c r="H291" s="39"/>
      <c r="I291" s="39"/>
      <c r="J291" s="108"/>
      <c r="K291" s="108"/>
      <c r="L291" s="39"/>
      <c r="M291" s="108"/>
      <c r="N291" s="108" t="str">
        <f>IFERROR(__xludf.DUMMYFUNCTION("IF($A291="""","""",HYPERLINK(""https://docs.google.com/spreadsheets/d/1LovjCF_yo-DR4S4HXV7VkZLEyCUjv4US6kt_l-v8-GM/edit#gid=0&amp;range=L""&amp;(REGEXREPLACE($A291,"".* #"","""")+1),IF($I291="""",""View!"",""Verify!"")))"),"")</f>
        <v/>
      </c>
    </row>
    <row r="292">
      <c r="A292" s="39"/>
      <c r="B292" s="39"/>
      <c r="C292" s="39"/>
      <c r="D292" s="113"/>
      <c r="E292" s="113"/>
      <c r="F292" s="39"/>
      <c r="G292" s="39"/>
      <c r="H292" s="39"/>
      <c r="I292" s="39"/>
      <c r="J292" s="108"/>
      <c r="K292" s="108"/>
      <c r="L292" s="39"/>
      <c r="M292" s="108"/>
      <c r="N292" s="108" t="str">
        <f>IFERROR(__xludf.DUMMYFUNCTION("IF($A292="""","""",HYPERLINK(""https://docs.google.com/spreadsheets/d/1LovjCF_yo-DR4S4HXV7VkZLEyCUjv4US6kt_l-v8-GM/edit#gid=0&amp;range=L""&amp;(REGEXREPLACE($A292,"".* #"","""")+1),IF($I292="""",""View!"",""Verify!"")))"),"")</f>
        <v/>
      </c>
    </row>
    <row r="293">
      <c r="A293" s="39"/>
      <c r="B293" s="39"/>
      <c r="C293" s="39"/>
      <c r="D293" s="113"/>
      <c r="E293" s="113"/>
      <c r="F293" s="39"/>
      <c r="G293" s="39"/>
      <c r="H293" s="39"/>
      <c r="I293" s="39"/>
      <c r="J293" s="108"/>
      <c r="K293" s="108"/>
      <c r="L293" s="39"/>
      <c r="M293" s="108"/>
      <c r="N293" s="108" t="str">
        <f>IFERROR(__xludf.DUMMYFUNCTION("IF($A293="""","""",HYPERLINK(""https://docs.google.com/spreadsheets/d/1LovjCF_yo-DR4S4HXV7VkZLEyCUjv4US6kt_l-v8-GM/edit#gid=0&amp;range=L""&amp;(REGEXREPLACE($A293,"".* #"","""")+1),IF($I293="""",""View!"",""Verify!"")))"),"")</f>
        <v/>
      </c>
    </row>
    <row r="294">
      <c r="A294" s="39"/>
      <c r="B294" s="39"/>
      <c r="C294" s="39"/>
      <c r="D294" s="113"/>
      <c r="E294" s="113"/>
      <c r="F294" s="39"/>
      <c r="G294" s="39"/>
      <c r="H294" s="39"/>
      <c r="I294" s="39"/>
      <c r="J294" s="108"/>
      <c r="K294" s="108"/>
      <c r="L294" s="39"/>
      <c r="M294" s="108"/>
      <c r="N294" s="108" t="str">
        <f>IFERROR(__xludf.DUMMYFUNCTION("IF($A294="""","""",HYPERLINK(""https://docs.google.com/spreadsheets/d/1LovjCF_yo-DR4S4HXV7VkZLEyCUjv4US6kt_l-v8-GM/edit#gid=0&amp;range=L""&amp;(REGEXREPLACE($A294,"".* #"","""")+1),IF($I294="""",""View!"",""Verify!"")))"),"")</f>
        <v/>
      </c>
    </row>
    <row r="295">
      <c r="A295" s="39"/>
      <c r="B295" s="39"/>
      <c r="C295" s="39"/>
      <c r="D295" s="113"/>
      <c r="E295" s="113"/>
      <c r="F295" s="39"/>
      <c r="G295" s="39"/>
      <c r="H295" s="39"/>
      <c r="I295" s="39"/>
      <c r="J295" s="108"/>
      <c r="K295" s="108"/>
      <c r="L295" s="39"/>
      <c r="M295" s="108"/>
      <c r="N295" s="108" t="str">
        <f>IFERROR(__xludf.DUMMYFUNCTION("IF($A295="""","""",HYPERLINK(""https://docs.google.com/spreadsheets/d/1LovjCF_yo-DR4S4HXV7VkZLEyCUjv4US6kt_l-v8-GM/edit#gid=0&amp;range=L""&amp;(REGEXREPLACE($A295,"".* #"","""")+1),IF($I295="""",""View!"",""Verify!"")))"),"")</f>
        <v/>
      </c>
    </row>
    <row r="296">
      <c r="A296" s="39"/>
      <c r="B296" s="39"/>
      <c r="C296" s="39"/>
      <c r="D296" s="113"/>
      <c r="E296" s="113"/>
      <c r="F296" s="39"/>
      <c r="G296" s="39"/>
      <c r="H296" s="39"/>
      <c r="I296" s="39"/>
      <c r="J296" s="108"/>
      <c r="K296" s="108"/>
      <c r="L296" s="39"/>
      <c r="M296" s="108"/>
      <c r="N296" s="108" t="str">
        <f>IFERROR(__xludf.DUMMYFUNCTION("IF($A296="""","""",HYPERLINK(""https://docs.google.com/spreadsheets/d/1LovjCF_yo-DR4S4HXV7VkZLEyCUjv4US6kt_l-v8-GM/edit#gid=0&amp;range=L""&amp;(REGEXREPLACE($A296,"".* #"","""")+1),IF($I296="""",""View!"",""Verify!"")))"),"")</f>
        <v/>
      </c>
    </row>
    <row r="297">
      <c r="A297" s="39"/>
      <c r="B297" s="39"/>
      <c r="C297" s="39"/>
      <c r="D297" s="113"/>
      <c r="E297" s="113"/>
      <c r="F297" s="39"/>
      <c r="G297" s="39"/>
      <c r="H297" s="39"/>
      <c r="I297" s="39"/>
      <c r="J297" s="108"/>
      <c r="K297" s="108"/>
      <c r="L297" s="39"/>
      <c r="M297" s="108"/>
      <c r="N297" s="108" t="str">
        <f>IFERROR(__xludf.DUMMYFUNCTION("IF($A297="""","""",HYPERLINK(""https://docs.google.com/spreadsheets/d/1LovjCF_yo-DR4S4HXV7VkZLEyCUjv4US6kt_l-v8-GM/edit#gid=0&amp;range=L""&amp;(REGEXREPLACE($A297,"".* #"","""")+1),IF($I297="""",""View!"",""Verify!"")))"),"")</f>
        <v/>
      </c>
    </row>
    <row r="298">
      <c r="A298" s="39"/>
      <c r="B298" s="39"/>
      <c r="C298" s="39"/>
      <c r="D298" s="113"/>
      <c r="E298" s="113"/>
      <c r="F298" s="39"/>
      <c r="G298" s="39"/>
      <c r="H298" s="39"/>
      <c r="I298" s="39"/>
      <c r="J298" s="108"/>
      <c r="K298" s="108"/>
      <c r="L298" s="39"/>
      <c r="M298" s="108"/>
      <c r="N298" s="108" t="str">
        <f>IFERROR(__xludf.DUMMYFUNCTION("IF($A298="""","""",HYPERLINK(""https://docs.google.com/spreadsheets/d/1LovjCF_yo-DR4S4HXV7VkZLEyCUjv4US6kt_l-v8-GM/edit#gid=0&amp;range=L""&amp;(REGEXREPLACE($A298,"".* #"","""")+1),IF($I298="""",""View!"",""Verify!"")))"),"")</f>
        <v/>
      </c>
    </row>
    <row r="299">
      <c r="A299" s="39"/>
      <c r="B299" s="39"/>
      <c r="C299" s="39"/>
      <c r="D299" s="113"/>
      <c r="E299" s="113"/>
      <c r="F299" s="39"/>
      <c r="G299" s="39"/>
      <c r="H299" s="39"/>
      <c r="I299" s="39"/>
      <c r="J299" s="108"/>
      <c r="K299" s="108"/>
      <c r="L299" s="39"/>
      <c r="M299" s="108"/>
      <c r="N299" s="108" t="str">
        <f>IFERROR(__xludf.DUMMYFUNCTION("IF($A299="""","""",HYPERLINK(""https://docs.google.com/spreadsheets/d/1LovjCF_yo-DR4S4HXV7VkZLEyCUjv4US6kt_l-v8-GM/edit#gid=0&amp;range=L""&amp;(REGEXREPLACE($A299,"".* #"","""")+1),IF($I299="""",""View!"",""Verify!"")))"),"")</f>
        <v/>
      </c>
    </row>
    <row r="300">
      <c r="A300" s="39"/>
      <c r="B300" s="39"/>
      <c r="C300" s="39"/>
      <c r="D300" s="113"/>
      <c r="E300" s="113"/>
      <c r="F300" s="39"/>
      <c r="G300" s="39"/>
      <c r="H300" s="39"/>
      <c r="I300" s="39"/>
      <c r="J300" s="108"/>
      <c r="K300" s="108"/>
      <c r="L300" s="39"/>
      <c r="M300" s="108"/>
      <c r="N300" s="108" t="str">
        <f>IFERROR(__xludf.DUMMYFUNCTION("IF($A300="""","""",HYPERLINK(""https://docs.google.com/spreadsheets/d/1LovjCF_yo-DR4S4HXV7VkZLEyCUjv4US6kt_l-v8-GM/edit#gid=0&amp;range=L""&amp;(REGEXREPLACE($A300,"".* #"","""")+1),IF($I300="""",""View!"",""Verify!"")))"),"")</f>
        <v/>
      </c>
    </row>
    <row r="301">
      <c r="A301" s="39"/>
      <c r="B301" s="39"/>
      <c r="C301" s="39"/>
      <c r="D301" s="113"/>
      <c r="E301" s="113"/>
      <c r="F301" s="39"/>
      <c r="G301" s="39"/>
      <c r="H301" s="39"/>
      <c r="I301" s="39"/>
      <c r="J301" s="108"/>
      <c r="K301" s="108"/>
      <c r="L301" s="39"/>
      <c r="M301" s="108"/>
      <c r="N301" s="108" t="str">
        <f>IFERROR(__xludf.DUMMYFUNCTION("IF($A301="""","""",HYPERLINK(""https://docs.google.com/spreadsheets/d/1LovjCF_yo-DR4S4HXV7VkZLEyCUjv4US6kt_l-v8-GM/edit#gid=0&amp;range=L""&amp;(REGEXREPLACE($A301,"".* #"","""")+1),IF($I301="""",""View!"",""Verify!"")))"),"")</f>
        <v/>
      </c>
    </row>
    <row r="302">
      <c r="A302" s="39"/>
      <c r="B302" s="39"/>
      <c r="C302" s="39"/>
      <c r="D302" s="113"/>
      <c r="E302" s="113"/>
      <c r="F302" s="39"/>
      <c r="G302" s="39"/>
      <c r="H302" s="39"/>
      <c r="I302" s="39"/>
      <c r="J302" s="108"/>
      <c r="K302" s="108"/>
      <c r="L302" s="39"/>
      <c r="M302" s="108"/>
      <c r="N302" s="108" t="str">
        <f>IFERROR(__xludf.DUMMYFUNCTION("IF($A302="""","""",HYPERLINK(""https://docs.google.com/spreadsheets/d/1LovjCF_yo-DR4S4HXV7VkZLEyCUjv4US6kt_l-v8-GM/edit#gid=0&amp;range=L""&amp;(REGEXREPLACE($A302,"".* #"","""")+1),IF($I302="""",""View!"",""Verify!"")))"),"")</f>
        <v/>
      </c>
    </row>
    <row r="303">
      <c r="A303" s="39"/>
      <c r="B303" s="39"/>
      <c r="C303" s="39"/>
      <c r="D303" s="113"/>
      <c r="E303" s="113"/>
      <c r="F303" s="39"/>
      <c r="G303" s="39"/>
      <c r="H303" s="39"/>
      <c r="I303" s="39"/>
      <c r="J303" s="108"/>
      <c r="K303" s="108"/>
      <c r="L303" s="39"/>
      <c r="M303" s="108"/>
      <c r="N303" s="108" t="str">
        <f>IFERROR(__xludf.DUMMYFUNCTION("IF($A303="""","""",HYPERLINK(""https://docs.google.com/spreadsheets/d/1LovjCF_yo-DR4S4HXV7VkZLEyCUjv4US6kt_l-v8-GM/edit#gid=0&amp;range=L""&amp;(REGEXREPLACE($A303,"".* #"","""")+1),IF($I303="""",""View!"",""Verify!"")))"),"")</f>
        <v/>
      </c>
    </row>
    <row r="304">
      <c r="A304" s="39"/>
      <c r="B304" s="39"/>
      <c r="C304" s="39"/>
      <c r="D304" s="113"/>
      <c r="E304" s="113"/>
      <c r="F304" s="39"/>
      <c r="G304" s="39"/>
      <c r="H304" s="39"/>
      <c r="I304" s="39"/>
      <c r="J304" s="108"/>
      <c r="K304" s="108"/>
      <c r="L304" s="39"/>
      <c r="M304" s="108"/>
      <c r="N304" s="108" t="str">
        <f>IFERROR(__xludf.DUMMYFUNCTION("IF($A304="""","""",HYPERLINK(""https://docs.google.com/spreadsheets/d/1LovjCF_yo-DR4S4HXV7VkZLEyCUjv4US6kt_l-v8-GM/edit#gid=0&amp;range=L""&amp;(REGEXREPLACE($A304,"".* #"","""")+1),IF($I304="""",""View!"",""Verify!"")))"),"")</f>
        <v/>
      </c>
    </row>
    <row r="305">
      <c r="A305" s="39"/>
      <c r="B305" s="39"/>
      <c r="C305" s="39"/>
      <c r="D305" s="113"/>
      <c r="E305" s="113"/>
      <c r="F305" s="39"/>
      <c r="G305" s="39"/>
      <c r="H305" s="39"/>
      <c r="I305" s="39"/>
      <c r="J305" s="108"/>
      <c r="K305" s="108"/>
      <c r="L305" s="39"/>
      <c r="M305" s="108"/>
      <c r="N305" s="108" t="str">
        <f>IFERROR(__xludf.DUMMYFUNCTION("IF($A305="""","""",HYPERLINK(""https://docs.google.com/spreadsheets/d/1LovjCF_yo-DR4S4HXV7VkZLEyCUjv4US6kt_l-v8-GM/edit#gid=0&amp;range=L""&amp;(REGEXREPLACE($A305,"".* #"","""")+1),IF($I305="""",""View!"",""Verify!"")))"),"")</f>
        <v/>
      </c>
    </row>
    <row r="306">
      <c r="A306" s="39"/>
      <c r="B306" s="39"/>
      <c r="C306" s="39"/>
      <c r="D306" s="113"/>
      <c r="E306" s="113"/>
      <c r="F306" s="39"/>
      <c r="G306" s="39"/>
      <c r="H306" s="39"/>
      <c r="I306" s="39"/>
      <c r="J306" s="108"/>
      <c r="K306" s="108"/>
      <c r="L306" s="39"/>
      <c r="M306" s="108"/>
      <c r="N306" s="108" t="str">
        <f>IFERROR(__xludf.DUMMYFUNCTION("IF($A306="""","""",HYPERLINK(""https://docs.google.com/spreadsheets/d/1LovjCF_yo-DR4S4HXV7VkZLEyCUjv4US6kt_l-v8-GM/edit#gid=0&amp;range=L""&amp;(REGEXREPLACE($A306,"".* #"","""")+1),IF($I306="""",""View!"",""Verify!"")))"),"")</f>
        <v/>
      </c>
    </row>
    <row r="307">
      <c r="A307" s="39"/>
      <c r="B307" s="39"/>
      <c r="C307" s="39"/>
      <c r="D307" s="113"/>
      <c r="E307" s="113"/>
      <c r="F307" s="39"/>
      <c r="G307" s="39"/>
      <c r="H307" s="39"/>
      <c r="I307" s="39"/>
      <c r="J307" s="108"/>
      <c r="K307" s="108"/>
      <c r="L307" s="39"/>
      <c r="M307" s="108"/>
      <c r="N307" s="108" t="str">
        <f>IFERROR(__xludf.DUMMYFUNCTION("IF($A307="""","""",HYPERLINK(""https://docs.google.com/spreadsheets/d/1LovjCF_yo-DR4S4HXV7VkZLEyCUjv4US6kt_l-v8-GM/edit#gid=0&amp;range=L""&amp;(REGEXREPLACE($A307,"".* #"","""")+1),IF($I307="""",""View!"",""Verify!"")))"),"")</f>
        <v/>
      </c>
    </row>
    <row r="308">
      <c r="A308" s="39"/>
      <c r="B308" s="39"/>
      <c r="C308" s="39"/>
      <c r="D308" s="113"/>
      <c r="E308" s="113"/>
      <c r="F308" s="39"/>
      <c r="G308" s="39"/>
      <c r="H308" s="39"/>
      <c r="I308" s="39"/>
      <c r="J308" s="108"/>
      <c r="K308" s="108"/>
      <c r="L308" s="39"/>
      <c r="M308" s="108"/>
      <c r="N308" s="108" t="str">
        <f>IFERROR(__xludf.DUMMYFUNCTION("IF($A308="""","""",HYPERLINK(""https://docs.google.com/spreadsheets/d/1LovjCF_yo-DR4S4HXV7VkZLEyCUjv4US6kt_l-v8-GM/edit#gid=0&amp;range=L""&amp;(REGEXREPLACE($A308,"".* #"","""")+1),IF($I308="""",""View!"",""Verify!"")))"),"")</f>
        <v/>
      </c>
    </row>
    <row r="309">
      <c r="A309" s="39"/>
      <c r="B309" s="39"/>
      <c r="C309" s="39"/>
      <c r="D309" s="113"/>
      <c r="E309" s="113"/>
      <c r="F309" s="39"/>
      <c r="G309" s="39"/>
      <c r="H309" s="39"/>
      <c r="I309" s="39"/>
      <c r="J309" s="108"/>
      <c r="K309" s="108"/>
      <c r="L309" s="39"/>
      <c r="M309" s="108"/>
      <c r="N309" s="108" t="str">
        <f>IFERROR(__xludf.DUMMYFUNCTION("IF($A309="""","""",HYPERLINK(""https://docs.google.com/spreadsheets/d/1LovjCF_yo-DR4S4HXV7VkZLEyCUjv4US6kt_l-v8-GM/edit#gid=0&amp;range=L""&amp;(REGEXREPLACE($A309,"".* #"","""")+1),IF($I309="""",""View!"",""Verify!"")))"),"")</f>
        <v/>
      </c>
    </row>
    <row r="310">
      <c r="A310" s="39"/>
      <c r="B310" s="39"/>
      <c r="C310" s="39"/>
      <c r="D310" s="113"/>
      <c r="E310" s="113"/>
      <c r="F310" s="39"/>
      <c r="G310" s="39"/>
      <c r="H310" s="39"/>
      <c r="I310" s="39"/>
      <c r="J310" s="108"/>
      <c r="K310" s="108"/>
      <c r="L310" s="39"/>
      <c r="M310" s="108"/>
      <c r="N310" s="108" t="str">
        <f>IFERROR(__xludf.DUMMYFUNCTION("IF($A310="""","""",HYPERLINK(""https://docs.google.com/spreadsheets/d/1LovjCF_yo-DR4S4HXV7VkZLEyCUjv4US6kt_l-v8-GM/edit#gid=0&amp;range=L""&amp;(REGEXREPLACE($A310,"".* #"","""")+1),IF($I310="""",""View!"",""Verify!"")))"),"")</f>
        <v/>
      </c>
    </row>
    <row r="311">
      <c r="A311" s="39"/>
      <c r="B311" s="39"/>
      <c r="C311" s="39"/>
      <c r="D311" s="113"/>
      <c r="E311" s="113"/>
      <c r="F311" s="39"/>
      <c r="G311" s="39"/>
      <c r="H311" s="39"/>
      <c r="I311" s="39"/>
      <c r="J311" s="108"/>
      <c r="K311" s="108"/>
      <c r="L311" s="39"/>
      <c r="M311" s="108"/>
      <c r="N311" s="108" t="str">
        <f>IFERROR(__xludf.DUMMYFUNCTION("IF($A311="""","""",HYPERLINK(""https://docs.google.com/spreadsheets/d/1LovjCF_yo-DR4S4HXV7VkZLEyCUjv4US6kt_l-v8-GM/edit#gid=0&amp;range=L""&amp;(REGEXREPLACE($A311,"".* #"","""")+1),IF($I311="""",""View!"",""Verify!"")))"),"")</f>
        <v/>
      </c>
    </row>
    <row r="312">
      <c r="A312" s="39"/>
      <c r="B312" s="39"/>
      <c r="C312" s="39"/>
      <c r="D312" s="113"/>
      <c r="E312" s="113"/>
      <c r="F312" s="39"/>
      <c r="G312" s="39"/>
      <c r="H312" s="39"/>
      <c r="I312" s="39"/>
      <c r="J312" s="108"/>
      <c r="K312" s="108"/>
      <c r="L312" s="39"/>
      <c r="M312" s="108"/>
      <c r="N312" s="108" t="str">
        <f>IFERROR(__xludf.DUMMYFUNCTION("IF($A312="""","""",HYPERLINK(""https://docs.google.com/spreadsheets/d/1LovjCF_yo-DR4S4HXV7VkZLEyCUjv4US6kt_l-v8-GM/edit#gid=0&amp;range=L""&amp;(REGEXREPLACE($A312,"".* #"","""")+1),IF($I312="""",""View!"",""Verify!"")))"),"")</f>
        <v/>
      </c>
    </row>
    <row r="313">
      <c r="A313" s="39"/>
      <c r="B313" s="39"/>
      <c r="C313" s="39"/>
      <c r="D313" s="113"/>
      <c r="E313" s="113"/>
      <c r="F313" s="39"/>
      <c r="G313" s="39"/>
      <c r="H313" s="39"/>
      <c r="I313" s="39"/>
      <c r="J313" s="108"/>
      <c r="K313" s="108"/>
      <c r="L313" s="39"/>
      <c r="M313" s="108"/>
      <c r="N313" s="108" t="str">
        <f>IFERROR(__xludf.DUMMYFUNCTION("IF($A313="""","""",HYPERLINK(""https://docs.google.com/spreadsheets/d/1LovjCF_yo-DR4S4HXV7VkZLEyCUjv4US6kt_l-v8-GM/edit#gid=0&amp;range=L""&amp;(REGEXREPLACE($A313,"".* #"","""")+1),IF($I313="""",""View!"",""Verify!"")))"),"")</f>
        <v/>
      </c>
    </row>
    <row r="314">
      <c r="A314" s="39"/>
      <c r="B314" s="39"/>
      <c r="C314" s="39"/>
      <c r="D314" s="113"/>
      <c r="E314" s="113"/>
      <c r="F314" s="39"/>
      <c r="G314" s="39"/>
      <c r="H314" s="39"/>
      <c r="I314" s="39"/>
      <c r="J314" s="108"/>
      <c r="K314" s="108"/>
      <c r="L314" s="39"/>
      <c r="M314" s="108"/>
      <c r="N314" s="108" t="str">
        <f>IFERROR(__xludf.DUMMYFUNCTION("IF($A314="""","""",HYPERLINK(""https://docs.google.com/spreadsheets/d/1LovjCF_yo-DR4S4HXV7VkZLEyCUjv4US6kt_l-v8-GM/edit#gid=0&amp;range=L""&amp;(REGEXREPLACE($A314,"".* #"","""")+1),IF($I314="""",""View!"",""Verify!"")))"),"")</f>
        <v/>
      </c>
    </row>
    <row r="315">
      <c r="A315" s="39"/>
      <c r="B315" s="39"/>
      <c r="C315" s="39"/>
      <c r="D315" s="113"/>
      <c r="E315" s="113"/>
      <c r="F315" s="39"/>
      <c r="G315" s="39"/>
      <c r="H315" s="39"/>
      <c r="I315" s="39"/>
      <c r="J315" s="108"/>
      <c r="K315" s="108"/>
      <c r="L315" s="39"/>
      <c r="M315" s="108"/>
      <c r="N315" s="108" t="str">
        <f>IFERROR(__xludf.DUMMYFUNCTION("IF($A315="""","""",HYPERLINK(""https://docs.google.com/spreadsheets/d/1LovjCF_yo-DR4S4HXV7VkZLEyCUjv4US6kt_l-v8-GM/edit#gid=0&amp;range=L""&amp;(REGEXREPLACE($A315,"".* #"","""")+1),IF($I315="""",""View!"",""Verify!"")))"),"")</f>
        <v/>
      </c>
    </row>
    <row r="316">
      <c r="A316" s="39"/>
      <c r="B316" s="39"/>
      <c r="C316" s="39"/>
      <c r="D316" s="113"/>
      <c r="E316" s="113"/>
      <c r="F316" s="39"/>
      <c r="G316" s="39"/>
      <c r="H316" s="39"/>
      <c r="I316" s="39"/>
      <c r="J316" s="108"/>
      <c r="K316" s="108"/>
      <c r="L316" s="39"/>
      <c r="M316" s="108"/>
      <c r="N316" s="108" t="str">
        <f>IFERROR(__xludf.DUMMYFUNCTION("IF($A316="""","""",HYPERLINK(""https://docs.google.com/spreadsheets/d/1LovjCF_yo-DR4S4HXV7VkZLEyCUjv4US6kt_l-v8-GM/edit#gid=0&amp;range=L""&amp;(REGEXREPLACE($A316,"".* #"","""")+1),IF($I316="""",""View!"",""Verify!"")))"),"")</f>
        <v/>
      </c>
    </row>
    <row r="317">
      <c r="A317" s="39"/>
      <c r="B317" s="39"/>
      <c r="C317" s="39"/>
      <c r="D317" s="113"/>
      <c r="E317" s="113"/>
      <c r="F317" s="39"/>
      <c r="G317" s="39"/>
      <c r="H317" s="39"/>
      <c r="I317" s="39"/>
      <c r="J317" s="108"/>
      <c r="K317" s="108"/>
      <c r="L317" s="39"/>
      <c r="M317" s="108"/>
      <c r="N317" s="108" t="str">
        <f>IFERROR(__xludf.DUMMYFUNCTION("IF($A317="""","""",HYPERLINK(""https://docs.google.com/spreadsheets/d/1LovjCF_yo-DR4S4HXV7VkZLEyCUjv4US6kt_l-v8-GM/edit#gid=0&amp;range=L""&amp;(REGEXREPLACE($A317,"".* #"","""")+1),IF($I317="""",""View!"",""Verify!"")))"),"")</f>
        <v/>
      </c>
    </row>
    <row r="318">
      <c r="A318" s="39"/>
      <c r="B318" s="39"/>
      <c r="C318" s="39"/>
      <c r="D318" s="113"/>
      <c r="E318" s="113"/>
      <c r="F318" s="39"/>
      <c r="G318" s="39"/>
      <c r="H318" s="39"/>
      <c r="I318" s="39"/>
      <c r="J318" s="108"/>
      <c r="K318" s="108"/>
      <c r="L318" s="39"/>
      <c r="M318" s="108"/>
      <c r="N318" s="108" t="str">
        <f>IFERROR(__xludf.DUMMYFUNCTION("IF($A318="""","""",HYPERLINK(""https://docs.google.com/spreadsheets/d/1LovjCF_yo-DR4S4HXV7VkZLEyCUjv4US6kt_l-v8-GM/edit#gid=0&amp;range=L""&amp;(REGEXREPLACE($A318,"".* #"","""")+1),IF($I318="""",""View!"",""Verify!"")))"),"")</f>
        <v/>
      </c>
    </row>
    <row r="319">
      <c r="A319" s="39"/>
      <c r="B319" s="39"/>
      <c r="C319" s="39"/>
      <c r="D319" s="113"/>
      <c r="E319" s="113"/>
      <c r="F319" s="39"/>
      <c r="G319" s="39"/>
      <c r="H319" s="39"/>
      <c r="I319" s="39"/>
      <c r="J319" s="108"/>
      <c r="K319" s="108"/>
      <c r="L319" s="39"/>
      <c r="M319" s="108"/>
      <c r="N319" s="108" t="str">
        <f>IFERROR(__xludf.DUMMYFUNCTION("IF($A319="""","""",HYPERLINK(""https://docs.google.com/spreadsheets/d/1LovjCF_yo-DR4S4HXV7VkZLEyCUjv4US6kt_l-v8-GM/edit#gid=0&amp;range=L""&amp;(REGEXREPLACE($A319,"".* #"","""")+1),IF($I319="""",""View!"",""Verify!"")))"),"")</f>
        <v/>
      </c>
    </row>
    <row r="320">
      <c r="A320" s="39"/>
      <c r="B320" s="39"/>
      <c r="C320" s="39"/>
      <c r="D320" s="113"/>
      <c r="E320" s="113"/>
      <c r="F320" s="39"/>
      <c r="G320" s="39"/>
      <c r="H320" s="39"/>
      <c r="I320" s="39"/>
      <c r="J320" s="108"/>
      <c r="K320" s="108"/>
      <c r="L320" s="39"/>
      <c r="M320" s="108"/>
      <c r="N320" s="108" t="str">
        <f>IFERROR(__xludf.DUMMYFUNCTION("IF($A320="""","""",HYPERLINK(""https://docs.google.com/spreadsheets/d/1LovjCF_yo-DR4S4HXV7VkZLEyCUjv4US6kt_l-v8-GM/edit#gid=0&amp;range=L""&amp;(REGEXREPLACE($A320,"".* #"","""")+1),IF($I320="""",""View!"",""Verify!"")))"),"")</f>
        <v/>
      </c>
    </row>
    <row r="321">
      <c r="A321" s="39"/>
      <c r="B321" s="39"/>
      <c r="C321" s="39"/>
      <c r="D321" s="113"/>
      <c r="E321" s="113"/>
      <c r="F321" s="39"/>
      <c r="G321" s="39"/>
      <c r="H321" s="39"/>
      <c r="I321" s="39"/>
      <c r="J321" s="108"/>
      <c r="K321" s="108"/>
      <c r="L321" s="39"/>
      <c r="M321" s="108"/>
      <c r="N321" s="108" t="str">
        <f>IFERROR(__xludf.DUMMYFUNCTION("IF($A321="""","""",HYPERLINK(""https://docs.google.com/spreadsheets/d/1LovjCF_yo-DR4S4HXV7VkZLEyCUjv4US6kt_l-v8-GM/edit#gid=0&amp;range=L""&amp;(REGEXREPLACE($A321,"".* #"","""")+1),IF($I321="""",""View!"",""Verify!"")))"),"")</f>
        <v/>
      </c>
    </row>
    <row r="322">
      <c r="A322" s="39"/>
      <c r="B322" s="39"/>
      <c r="C322" s="39"/>
      <c r="D322" s="113"/>
      <c r="E322" s="113"/>
      <c r="F322" s="39"/>
      <c r="G322" s="39"/>
      <c r="H322" s="39"/>
      <c r="I322" s="39"/>
      <c r="J322" s="108"/>
      <c r="K322" s="108"/>
      <c r="L322" s="39"/>
      <c r="M322" s="108"/>
      <c r="N322" s="108" t="str">
        <f>IFERROR(__xludf.DUMMYFUNCTION("IF($A322="""","""",HYPERLINK(""https://docs.google.com/spreadsheets/d/1LovjCF_yo-DR4S4HXV7VkZLEyCUjv4US6kt_l-v8-GM/edit#gid=0&amp;range=L""&amp;(REGEXREPLACE($A322,"".* #"","""")+1),IF($I322="""",""View!"",""Verify!"")))"),"")</f>
        <v/>
      </c>
    </row>
    <row r="323">
      <c r="A323" s="39"/>
      <c r="B323" s="39"/>
      <c r="C323" s="39"/>
      <c r="D323" s="113"/>
      <c r="E323" s="113"/>
      <c r="F323" s="39"/>
      <c r="G323" s="39"/>
      <c r="H323" s="39"/>
      <c r="I323" s="39"/>
      <c r="J323" s="108"/>
      <c r="K323" s="108"/>
      <c r="L323" s="39"/>
      <c r="M323" s="108"/>
      <c r="N323" s="108" t="str">
        <f>IFERROR(__xludf.DUMMYFUNCTION("IF($A323="""","""",HYPERLINK(""https://docs.google.com/spreadsheets/d/1LovjCF_yo-DR4S4HXV7VkZLEyCUjv4US6kt_l-v8-GM/edit#gid=0&amp;range=L""&amp;(REGEXREPLACE($A323,"".* #"","""")+1),IF($I323="""",""View!"",""Verify!"")))"),"")</f>
        <v/>
      </c>
    </row>
    <row r="324">
      <c r="A324" s="39"/>
      <c r="B324" s="39"/>
      <c r="C324" s="39"/>
      <c r="D324" s="113"/>
      <c r="E324" s="113"/>
      <c r="F324" s="39"/>
      <c r="G324" s="39"/>
      <c r="H324" s="39"/>
      <c r="I324" s="39"/>
      <c r="J324" s="108"/>
      <c r="K324" s="108"/>
      <c r="L324" s="39"/>
      <c r="M324" s="108"/>
      <c r="N324" s="108" t="str">
        <f>IFERROR(__xludf.DUMMYFUNCTION("IF($A324="""","""",HYPERLINK(""https://docs.google.com/spreadsheets/d/1LovjCF_yo-DR4S4HXV7VkZLEyCUjv4US6kt_l-v8-GM/edit#gid=0&amp;range=L""&amp;(REGEXREPLACE($A324,"".* #"","""")+1),IF($I324="""",""View!"",""Verify!"")))"),"")</f>
        <v/>
      </c>
    </row>
    <row r="325">
      <c r="A325" s="39"/>
      <c r="B325" s="39"/>
      <c r="C325" s="39"/>
      <c r="D325" s="113"/>
      <c r="E325" s="113"/>
      <c r="F325" s="39"/>
      <c r="G325" s="39"/>
      <c r="H325" s="39"/>
      <c r="I325" s="39"/>
      <c r="J325" s="108"/>
      <c r="K325" s="108"/>
      <c r="L325" s="39"/>
      <c r="M325" s="108"/>
      <c r="N325" s="108" t="str">
        <f>IFERROR(__xludf.DUMMYFUNCTION("IF($A325="""","""",HYPERLINK(""https://docs.google.com/spreadsheets/d/1LovjCF_yo-DR4S4HXV7VkZLEyCUjv4US6kt_l-v8-GM/edit#gid=0&amp;range=L""&amp;(REGEXREPLACE($A325,"".* #"","""")+1),IF($I325="""",""View!"",""Verify!"")))"),"")</f>
        <v/>
      </c>
    </row>
    <row r="326">
      <c r="A326" s="39"/>
      <c r="B326" s="39"/>
      <c r="C326" s="39"/>
      <c r="D326" s="113"/>
      <c r="E326" s="113"/>
      <c r="F326" s="39"/>
      <c r="G326" s="39"/>
      <c r="H326" s="39"/>
      <c r="I326" s="39"/>
      <c r="J326" s="108"/>
      <c r="K326" s="108"/>
      <c r="L326" s="39"/>
      <c r="M326" s="108"/>
      <c r="N326" s="108" t="str">
        <f>IFERROR(__xludf.DUMMYFUNCTION("IF($A326="""","""",HYPERLINK(""https://docs.google.com/spreadsheets/d/1LovjCF_yo-DR4S4HXV7VkZLEyCUjv4US6kt_l-v8-GM/edit#gid=0&amp;range=L""&amp;(REGEXREPLACE($A326,"".* #"","""")+1),IF($I326="""",""View!"",""Verify!"")))"),"")</f>
        <v/>
      </c>
    </row>
    <row r="327">
      <c r="A327" s="39"/>
      <c r="B327" s="39"/>
      <c r="C327" s="39"/>
      <c r="D327" s="113"/>
      <c r="E327" s="113"/>
      <c r="F327" s="39"/>
      <c r="G327" s="39"/>
      <c r="H327" s="39"/>
      <c r="I327" s="39"/>
      <c r="J327" s="108"/>
      <c r="K327" s="108"/>
      <c r="L327" s="39"/>
      <c r="M327" s="108"/>
      <c r="N327" s="108" t="str">
        <f>IFERROR(__xludf.DUMMYFUNCTION("IF($A327="""","""",HYPERLINK(""https://docs.google.com/spreadsheets/d/1LovjCF_yo-DR4S4HXV7VkZLEyCUjv4US6kt_l-v8-GM/edit#gid=0&amp;range=L""&amp;(REGEXREPLACE($A327,"".* #"","""")+1),IF($I327="""",""View!"",""Verify!"")))"),"")</f>
        <v/>
      </c>
    </row>
    <row r="328">
      <c r="A328" s="39"/>
      <c r="B328" s="39"/>
      <c r="C328" s="39"/>
      <c r="D328" s="113"/>
      <c r="E328" s="113"/>
      <c r="F328" s="39"/>
      <c r="G328" s="39"/>
      <c r="H328" s="39"/>
      <c r="I328" s="39"/>
      <c r="J328" s="108"/>
      <c r="K328" s="108"/>
      <c r="L328" s="39"/>
      <c r="M328" s="108"/>
      <c r="N328" s="108" t="str">
        <f>IFERROR(__xludf.DUMMYFUNCTION("IF($A328="""","""",HYPERLINK(""https://docs.google.com/spreadsheets/d/1LovjCF_yo-DR4S4HXV7VkZLEyCUjv4US6kt_l-v8-GM/edit#gid=0&amp;range=L""&amp;(REGEXREPLACE($A328,"".* #"","""")+1),IF($I328="""",""View!"",""Verify!"")))"),"")</f>
        <v/>
      </c>
    </row>
    <row r="329">
      <c r="A329" s="39"/>
      <c r="B329" s="39"/>
      <c r="C329" s="39"/>
      <c r="D329" s="113"/>
      <c r="E329" s="113"/>
      <c r="F329" s="39"/>
      <c r="G329" s="39"/>
      <c r="H329" s="39"/>
      <c r="I329" s="39"/>
      <c r="J329" s="108"/>
      <c r="K329" s="108"/>
      <c r="L329" s="39"/>
      <c r="M329" s="108"/>
      <c r="N329" s="108" t="str">
        <f>IFERROR(__xludf.DUMMYFUNCTION("IF($A329="""","""",HYPERLINK(""https://docs.google.com/spreadsheets/d/1LovjCF_yo-DR4S4HXV7VkZLEyCUjv4US6kt_l-v8-GM/edit#gid=0&amp;range=L""&amp;(REGEXREPLACE($A329,"".* #"","""")+1),IF($I329="""",""View!"",""Verify!"")))"),"")</f>
        <v/>
      </c>
    </row>
    <row r="330">
      <c r="A330" s="39"/>
      <c r="B330" s="39"/>
      <c r="C330" s="39"/>
      <c r="D330" s="113"/>
      <c r="E330" s="113"/>
      <c r="F330" s="39"/>
      <c r="G330" s="39"/>
      <c r="H330" s="39"/>
      <c r="I330" s="39"/>
      <c r="J330" s="108"/>
      <c r="K330" s="108"/>
      <c r="L330" s="39"/>
      <c r="M330" s="108"/>
      <c r="N330" s="108" t="str">
        <f>IFERROR(__xludf.DUMMYFUNCTION("IF($A330="""","""",HYPERLINK(""https://docs.google.com/spreadsheets/d/1LovjCF_yo-DR4S4HXV7VkZLEyCUjv4US6kt_l-v8-GM/edit#gid=0&amp;range=L""&amp;(REGEXREPLACE($A330,"".* #"","""")+1),IF($I330="""",""View!"",""Verify!"")))"),"")</f>
        <v/>
      </c>
    </row>
    <row r="331">
      <c r="A331" s="39"/>
      <c r="B331" s="39"/>
      <c r="C331" s="39"/>
      <c r="D331" s="113"/>
      <c r="E331" s="113"/>
      <c r="F331" s="39"/>
      <c r="G331" s="39"/>
      <c r="H331" s="39"/>
      <c r="I331" s="39"/>
      <c r="J331" s="108"/>
      <c r="K331" s="108"/>
      <c r="L331" s="39"/>
      <c r="M331" s="108"/>
      <c r="N331" s="108" t="str">
        <f>IFERROR(__xludf.DUMMYFUNCTION("IF($A331="""","""",HYPERLINK(""https://docs.google.com/spreadsheets/d/1LovjCF_yo-DR4S4HXV7VkZLEyCUjv4US6kt_l-v8-GM/edit#gid=0&amp;range=L""&amp;(REGEXREPLACE($A331,"".* #"","""")+1),IF($I331="""",""View!"",""Verify!"")))"),"")</f>
        <v/>
      </c>
    </row>
    <row r="332">
      <c r="A332" s="39"/>
      <c r="B332" s="39"/>
      <c r="C332" s="39"/>
      <c r="D332" s="113"/>
      <c r="E332" s="113"/>
      <c r="F332" s="39"/>
      <c r="G332" s="39"/>
      <c r="H332" s="39"/>
      <c r="I332" s="39"/>
      <c r="J332" s="108"/>
      <c r="K332" s="108"/>
      <c r="L332" s="39"/>
      <c r="M332" s="108"/>
      <c r="N332" s="108" t="str">
        <f>IFERROR(__xludf.DUMMYFUNCTION("IF($A332="""","""",HYPERLINK(""https://docs.google.com/spreadsheets/d/1LovjCF_yo-DR4S4HXV7VkZLEyCUjv4US6kt_l-v8-GM/edit#gid=0&amp;range=L""&amp;(REGEXREPLACE($A332,"".* #"","""")+1),IF($I332="""",""View!"",""Verify!"")))"),"")</f>
        <v/>
      </c>
    </row>
    <row r="333">
      <c r="A333" s="39"/>
      <c r="B333" s="39"/>
      <c r="C333" s="39"/>
      <c r="D333" s="113"/>
      <c r="E333" s="113"/>
      <c r="F333" s="39"/>
      <c r="G333" s="39"/>
      <c r="H333" s="39"/>
      <c r="I333" s="39"/>
      <c r="J333" s="108"/>
      <c r="K333" s="108"/>
      <c r="L333" s="39"/>
      <c r="M333" s="108"/>
      <c r="N333" s="108" t="str">
        <f>IFERROR(__xludf.DUMMYFUNCTION("IF($A333="""","""",HYPERLINK(""https://docs.google.com/spreadsheets/d/1LovjCF_yo-DR4S4HXV7VkZLEyCUjv4US6kt_l-v8-GM/edit#gid=0&amp;range=L""&amp;(REGEXREPLACE($A333,"".* #"","""")+1),IF($I333="""",""View!"",""Verify!"")))"),"")</f>
        <v/>
      </c>
    </row>
    <row r="334">
      <c r="A334" s="39"/>
      <c r="B334" s="39"/>
      <c r="C334" s="39"/>
      <c r="D334" s="113"/>
      <c r="E334" s="113"/>
      <c r="F334" s="39"/>
      <c r="G334" s="39"/>
      <c r="H334" s="39"/>
      <c r="I334" s="39"/>
      <c r="J334" s="108"/>
      <c r="K334" s="108"/>
      <c r="L334" s="39"/>
      <c r="M334" s="108"/>
      <c r="N334" s="108" t="str">
        <f>IFERROR(__xludf.DUMMYFUNCTION("IF($A334="""","""",HYPERLINK(""https://docs.google.com/spreadsheets/d/1LovjCF_yo-DR4S4HXV7VkZLEyCUjv4US6kt_l-v8-GM/edit#gid=0&amp;range=L""&amp;(REGEXREPLACE($A334,"".* #"","""")+1),IF($I334="""",""View!"",""Verify!"")))"),"")</f>
        <v/>
      </c>
    </row>
    <row r="335">
      <c r="A335" s="39"/>
      <c r="B335" s="39"/>
      <c r="C335" s="39"/>
      <c r="D335" s="113"/>
      <c r="E335" s="113"/>
      <c r="F335" s="39"/>
      <c r="G335" s="39"/>
      <c r="H335" s="39"/>
      <c r="I335" s="39"/>
      <c r="J335" s="108"/>
      <c r="K335" s="108"/>
      <c r="L335" s="39"/>
      <c r="M335" s="108"/>
      <c r="N335" s="108" t="str">
        <f>IFERROR(__xludf.DUMMYFUNCTION("IF($A335="""","""",HYPERLINK(""https://docs.google.com/spreadsheets/d/1LovjCF_yo-DR4S4HXV7VkZLEyCUjv4US6kt_l-v8-GM/edit#gid=0&amp;range=L""&amp;(REGEXREPLACE($A335,"".* #"","""")+1),IF($I335="""",""View!"",""Verify!"")))"),"")</f>
        <v/>
      </c>
    </row>
    <row r="336">
      <c r="A336" s="39"/>
      <c r="B336" s="39"/>
      <c r="C336" s="39"/>
      <c r="D336" s="113"/>
      <c r="E336" s="113"/>
      <c r="F336" s="39"/>
      <c r="G336" s="39"/>
      <c r="H336" s="39"/>
      <c r="I336" s="39"/>
      <c r="J336" s="108"/>
      <c r="K336" s="108"/>
      <c r="L336" s="39"/>
      <c r="M336" s="108"/>
      <c r="N336" s="108" t="str">
        <f>IFERROR(__xludf.DUMMYFUNCTION("IF($A336="""","""",HYPERLINK(""https://docs.google.com/spreadsheets/d/1LovjCF_yo-DR4S4HXV7VkZLEyCUjv4US6kt_l-v8-GM/edit#gid=0&amp;range=L""&amp;(REGEXREPLACE($A336,"".* #"","""")+1),IF($I336="""",""View!"",""Verify!"")))"),"")</f>
        <v/>
      </c>
    </row>
    <row r="337">
      <c r="A337" s="39"/>
      <c r="B337" s="39"/>
      <c r="C337" s="39"/>
      <c r="D337" s="113"/>
      <c r="E337" s="113"/>
      <c r="F337" s="39"/>
      <c r="G337" s="39"/>
      <c r="H337" s="39"/>
      <c r="I337" s="39"/>
      <c r="J337" s="108"/>
      <c r="K337" s="108"/>
      <c r="L337" s="39"/>
      <c r="M337" s="108"/>
      <c r="N337" s="108" t="str">
        <f>IFERROR(__xludf.DUMMYFUNCTION("IF($A337="""","""",HYPERLINK(""https://docs.google.com/spreadsheets/d/1LovjCF_yo-DR4S4HXV7VkZLEyCUjv4US6kt_l-v8-GM/edit#gid=0&amp;range=L""&amp;(REGEXREPLACE($A337,"".* #"","""")+1),IF($I337="""",""View!"",""Verify!"")))"),"")</f>
        <v/>
      </c>
    </row>
    <row r="338">
      <c r="A338" s="39"/>
      <c r="B338" s="39"/>
      <c r="C338" s="39"/>
      <c r="D338" s="113"/>
      <c r="E338" s="113"/>
      <c r="F338" s="39"/>
      <c r="G338" s="39"/>
      <c r="H338" s="39"/>
      <c r="I338" s="39"/>
      <c r="J338" s="108"/>
      <c r="K338" s="108"/>
      <c r="L338" s="39"/>
      <c r="M338" s="108"/>
      <c r="N338" s="108" t="str">
        <f>IFERROR(__xludf.DUMMYFUNCTION("IF($A338="""","""",HYPERLINK(""https://docs.google.com/spreadsheets/d/1LovjCF_yo-DR4S4HXV7VkZLEyCUjv4US6kt_l-v8-GM/edit#gid=0&amp;range=L""&amp;(REGEXREPLACE($A338,"".* #"","""")+1),IF($I338="""",""View!"",""Verify!"")))"),"")</f>
        <v/>
      </c>
    </row>
    <row r="339">
      <c r="A339" s="39"/>
      <c r="B339" s="39"/>
      <c r="C339" s="39"/>
      <c r="D339" s="113"/>
      <c r="E339" s="113"/>
      <c r="F339" s="39"/>
      <c r="G339" s="39"/>
      <c r="H339" s="39"/>
      <c r="I339" s="39"/>
      <c r="J339" s="108"/>
      <c r="K339" s="108"/>
      <c r="L339" s="39"/>
      <c r="M339" s="108"/>
      <c r="N339" s="108" t="str">
        <f>IFERROR(__xludf.DUMMYFUNCTION("IF($A339="""","""",HYPERLINK(""https://docs.google.com/spreadsheets/d/1LovjCF_yo-DR4S4HXV7VkZLEyCUjv4US6kt_l-v8-GM/edit#gid=0&amp;range=L""&amp;(REGEXREPLACE($A339,"".* #"","""")+1),IF($I339="""",""View!"",""Verify!"")))"),"")</f>
        <v/>
      </c>
    </row>
    <row r="340">
      <c r="A340" s="39"/>
      <c r="B340" s="39"/>
      <c r="C340" s="39"/>
      <c r="D340" s="113"/>
      <c r="E340" s="113"/>
      <c r="F340" s="39"/>
      <c r="G340" s="39"/>
      <c r="H340" s="39"/>
      <c r="I340" s="39"/>
      <c r="J340" s="108"/>
      <c r="K340" s="108"/>
      <c r="L340" s="39"/>
      <c r="M340" s="108"/>
      <c r="N340" s="108" t="str">
        <f>IFERROR(__xludf.DUMMYFUNCTION("IF($A340="""","""",HYPERLINK(""https://docs.google.com/spreadsheets/d/1LovjCF_yo-DR4S4HXV7VkZLEyCUjv4US6kt_l-v8-GM/edit#gid=0&amp;range=L""&amp;(REGEXREPLACE($A340,"".* #"","""")+1),IF($I340="""",""View!"",""Verify!"")))"),"")</f>
        <v/>
      </c>
    </row>
    <row r="341">
      <c r="A341" s="39"/>
      <c r="B341" s="39"/>
      <c r="C341" s="39"/>
      <c r="D341" s="113"/>
      <c r="E341" s="113"/>
      <c r="F341" s="39"/>
      <c r="G341" s="39"/>
      <c r="H341" s="39"/>
      <c r="I341" s="39"/>
      <c r="J341" s="108"/>
      <c r="K341" s="108"/>
      <c r="L341" s="39"/>
      <c r="M341" s="108"/>
      <c r="N341" s="108" t="str">
        <f>IFERROR(__xludf.DUMMYFUNCTION("IF($A341="""","""",HYPERLINK(""https://docs.google.com/spreadsheets/d/1LovjCF_yo-DR4S4HXV7VkZLEyCUjv4US6kt_l-v8-GM/edit#gid=0&amp;range=L""&amp;(REGEXREPLACE($A341,"".* #"","""")+1),IF($I341="""",""View!"",""Verify!"")))"),"")</f>
        <v/>
      </c>
    </row>
    <row r="342">
      <c r="A342" s="39"/>
      <c r="B342" s="39"/>
      <c r="C342" s="39"/>
      <c r="D342" s="113"/>
      <c r="E342" s="113"/>
      <c r="F342" s="39"/>
      <c r="G342" s="39"/>
      <c r="H342" s="39"/>
      <c r="I342" s="39"/>
      <c r="J342" s="108"/>
      <c r="K342" s="108"/>
      <c r="L342" s="39"/>
      <c r="M342" s="108"/>
      <c r="N342" s="108" t="str">
        <f>IFERROR(__xludf.DUMMYFUNCTION("IF($A342="""","""",HYPERLINK(""https://docs.google.com/spreadsheets/d/1LovjCF_yo-DR4S4HXV7VkZLEyCUjv4US6kt_l-v8-GM/edit#gid=0&amp;range=L""&amp;(REGEXREPLACE($A342,"".* #"","""")+1),IF($I342="""",""View!"",""Verify!"")))"),"")</f>
        <v/>
      </c>
    </row>
    <row r="343">
      <c r="A343" s="39"/>
      <c r="B343" s="39"/>
      <c r="C343" s="39"/>
      <c r="D343" s="113"/>
      <c r="E343" s="113"/>
      <c r="F343" s="39"/>
      <c r="G343" s="39"/>
      <c r="H343" s="39"/>
      <c r="I343" s="39"/>
      <c r="J343" s="108"/>
      <c r="K343" s="108"/>
      <c r="L343" s="39"/>
      <c r="M343" s="108"/>
      <c r="N343" s="108" t="str">
        <f>IFERROR(__xludf.DUMMYFUNCTION("IF($A343="""","""",HYPERLINK(""https://docs.google.com/spreadsheets/d/1LovjCF_yo-DR4S4HXV7VkZLEyCUjv4US6kt_l-v8-GM/edit#gid=0&amp;range=L""&amp;(REGEXREPLACE($A343,"".* #"","""")+1),IF($I343="""",""View!"",""Verify!"")))"),"")</f>
        <v/>
      </c>
    </row>
    <row r="344">
      <c r="A344" s="39"/>
      <c r="B344" s="39"/>
      <c r="C344" s="39"/>
      <c r="D344" s="113"/>
      <c r="E344" s="113"/>
      <c r="F344" s="39"/>
      <c r="G344" s="39"/>
      <c r="H344" s="39"/>
      <c r="I344" s="39"/>
      <c r="J344" s="108"/>
      <c r="K344" s="108"/>
      <c r="L344" s="39"/>
      <c r="M344" s="108"/>
      <c r="N344" s="108" t="str">
        <f>IFERROR(__xludf.DUMMYFUNCTION("IF($A344="""","""",HYPERLINK(""https://docs.google.com/spreadsheets/d/1LovjCF_yo-DR4S4HXV7VkZLEyCUjv4US6kt_l-v8-GM/edit#gid=0&amp;range=L""&amp;(REGEXREPLACE($A344,"".* #"","""")+1),IF($I344="""",""View!"",""Verify!"")))"),"")</f>
        <v/>
      </c>
    </row>
    <row r="345">
      <c r="A345" s="39"/>
      <c r="B345" s="39"/>
      <c r="C345" s="39"/>
      <c r="D345" s="113"/>
      <c r="E345" s="113"/>
      <c r="F345" s="39"/>
      <c r="G345" s="39"/>
      <c r="H345" s="39"/>
      <c r="I345" s="39"/>
      <c r="J345" s="108"/>
      <c r="K345" s="108"/>
      <c r="L345" s="39"/>
      <c r="M345" s="108"/>
      <c r="N345" s="108" t="str">
        <f>IFERROR(__xludf.DUMMYFUNCTION("IF($A345="""","""",HYPERLINK(""https://docs.google.com/spreadsheets/d/1LovjCF_yo-DR4S4HXV7VkZLEyCUjv4US6kt_l-v8-GM/edit#gid=0&amp;range=L""&amp;(REGEXREPLACE($A345,"".* #"","""")+1),IF($I345="""",""View!"",""Verify!"")))"),"")</f>
        <v/>
      </c>
    </row>
    <row r="346">
      <c r="A346" s="39"/>
      <c r="B346" s="39"/>
      <c r="C346" s="39"/>
      <c r="D346" s="113"/>
      <c r="E346" s="113"/>
      <c r="F346" s="39"/>
      <c r="G346" s="39"/>
      <c r="H346" s="39"/>
      <c r="I346" s="39"/>
      <c r="J346" s="108"/>
      <c r="K346" s="108"/>
      <c r="L346" s="39"/>
      <c r="M346" s="108"/>
      <c r="N346" s="108" t="str">
        <f>IFERROR(__xludf.DUMMYFUNCTION("IF($A346="""","""",HYPERLINK(""https://docs.google.com/spreadsheets/d/1LovjCF_yo-DR4S4HXV7VkZLEyCUjv4US6kt_l-v8-GM/edit#gid=0&amp;range=L""&amp;(REGEXREPLACE($A346,"".* #"","""")+1),IF($I346="""",""View!"",""Verify!"")))"),"")</f>
        <v/>
      </c>
    </row>
    <row r="347">
      <c r="A347" s="39"/>
      <c r="B347" s="39"/>
      <c r="C347" s="39"/>
      <c r="D347" s="113"/>
      <c r="E347" s="113"/>
      <c r="F347" s="39"/>
      <c r="G347" s="39"/>
      <c r="H347" s="39"/>
      <c r="I347" s="39"/>
      <c r="J347" s="108"/>
      <c r="K347" s="108"/>
      <c r="L347" s="39"/>
      <c r="M347" s="108"/>
      <c r="N347" s="108" t="str">
        <f>IFERROR(__xludf.DUMMYFUNCTION("IF($A347="""","""",HYPERLINK(""https://docs.google.com/spreadsheets/d/1LovjCF_yo-DR4S4HXV7VkZLEyCUjv4US6kt_l-v8-GM/edit#gid=0&amp;range=L""&amp;(REGEXREPLACE($A347,"".* #"","""")+1),IF($I347="""",""View!"",""Verify!"")))"),"")</f>
        <v/>
      </c>
    </row>
    <row r="348">
      <c r="A348" s="39"/>
      <c r="B348" s="39"/>
      <c r="C348" s="39"/>
      <c r="D348" s="113"/>
      <c r="E348" s="113"/>
      <c r="F348" s="39"/>
      <c r="G348" s="39"/>
      <c r="H348" s="39"/>
      <c r="I348" s="39"/>
      <c r="J348" s="108"/>
      <c r="K348" s="108"/>
      <c r="L348" s="39"/>
      <c r="M348" s="108"/>
      <c r="N348" s="108" t="str">
        <f>IFERROR(__xludf.DUMMYFUNCTION("IF($A348="""","""",HYPERLINK(""https://docs.google.com/spreadsheets/d/1LovjCF_yo-DR4S4HXV7VkZLEyCUjv4US6kt_l-v8-GM/edit#gid=0&amp;range=L""&amp;(REGEXREPLACE($A348,"".* #"","""")+1),IF($I348="""",""View!"",""Verify!"")))"),"")</f>
        <v/>
      </c>
    </row>
    <row r="349">
      <c r="A349" s="39"/>
      <c r="B349" s="39"/>
      <c r="C349" s="39"/>
      <c r="D349" s="113"/>
      <c r="E349" s="113"/>
      <c r="F349" s="39"/>
      <c r="G349" s="39"/>
      <c r="H349" s="39"/>
      <c r="I349" s="39"/>
      <c r="J349" s="108"/>
      <c r="K349" s="108"/>
      <c r="L349" s="39"/>
      <c r="M349" s="108"/>
      <c r="N349" s="108" t="str">
        <f>IFERROR(__xludf.DUMMYFUNCTION("IF($A349="""","""",HYPERLINK(""https://docs.google.com/spreadsheets/d/1LovjCF_yo-DR4S4HXV7VkZLEyCUjv4US6kt_l-v8-GM/edit#gid=0&amp;range=L""&amp;(REGEXREPLACE($A349,"".* #"","""")+1),IF($I349="""",""View!"",""Verify!"")))"),"")</f>
        <v/>
      </c>
    </row>
    <row r="350">
      <c r="A350" s="39"/>
      <c r="B350" s="39"/>
      <c r="C350" s="39"/>
      <c r="D350" s="113"/>
      <c r="E350" s="113"/>
      <c r="F350" s="39"/>
      <c r="G350" s="39"/>
      <c r="H350" s="39"/>
      <c r="I350" s="39"/>
      <c r="J350" s="108"/>
      <c r="K350" s="108"/>
      <c r="L350" s="39"/>
      <c r="M350" s="108"/>
      <c r="N350" s="108" t="str">
        <f>IFERROR(__xludf.DUMMYFUNCTION("IF($A350="""","""",HYPERLINK(""https://docs.google.com/spreadsheets/d/1LovjCF_yo-DR4S4HXV7VkZLEyCUjv4US6kt_l-v8-GM/edit#gid=0&amp;range=L""&amp;(REGEXREPLACE($A350,"".* #"","""")+1),IF($I350="""",""View!"",""Verify!"")))"),"")</f>
        <v/>
      </c>
    </row>
    <row r="351">
      <c r="A351" s="39"/>
      <c r="B351" s="39"/>
      <c r="C351" s="39"/>
      <c r="D351" s="113"/>
      <c r="E351" s="113"/>
      <c r="F351" s="39"/>
      <c r="G351" s="39"/>
      <c r="H351" s="39"/>
      <c r="I351" s="39"/>
      <c r="J351" s="108"/>
      <c r="K351" s="108"/>
      <c r="L351" s="39"/>
      <c r="M351" s="108"/>
      <c r="N351" s="108" t="str">
        <f>IFERROR(__xludf.DUMMYFUNCTION("IF($A351="""","""",HYPERLINK(""https://docs.google.com/spreadsheets/d/1LovjCF_yo-DR4S4HXV7VkZLEyCUjv4US6kt_l-v8-GM/edit#gid=0&amp;range=L""&amp;(REGEXREPLACE($A351,"".* #"","""")+1),IF($I351="""",""View!"",""Verify!"")))"),"")</f>
        <v/>
      </c>
    </row>
    <row r="352">
      <c r="A352" s="39"/>
      <c r="B352" s="39"/>
      <c r="C352" s="39"/>
      <c r="D352" s="113"/>
      <c r="E352" s="113"/>
      <c r="F352" s="39"/>
      <c r="G352" s="39"/>
      <c r="H352" s="39"/>
      <c r="I352" s="39"/>
      <c r="J352" s="108"/>
      <c r="K352" s="108"/>
      <c r="L352" s="39"/>
      <c r="M352" s="108"/>
      <c r="N352" s="108" t="str">
        <f>IFERROR(__xludf.DUMMYFUNCTION("IF($A352="""","""",HYPERLINK(""https://docs.google.com/spreadsheets/d/1LovjCF_yo-DR4S4HXV7VkZLEyCUjv4US6kt_l-v8-GM/edit#gid=0&amp;range=L""&amp;(REGEXREPLACE($A352,"".* #"","""")+1),IF($I352="""",""View!"",""Verify!"")))"),"")</f>
        <v/>
      </c>
    </row>
    <row r="353">
      <c r="A353" s="39"/>
      <c r="B353" s="39"/>
      <c r="C353" s="39"/>
      <c r="D353" s="113"/>
      <c r="E353" s="113"/>
      <c r="F353" s="39"/>
      <c r="G353" s="39"/>
      <c r="H353" s="39"/>
      <c r="I353" s="39"/>
      <c r="J353" s="108"/>
      <c r="K353" s="108"/>
      <c r="L353" s="39"/>
      <c r="M353" s="108"/>
      <c r="N353" s="108" t="str">
        <f>IFERROR(__xludf.DUMMYFUNCTION("IF($A353="""","""",HYPERLINK(""https://docs.google.com/spreadsheets/d/1LovjCF_yo-DR4S4HXV7VkZLEyCUjv4US6kt_l-v8-GM/edit#gid=0&amp;range=L""&amp;(REGEXREPLACE($A353,"".* #"","""")+1),IF($I353="""",""View!"",""Verify!"")))"),"")</f>
        <v/>
      </c>
    </row>
    <row r="354">
      <c r="A354" s="39"/>
      <c r="B354" s="39"/>
      <c r="C354" s="39"/>
      <c r="D354" s="113"/>
      <c r="E354" s="113"/>
      <c r="F354" s="39"/>
      <c r="G354" s="39"/>
      <c r="H354" s="39"/>
      <c r="I354" s="39"/>
      <c r="J354" s="108"/>
      <c r="K354" s="108"/>
      <c r="L354" s="39"/>
      <c r="M354" s="108"/>
      <c r="N354" s="108" t="str">
        <f>IFERROR(__xludf.DUMMYFUNCTION("IF($A354="""","""",HYPERLINK(""https://docs.google.com/spreadsheets/d/1LovjCF_yo-DR4S4HXV7VkZLEyCUjv4US6kt_l-v8-GM/edit#gid=0&amp;range=L""&amp;(REGEXREPLACE($A354,"".* #"","""")+1),IF($I354="""",""View!"",""Verify!"")))"),"")</f>
        <v/>
      </c>
    </row>
    <row r="355">
      <c r="A355" s="39"/>
      <c r="B355" s="39"/>
      <c r="C355" s="39"/>
      <c r="D355" s="113"/>
      <c r="E355" s="113"/>
      <c r="F355" s="39"/>
      <c r="G355" s="39"/>
      <c r="H355" s="39"/>
      <c r="I355" s="39"/>
      <c r="J355" s="108"/>
      <c r="K355" s="108"/>
      <c r="L355" s="39"/>
      <c r="M355" s="108"/>
      <c r="N355" s="108" t="str">
        <f>IFERROR(__xludf.DUMMYFUNCTION("IF($A355="""","""",HYPERLINK(""https://docs.google.com/spreadsheets/d/1LovjCF_yo-DR4S4HXV7VkZLEyCUjv4US6kt_l-v8-GM/edit#gid=0&amp;range=L""&amp;(REGEXREPLACE($A355,"".* #"","""")+1),IF($I355="""",""View!"",""Verify!"")))"),"")</f>
        <v/>
      </c>
    </row>
    <row r="356">
      <c r="A356" s="39"/>
      <c r="B356" s="39"/>
      <c r="C356" s="39"/>
      <c r="D356" s="113"/>
      <c r="E356" s="113"/>
      <c r="F356" s="39"/>
      <c r="G356" s="39"/>
      <c r="H356" s="39"/>
      <c r="I356" s="39"/>
      <c r="J356" s="108"/>
      <c r="K356" s="108"/>
      <c r="L356" s="39"/>
      <c r="M356" s="108"/>
      <c r="N356" s="108" t="str">
        <f>IFERROR(__xludf.DUMMYFUNCTION("IF($A356="""","""",HYPERLINK(""https://docs.google.com/spreadsheets/d/1LovjCF_yo-DR4S4HXV7VkZLEyCUjv4US6kt_l-v8-GM/edit#gid=0&amp;range=L""&amp;(REGEXREPLACE($A356,"".* #"","""")+1),IF($I356="""",""View!"",""Verify!"")))"),"")</f>
        <v/>
      </c>
    </row>
    <row r="357">
      <c r="A357" s="39"/>
      <c r="B357" s="39"/>
      <c r="C357" s="39"/>
      <c r="D357" s="113"/>
      <c r="E357" s="113"/>
      <c r="F357" s="39"/>
      <c r="G357" s="39"/>
      <c r="H357" s="39"/>
      <c r="I357" s="39"/>
      <c r="J357" s="108"/>
      <c r="K357" s="108"/>
      <c r="L357" s="39"/>
      <c r="M357" s="108"/>
      <c r="N357" s="108" t="str">
        <f>IFERROR(__xludf.DUMMYFUNCTION("IF($A357="""","""",HYPERLINK(""https://docs.google.com/spreadsheets/d/1LovjCF_yo-DR4S4HXV7VkZLEyCUjv4US6kt_l-v8-GM/edit#gid=0&amp;range=L""&amp;(REGEXREPLACE($A357,"".* #"","""")+1),IF($I357="""",""View!"",""Verify!"")))"),"")</f>
        <v/>
      </c>
    </row>
    <row r="358">
      <c r="A358" s="39"/>
      <c r="B358" s="39"/>
      <c r="C358" s="39"/>
      <c r="D358" s="113"/>
      <c r="E358" s="113"/>
      <c r="F358" s="39"/>
      <c r="G358" s="39"/>
      <c r="H358" s="39"/>
      <c r="I358" s="39"/>
      <c r="J358" s="108"/>
      <c r="K358" s="108"/>
      <c r="L358" s="39"/>
      <c r="M358" s="108"/>
      <c r="N358" s="108" t="str">
        <f>IFERROR(__xludf.DUMMYFUNCTION("IF($A358="""","""",HYPERLINK(""https://docs.google.com/spreadsheets/d/1LovjCF_yo-DR4S4HXV7VkZLEyCUjv4US6kt_l-v8-GM/edit#gid=0&amp;range=L""&amp;(REGEXREPLACE($A358,"".* #"","""")+1),IF($I358="""",""View!"",""Verify!"")))"),"")</f>
        <v/>
      </c>
    </row>
    <row r="359">
      <c r="A359" s="39"/>
      <c r="B359" s="39"/>
      <c r="C359" s="39"/>
      <c r="D359" s="113"/>
      <c r="E359" s="113"/>
      <c r="F359" s="39"/>
      <c r="G359" s="39"/>
      <c r="H359" s="39"/>
      <c r="I359" s="39"/>
      <c r="J359" s="108"/>
      <c r="K359" s="108"/>
      <c r="L359" s="39"/>
      <c r="M359" s="108"/>
      <c r="N359" s="108" t="str">
        <f>IFERROR(__xludf.DUMMYFUNCTION("IF($A359="""","""",HYPERLINK(""https://docs.google.com/spreadsheets/d/1LovjCF_yo-DR4S4HXV7VkZLEyCUjv4US6kt_l-v8-GM/edit#gid=0&amp;range=L""&amp;(REGEXREPLACE($A359,"".* #"","""")+1),IF($I359="""",""View!"",""Verify!"")))"),"")</f>
        <v/>
      </c>
    </row>
    <row r="360">
      <c r="A360" s="39"/>
      <c r="B360" s="39"/>
      <c r="C360" s="39"/>
      <c r="D360" s="113"/>
      <c r="E360" s="113"/>
      <c r="F360" s="39"/>
      <c r="G360" s="39"/>
      <c r="H360" s="39"/>
      <c r="I360" s="39"/>
      <c r="J360" s="108"/>
      <c r="K360" s="108"/>
      <c r="L360" s="39"/>
      <c r="M360" s="108"/>
      <c r="N360" s="108" t="str">
        <f>IFERROR(__xludf.DUMMYFUNCTION("IF($A360="""","""",HYPERLINK(""https://docs.google.com/spreadsheets/d/1LovjCF_yo-DR4S4HXV7VkZLEyCUjv4US6kt_l-v8-GM/edit#gid=0&amp;range=L""&amp;(REGEXREPLACE($A360,"".* #"","""")+1),IF($I360="""",""View!"",""Verify!"")))"),"")</f>
        <v/>
      </c>
    </row>
    <row r="361">
      <c r="A361" s="39"/>
      <c r="B361" s="39"/>
      <c r="C361" s="39"/>
      <c r="D361" s="113"/>
      <c r="E361" s="113"/>
      <c r="F361" s="39"/>
      <c r="G361" s="39"/>
      <c r="H361" s="39"/>
      <c r="I361" s="39"/>
      <c r="J361" s="108"/>
      <c r="K361" s="108"/>
      <c r="L361" s="39"/>
      <c r="M361" s="108"/>
      <c r="N361" s="108" t="str">
        <f>IFERROR(__xludf.DUMMYFUNCTION("IF($A361="""","""",HYPERLINK(""https://docs.google.com/spreadsheets/d/1LovjCF_yo-DR4S4HXV7VkZLEyCUjv4US6kt_l-v8-GM/edit#gid=0&amp;range=L""&amp;(REGEXREPLACE($A361,"".* #"","""")+1),IF($I361="""",""View!"",""Verify!"")))"),"")</f>
        <v/>
      </c>
    </row>
    <row r="362">
      <c r="A362" s="39"/>
      <c r="B362" s="39"/>
      <c r="C362" s="39"/>
      <c r="D362" s="113"/>
      <c r="E362" s="113"/>
      <c r="F362" s="39"/>
      <c r="G362" s="39"/>
      <c r="H362" s="39"/>
      <c r="I362" s="39"/>
      <c r="J362" s="108"/>
      <c r="K362" s="108"/>
      <c r="L362" s="39"/>
      <c r="M362" s="108"/>
      <c r="N362" s="108" t="str">
        <f>IFERROR(__xludf.DUMMYFUNCTION("IF($A362="""","""",HYPERLINK(""https://docs.google.com/spreadsheets/d/1LovjCF_yo-DR4S4HXV7VkZLEyCUjv4US6kt_l-v8-GM/edit#gid=0&amp;range=L""&amp;(REGEXREPLACE($A362,"".* #"","""")+1),IF($I362="""",""View!"",""Verify!"")))"),"")</f>
        <v/>
      </c>
    </row>
    <row r="363">
      <c r="A363" s="39"/>
      <c r="B363" s="39"/>
      <c r="C363" s="39"/>
      <c r="D363" s="113"/>
      <c r="E363" s="113"/>
      <c r="F363" s="39"/>
      <c r="G363" s="39"/>
      <c r="H363" s="39"/>
      <c r="I363" s="39"/>
      <c r="J363" s="108"/>
      <c r="K363" s="108"/>
      <c r="L363" s="39"/>
      <c r="M363" s="108"/>
      <c r="N363" s="108" t="str">
        <f>IFERROR(__xludf.DUMMYFUNCTION("IF($A363="""","""",HYPERLINK(""https://docs.google.com/spreadsheets/d/1LovjCF_yo-DR4S4HXV7VkZLEyCUjv4US6kt_l-v8-GM/edit#gid=0&amp;range=L""&amp;(REGEXREPLACE($A363,"".* #"","""")+1),IF($I363="""",""View!"",""Verify!"")))"),"")</f>
        <v/>
      </c>
    </row>
    <row r="364">
      <c r="A364" s="39"/>
      <c r="B364" s="39"/>
      <c r="C364" s="39"/>
      <c r="D364" s="113"/>
      <c r="E364" s="113"/>
      <c r="F364" s="39"/>
      <c r="G364" s="39"/>
      <c r="H364" s="39"/>
      <c r="I364" s="39"/>
      <c r="J364" s="108"/>
      <c r="K364" s="108"/>
      <c r="L364" s="39"/>
      <c r="M364" s="108"/>
      <c r="N364" s="108" t="str">
        <f>IFERROR(__xludf.DUMMYFUNCTION("IF($A364="""","""",HYPERLINK(""https://docs.google.com/spreadsheets/d/1LovjCF_yo-DR4S4HXV7VkZLEyCUjv4US6kt_l-v8-GM/edit#gid=0&amp;range=L""&amp;(REGEXREPLACE($A364,"".* #"","""")+1),IF($I364="""",""View!"",""Verify!"")))"),"")</f>
        <v/>
      </c>
    </row>
    <row r="365">
      <c r="A365" s="39"/>
      <c r="B365" s="39"/>
      <c r="C365" s="39"/>
      <c r="D365" s="113"/>
      <c r="E365" s="113"/>
      <c r="F365" s="39"/>
      <c r="G365" s="39"/>
      <c r="H365" s="39"/>
      <c r="I365" s="39"/>
      <c r="J365" s="108"/>
      <c r="K365" s="108"/>
      <c r="L365" s="39"/>
      <c r="M365" s="108"/>
      <c r="N365" s="108" t="str">
        <f>IFERROR(__xludf.DUMMYFUNCTION("IF($A365="""","""",HYPERLINK(""https://docs.google.com/spreadsheets/d/1LovjCF_yo-DR4S4HXV7VkZLEyCUjv4US6kt_l-v8-GM/edit#gid=0&amp;range=L""&amp;(REGEXREPLACE($A365,"".* #"","""")+1),IF($I365="""",""View!"",""Verify!"")))"),"")</f>
        <v/>
      </c>
    </row>
    <row r="366">
      <c r="A366" s="39"/>
      <c r="B366" s="39"/>
      <c r="C366" s="39"/>
      <c r="D366" s="113"/>
      <c r="E366" s="113"/>
      <c r="F366" s="39"/>
      <c r="G366" s="39"/>
      <c r="H366" s="39"/>
      <c r="I366" s="39"/>
      <c r="J366" s="108"/>
      <c r="K366" s="108"/>
      <c r="L366" s="39"/>
      <c r="M366" s="108"/>
      <c r="N366" s="108" t="str">
        <f>IFERROR(__xludf.DUMMYFUNCTION("IF($A366="""","""",HYPERLINK(""https://docs.google.com/spreadsheets/d/1LovjCF_yo-DR4S4HXV7VkZLEyCUjv4US6kt_l-v8-GM/edit#gid=0&amp;range=L""&amp;(REGEXREPLACE($A366,"".* #"","""")+1),IF($I366="""",""View!"",""Verify!"")))"),"")</f>
        <v/>
      </c>
    </row>
    <row r="367">
      <c r="A367" s="39"/>
      <c r="B367" s="39"/>
      <c r="C367" s="39"/>
      <c r="D367" s="113"/>
      <c r="E367" s="113"/>
      <c r="F367" s="39"/>
      <c r="G367" s="39"/>
      <c r="H367" s="39"/>
      <c r="I367" s="39"/>
      <c r="J367" s="108"/>
      <c r="K367" s="108"/>
      <c r="L367" s="39"/>
      <c r="M367" s="108"/>
      <c r="N367" s="108" t="str">
        <f>IFERROR(__xludf.DUMMYFUNCTION("IF($A367="""","""",HYPERLINK(""https://docs.google.com/spreadsheets/d/1LovjCF_yo-DR4S4HXV7VkZLEyCUjv4US6kt_l-v8-GM/edit#gid=0&amp;range=L""&amp;(REGEXREPLACE($A367,"".* #"","""")+1),IF($I367="""",""View!"",""Verify!"")))"),"")</f>
        <v/>
      </c>
    </row>
    <row r="368">
      <c r="A368" s="39"/>
      <c r="B368" s="39"/>
      <c r="C368" s="39"/>
      <c r="D368" s="113"/>
      <c r="E368" s="113"/>
      <c r="F368" s="39"/>
      <c r="G368" s="39"/>
      <c r="H368" s="39"/>
      <c r="I368" s="39"/>
      <c r="J368" s="108"/>
      <c r="K368" s="108"/>
      <c r="L368" s="39"/>
      <c r="M368" s="108"/>
      <c r="N368" s="108" t="str">
        <f>IFERROR(__xludf.DUMMYFUNCTION("IF($A368="""","""",HYPERLINK(""https://docs.google.com/spreadsheets/d/1LovjCF_yo-DR4S4HXV7VkZLEyCUjv4US6kt_l-v8-GM/edit#gid=0&amp;range=L""&amp;(REGEXREPLACE($A368,"".* #"","""")+1),IF($I368="""",""View!"",""Verify!"")))"),"")</f>
        <v/>
      </c>
    </row>
    <row r="369">
      <c r="A369" s="39"/>
      <c r="B369" s="39"/>
      <c r="C369" s="39"/>
      <c r="D369" s="113"/>
      <c r="E369" s="113"/>
      <c r="F369" s="39"/>
      <c r="G369" s="39"/>
      <c r="H369" s="39"/>
      <c r="I369" s="39"/>
      <c r="J369" s="108"/>
      <c r="K369" s="108"/>
      <c r="L369" s="39"/>
      <c r="M369" s="108"/>
      <c r="N369" s="108" t="str">
        <f>IFERROR(__xludf.DUMMYFUNCTION("IF($A369="""","""",HYPERLINK(""https://docs.google.com/spreadsheets/d/1LovjCF_yo-DR4S4HXV7VkZLEyCUjv4US6kt_l-v8-GM/edit#gid=0&amp;range=L""&amp;(REGEXREPLACE($A369,"".* #"","""")+1),IF($I369="""",""View!"",""Verify!"")))"),"")</f>
        <v/>
      </c>
    </row>
    <row r="370">
      <c r="A370" s="39"/>
      <c r="B370" s="39"/>
      <c r="C370" s="39"/>
      <c r="D370" s="113"/>
      <c r="E370" s="113"/>
      <c r="F370" s="39"/>
      <c r="G370" s="39"/>
      <c r="H370" s="39"/>
      <c r="I370" s="39"/>
      <c r="J370" s="108"/>
      <c r="K370" s="108"/>
      <c r="L370" s="39"/>
      <c r="M370" s="108"/>
      <c r="N370" s="108" t="str">
        <f>IFERROR(__xludf.DUMMYFUNCTION("IF($A370="""","""",HYPERLINK(""https://docs.google.com/spreadsheets/d/1LovjCF_yo-DR4S4HXV7VkZLEyCUjv4US6kt_l-v8-GM/edit#gid=0&amp;range=L""&amp;(REGEXREPLACE($A370,"".* #"","""")+1),IF($I370="""",""View!"",""Verify!"")))"),"")</f>
        <v/>
      </c>
    </row>
    <row r="371">
      <c r="A371" s="39"/>
      <c r="B371" s="39"/>
      <c r="C371" s="39"/>
      <c r="D371" s="113"/>
      <c r="E371" s="113"/>
      <c r="F371" s="39"/>
      <c r="G371" s="39"/>
      <c r="H371" s="39"/>
      <c r="I371" s="39"/>
      <c r="J371" s="108"/>
      <c r="K371" s="108"/>
      <c r="L371" s="39"/>
      <c r="M371" s="108"/>
      <c r="N371" s="108" t="str">
        <f>IFERROR(__xludf.DUMMYFUNCTION("IF($A371="""","""",HYPERLINK(""https://docs.google.com/spreadsheets/d/1LovjCF_yo-DR4S4HXV7VkZLEyCUjv4US6kt_l-v8-GM/edit#gid=0&amp;range=L""&amp;(REGEXREPLACE($A371,"".* #"","""")+1),IF($I371="""",""View!"",""Verify!"")))"),"")</f>
        <v/>
      </c>
    </row>
    <row r="372">
      <c r="A372" s="39"/>
      <c r="B372" s="39"/>
      <c r="C372" s="39"/>
      <c r="D372" s="113"/>
      <c r="E372" s="113"/>
      <c r="F372" s="39"/>
      <c r="G372" s="39"/>
      <c r="H372" s="39"/>
      <c r="I372" s="39"/>
      <c r="J372" s="108"/>
      <c r="K372" s="108"/>
      <c r="L372" s="39"/>
      <c r="M372" s="108"/>
      <c r="N372" s="108" t="str">
        <f>IFERROR(__xludf.DUMMYFUNCTION("IF($A372="""","""",HYPERLINK(""https://docs.google.com/spreadsheets/d/1LovjCF_yo-DR4S4HXV7VkZLEyCUjv4US6kt_l-v8-GM/edit#gid=0&amp;range=L""&amp;(REGEXREPLACE($A372,"".* #"","""")+1),IF($I372="""",""View!"",""Verify!"")))"),"")</f>
        <v/>
      </c>
    </row>
    <row r="373">
      <c r="A373" s="39"/>
      <c r="B373" s="39"/>
      <c r="C373" s="39"/>
      <c r="D373" s="113"/>
      <c r="E373" s="113"/>
      <c r="F373" s="39"/>
      <c r="G373" s="39"/>
      <c r="H373" s="39"/>
      <c r="I373" s="39"/>
      <c r="J373" s="108"/>
      <c r="K373" s="108"/>
      <c r="L373" s="39"/>
      <c r="M373" s="108"/>
      <c r="N373" s="108" t="str">
        <f>IFERROR(__xludf.DUMMYFUNCTION("IF($A373="""","""",HYPERLINK(""https://docs.google.com/spreadsheets/d/1LovjCF_yo-DR4S4HXV7VkZLEyCUjv4US6kt_l-v8-GM/edit#gid=0&amp;range=L""&amp;(REGEXREPLACE($A373,"".* #"","""")+1),IF($I373="""",""View!"",""Verify!"")))"),"")</f>
        <v/>
      </c>
    </row>
    <row r="374">
      <c r="A374" s="39"/>
      <c r="B374" s="39"/>
      <c r="C374" s="39"/>
      <c r="D374" s="113"/>
      <c r="E374" s="113"/>
      <c r="F374" s="39"/>
      <c r="G374" s="39"/>
      <c r="H374" s="39"/>
      <c r="I374" s="39"/>
      <c r="J374" s="108"/>
      <c r="K374" s="108"/>
      <c r="L374" s="39"/>
      <c r="M374" s="108"/>
      <c r="N374" s="108" t="str">
        <f>IFERROR(__xludf.DUMMYFUNCTION("IF($A374="""","""",HYPERLINK(""https://docs.google.com/spreadsheets/d/1LovjCF_yo-DR4S4HXV7VkZLEyCUjv4US6kt_l-v8-GM/edit#gid=0&amp;range=L""&amp;(REGEXREPLACE($A374,"".* #"","""")+1),IF($I374="""",""View!"",""Verify!"")))"),"")</f>
        <v/>
      </c>
    </row>
    <row r="375">
      <c r="A375" s="39"/>
      <c r="B375" s="39"/>
      <c r="C375" s="39"/>
      <c r="D375" s="113"/>
      <c r="E375" s="113"/>
      <c r="F375" s="39"/>
      <c r="G375" s="39"/>
      <c r="H375" s="39"/>
      <c r="I375" s="39"/>
      <c r="J375" s="108"/>
      <c r="K375" s="108"/>
      <c r="L375" s="39"/>
      <c r="M375" s="108"/>
      <c r="N375" s="108" t="str">
        <f>IFERROR(__xludf.DUMMYFUNCTION("IF($A375="""","""",HYPERLINK(""https://docs.google.com/spreadsheets/d/1LovjCF_yo-DR4S4HXV7VkZLEyCUjv4US6kt_l-v8-GM/edit#gid=0&amp;range=L""&amp;(REGEXREPLACE($A375,"".* #"","""")+1),IF($I375="""",""View!"",""Verify!"")))"),"")</f>
        <v/>
      </c>
    </row>
    <row r="376">
      <c r="A376" s="39"/>
      <c r="B376" s="39"/>
      <c r="C376" s="39"/>
      <c r="D376" s="113"/>
      <c r="E376" s="113"/>
      <c r="F376" s="39"/>
      <c r="G376" s="39"/>
      <c r="H376" s="39"/>
      <c r="I376" s="39"/>
      <c r="J376" s="108"/>
      <c r="K376" s="108"/>
      <c r="L376" s="39"/>
      <c r="M376" s="108"/>
      <c r="N376" s="108" t="str">
        <f>IFERROR(__xludf.DUMMYFUNCTION("IF($A376="""","""",HYPERLINK(""https://docs.google.com/spreadsheets/d/1LovjCF_yo-DR4S4HXV7VkZLEyCUjv4US6kt_l-v8-GM/edit#gid=0&amp;range=L""&amp;(REGEXREPLACE($A376,"".* #"","""")+1),IF($I376="""",""View!"",""Verify!"")))"),"")</f>
        <v/>
      </c>
    </row>
    <row r="377">
      <c r="A377" s="39"/>
      <c r="B377" s="39"/>
      <c r="C377" s="39"/>
      <c r="D377" s="113"/>
      <c r="E377" s="113"/>
      <c r="F377" s="39"/>
      <c r="G377" s="39"/>
      <c r="H377" s="39"/>
      <c r="I377" s="39"/>
      <c r="J377" s="108"/>
      <c r="K377" s="108"/>
      <c r="L377" s="39"/>
      <c r="M377" s="108"/>
      <c r="N377" s="108" t="str">
        <f>IFERROR(__xludf.DUMMYFUNCTION("IF($A377="""","""",HYPERLINK(""https://docs.google.com/spreadsheets/d/1LovjCF_yo-DR4S4HXV7VkZLEyCUjv4US6kt_l-v8-GM/edit#gid=0&amp;range=L""&amp;(REGEXREPLACE($A377,"".* #"","""")+1),IF($I377="""",""View!"",""Verify!"")))"),"")</f>
        <v/>
      </c>
    </row>
    <row r="378">
      <c r="A378" s="39"/>
      <c r="B378" s="39"/>
      <c r="C378" s="39"/>
      <c r="D378" s="113"/>
      <c r="E378" s="113"/>
      <c r="F378" s="39"/>
      <c r="G378" s="39"/>
      <c r="H378" s="39"/>
      <c r="I378" s="39"/>
      <c r="J378" s="108"/>
      <c r="K378" s="108"/>
      <c r="L378" s="39"/>
      <c r="M378" s="108"/>
      <c r="N378" s="108" t="str">
        <f>IFERROR(__xludf.DUMMYFUNCTION("IF($A378="""","""",HYPERLINK(""https://docs.google.com/spreadsheets/d/1LovjCF_yo-DR4S4HXV7VkZLEyCUjv4US6kt_l-v8-GM/edit#gid=0&amp;range=L""&amp;(REGEXREPLACE($A378,"".* #"","""")+1),IF($I378="""",""View!"",""Verify!"")))"),"")</f>
        <v/>
      </c>
    </row>
    <row r="379">
      <c r="A379" s="39"/>
      <c r="B379" s="39"/>
      <c r="C379" s="39"/>
      <c r="D379" s="113"/>
      <c r="E379" s="113"/>
      <c r="F379" s="39"/>
      <c r="G379" s="39"/>
      <c r="H379" s="39"/>
      <c r="I379" s="39"/>
      <c r="J379" s="108"/>
      <c r="K379" s="108"/>
      <c r="L379" s="39"/>
      <c r="M379" s="108"/>
      <c r="N379" s="108" t="str">
        <f>IFERROR(__xludf.DUMMYFUNCTION("IF($A379="""","""",HYPERLINK(""https://docs.google.com/spreadsheets/d/1LovjCF_yo-DR4S4HXV7VkZLEyCUjv4US6kt_l-v8-GM/edit#gid=0&amp;range=L""&amp;(REGEXREPLACE($A379,"".* #"","""")+1),IF($I379="""",""View!"",""Verify!"")))"),"")</f>
        <v/>
      </c>
    </row>
    <row r="380">
      <c r="A380" s="39"/>
      <c r="B380" s="39"/>
      <c r="C380" s="39"/>
      <c r="D380" s="113"/>
      <c r="E380" s="113"/>
      <c r="F380" s="39"/>
      <c r="G380" s="39"/>
      <c r="H380" s="39"/>
      <c r="I380" s="39"/>
      <c r="J380" s="108"/>
      <c r="K380" s="108"/>
      <c r="L380" s="39"/>
      <c r="M380" s="108"/>
      <c r="N380" s="108" t="str">
        <f>IFERROR(__xludf.DUMMYFUNCTION("IF($A380="""","""",HYPERLINK(""https://docs.google.com/spreadsheets/d/1LovjCF_yo-DR4S4HXV7VkZLEyCUjv4US6kt_l-v8-GM/edit#gid=0&amp;range=L""&amp;(REGEXREPLACE($A380,"".* #"","""")+1),IF($I380="""",""View!"",""Verify!"")))"),"")</f>
        <v/>
      </c>
    </row>
    <row r="381">
      <c r="A381" s="39"/>
      <c r="B381" s="39"/>
      <c r="C381" s="39"/>
      <c r="D381" s="113"/>
      <c r="E381" s="113"/>
      <c r="F381" s="39"/>
      <c r="G381" s="39"/>
      <c r="H381" s="39"/>
      <c r="I381" s="39"/>
      <c r="J381" s="108"/>
      <c r="K381" s="108"/>
      <c r="L381" s="39"/>
      <c r="M381" s="108"/>
      <c r="N381" s="108" t="str">
        <f>IFERROR(__xludf.DUMMYFUNCTION("IF($A381="""","""",HYPERLINK(""https://docs.google.com/spreadsheets/d/1LovjCF_yo-DR4S4HXV7VkZLEyCUjv4US6kt_l-v8-GM/edit#gid=0&amp;range=L""&amp;(REGEXREPLACE($A381,"".* #"","""")+1),IF($I381="""",""View!"",""Verify!"")))"),"")</f>
        <v/>
      </c>
    </row>
    <row r="382">
      <c r="A382" s="39"/>
      <c r="B382" s="39"/>
      <c r="C382" s="39"/>
      <c r="D382" s="113"/>
      <c r="E382" s="113"/>
      <c r="F382" s="39"/>
      <c r="G382" s="39"/>
      <c r="H382" s="39"/>
      <c r="I382" s="39"/>
      <c r="J382" s="108"/>
      <c r="K382" s="108"/>
      <c r="L382" s="39"/>
      <c r="M382" s="108"/>
      <c r="N382" s="108" t="str">
        <f>IFERROR(__xludf.DUMMYFUNCTION("IF($A382="""","""",HYPERLINK(""https://docs.google.com/spreadsheets/d/1LovjCF_yo-DR4S4HXV7VkZLEyCUjv4US6kt_l-v8-GM/edit#gid=0&amp;range=L""&amp;(REGEXREPLACE($A382,"".* #"","""")+1),IF($I382="""",""View!"",""Verify!"")))"),"")</f>
        <v/>
      </c>
    </row>
    <row r="383">
      <c r="A383" s="39"/>
      <c r="B383" s="39"/>
      <c r="C383" s="39"/>
      <c r="D383" s="113"/>
      <c r="E383" s="113"/>
      <c r="F383" s="39"/>
      <c r="G383" s="39"/>
      <c r="H383" s="39"/>
      <c r="I383" s="39"/>
      <c r="J383" s="108"/>
      <c r="K383" s="108"/>
      <c r="L383" s="39"/>
      <c r="M383" s="108"/>
      <c r="N383" s="108" t="str">
        <f>IFERROR(__xludf.DUMMYFUNCTION("IF($A383="""","""",HYPERLINK(""https://docs.google.com/spreadsheets/d/1LovjCF_yo-DR4S4HXV7VkZLEyCUjv4US6kt_l-v8-GM/edit#gid=0&amp;range=L""&amp;(REGEXREPLACE($A383,"".* #"","""")+1),IF($I383="""",""View!"",""Verify!"")))"),"")</f>
        <v/>
      </c>
    </row>
    <row r="384">
      <c r="A384" s="39"/>
      <c r="B384" s="39"/>
      <c r="C384" s="39"/>
      <c r="D384" s="113"/>
      <c r="E384" s="113"/>
      <c r="F384" s="39"/>
      <c r="G384" s="39"/>
      <c r="H384" s="39"/>
      <c r="I384" s="39"/>
      <c r="J384" s="108"/>
      <c r="K384" s="108"/>
      <c r="L384" s="39"/>
      <c r="M384" s="108"/>
      <c r="N384" s="108" t="str">
        <f>IFERROR(__xludf.DUMMYFUNCTION("IF($A384="""","""",HYPERLINK(""https://docs.google.com/spreadsheets/d/1LovjCF_yo-DR4S4HXV7VkZLEyCUjv4US6kt_l-v8-GM/edit#gid=0&amp;range=L""&amp;(REGEXREPLACE($A384,"".* #"","""")+1),IF($I384="""",""View!"",""Verify!"")))"),"")</f>
        <v/>
      </c>
    </row>
    <row r="385">
      <c r="A385" s="39"/>
      <c r="B385" s="39"/>
      <c r="C385" s="39"/>
      <c r="D385" s="113"/>
      <c r="E385" s="113"/>
      <c r="F385" s="39"/>
      <c r="G385" s="39"/>
      <c r="H385" s="39"/>
      <c r="I385" s="39"/>
      <c r="J385" s="108"/>
      <c r="K385" s="108"/>
      <c r="L385" s="39"/>
      <c r="M385" s="108"/>
      <c r="N385" s="108" t="str">
        <f>IFERROR(__xludf.DUMMYFUNCTION("IF($A385="""","""",HYPERLINK(""https://docs.google.com/spreadsheets/d/1LovjCF_yo-DR4S4HXV7VkZLEyCUjv4US6kt_l-v8-GM/edit#gid=0&amp;range=L""&amp;(REGEXREPLACE($A385,"".* #"","""")+1),IF($I385="""",""View!"",""Verify!"")))"),"")</f>
        <v/>
      </c>
    </row>
    <row r="386">
      <c r="A386" s="39"/>
      <c r="B386" s="39"/>
      <c r="C386" s="39"/>
      <c r="D386" s="113"/>
      <c r="E386" s="113"/>
      <c r="F386" s="39"/>
      <c r="G386" s="39"/>
      <c r="H386" s="39"/>
      <c r="I386" s="39"/>
      <c r="J386" s="108"/>
      <c r="K386" s="108"/>
      <c r="L386" s="39"/>
      <c r="M386" s="108"/>
      <c r="N386" s="108" t="str">
        <f>IFERROR(__xludf.DUMMYFUNCTION("IF($A386="""","""",HYPERLINK(""https://docs.google.com/spreadsheets/d/1LovjCF_yo-DR4S4HXV7VkZLEyCUjv4US6kt_l-v8-GM/edit#gid=0&amp;range=L""&amp;(REGEXREPLACE($A386,"".* #"","""")+1),IF($I386="""",""View!"",""Verify!"")))"),"")</f>
        <v/>
      </c>
    </row>
    <row r="387">
      <c r="A387" s="39"/>
      <c r="B387" s="39"/>
      <c r="C387" s="39"/>
      <c r="D387" s="113"/>
      <c r="E387" s="113"/>
      <c r="F387" s="39"/>
      <c r="G387" s="39"/>
      <c r="H387" s="39"/>
      <c r="I387" s="39"/>
      <c r="J387" s="108"/>
      <c r="K387" s="108"/>
      <c r="L387" s="39"/>
      <c r="M387" s="108"/>
      <c r="N387" s="108" t="str">
        <f>IFERROR(__xludf.DUMMYFUNCTION("IF($A387="""","""",HYPERLINK(""https://docs.google.com/spreadsheets/d/1LovjCF_yo-DR4S4HXV7VkZLEyCUjv4US6kt_l-v8-GM/edit#gid=0&amp;range=L""&amp;(REGEXREPLACE($A387,"".* #"","""")+1),IF($I387="""",""View!"",""Verify!"")))"),"")</f>
        <v/>
      </c>
    </row>
    <row r="388">
      <c r="A388" s="39"/>
      <c r="B388" s="39"/>
      <c r="C388" s="39"/>
      <c r="D388" s="113"/>
      <c r="E388" s="113"/>
      <c r="F388" s="39"/>
      <c r="G388" s="39"/>
      <c r="H388" s="39"/>
      <c r="I388" s="39"/>
      <c r="J388" s="108"/>
      <c r="K388" s="108"/>
      <c r="L388" s="39"/>
      <c r="M388" s="108"/>
      <c r="N388" s="108" t="str">
        <f>IFERROR(__xludf.DUMMYFUNCTION("IF($A388="""","""",HYPERLINK(""https://docs.google.com/spreadsheets/d/1LovjCF_yo-DR4S4HXV7VkZLEyCUjv4US6kt_l-v8-GM/edit#gid=0&amp;range=L""&amp;(REGEXREPLACE($A388,"".* #"","""")+1),IF($I388="""",""View!"",""Verify!"")))"),"")</f>
        <v/>
      </c>
    </row>
    <row r="389">
      <c r="A389" s="39"/>
      <c r="B389" s="39"/>
      <c r="C389" s="39"/>
      <c r="D389" s="113"/>
      <c r="E389" s="113"/>
      <c r="F389" s="39"/>
      <c r="G389" s="39"/>
      <c r="H389" s="39"/>
      <c r="I389" s="39"/>
      <c r="J389" s="108"/>
      <c r="K389" s="108"/>
      <c r="L389" s="39"/>
      <c r="M389" s="108"/>
      <c r="N389" s="108" t="str">
        <f>IFERROR(__xludf.DUMMYFUNCTION("IF($A389="""","""",HYPERLINK(""https://docs.google.com/spreadsheets/d/1LovjCF_yo-DR4S4HXV7VkZLEyCUjv4US6kt_l-v8-GM/edit#gid=0&amp;range=L""&amp;(REGEXREPLACE($A389,"".* #"","""")+1),IF($I389="""",""View!"",""Verify!"")))"),"")</f>
        <v/>
      </c>
    </row>
    <row r="390">
      <c r="A390" s="39"/>
      <c r="B390" s="39"/>
      <c r="C390" s="39"/>
      <c r="D390" s="113"/>
      <c r="E390" s="113"/>
      <c r="F390" s="39"/>
      <c r="G390" s="39"/>
      <c r="H390" s="39"/>
      <c r="I390" s="39"/>
      <c r="J390" s="108"/>
      <c r="K390" s="108"/>
      <c r="L390" s="39"/>
      <c r="M390" s="108"/>
      <c r="N390" s="108" t="str">
        <f>IFERROR(__xludf.DUMMYFUNCTION("IF($A390="""","""",HYPERLINK(""https://docs.google.com/spreadsheets/d/1LovjCF_yo-DR4S4HXV7VkZLEyCUjv4US6kt_l-v8-GM/edit#gid=0&amp;range=L""&amp;(REGEXREPLACE($A390,"".* #"","""")+1),IF($I390="""",""View!"",""Verify!"")))"),"")</f>
        <v/>
      </c>
    </row>
    <row r="391">
      <c r="A391" s="39"/>
      <c r="B391" s="39"/>
      <c r="C391" s="39"/>
      <c r="D391" s="113"/>
      <c r="E391" s="113"/>
      <c r="F391" s="39"/>
      <c r="G391" s="39"/>
      <c r="H391" s="39"/>
      <c r="I391" s="39"/>
      <c r="J391" s="108"/>
      <c r="K391" s="108"/>
      <c r="L391" s="39"/>
      <c r="M391" s="108"/>
      <c r="N391" s="108" t="str">
        <f>IFERROR(__xludf.DUMMYFUNCTION("IF($A391="""","""",HYPERLINK(""https://docs.google.com/spreadsheets/d/1LovjCF_yo-DR4S4HXV7VkZLEyCUjv4US6kt_l-v8-GM/edit#gid=0&amp;range=L""&amp;(REGEXREPLACE($A391,"".* #"","""")+1),IF($I391="""",""View!"",""Verify!"")))"),"")</f>
        <v/>
      </c>
    </row>
    <row r="392">
      <c r="A392" s="39"/>
      <c r="B392" s="39"/>
      <c r="C392" s="39"/>
      <c r="D392" s="113"/>
      <c r="E392" s="113"/>
      <c r="F392" s="39"/>
      <c r="G392" s="39"/>
      <c r="H392" s="39"/>
      <c r="I392" s="39"/>
      <c r="J392" s="108"/>
      <c r="K392" s="108"/>
      <c r="L392" s="39"/>
      <c r="M392" s="108"/>
      <c r="N392" s="108" t="str">
        <f>IFERROR(__xludf.DUMMYFUNCTION("IF($A392="""","""",HYPERLINK(""https://docs.google.com/spreadsheets/d/1LovjCF_yo-DR4S4HXV7VkZLEyCUjv4US6kt_l-v8-GM/edit#gid=0&amp;range=L""&amp;(REGEXREPLACE($A392,"".* #"","""")+1),IF($I392="""",""View!"",""Verify!"")))"),"")</f>
        <v/>
      </c>
    </row>
    <row r="393">
      <c r="A393" s="39"/>
      <c r="B393" s="39"/>
      <c r="C393" s="39"/>
      <c r="D393" s="113"/>
      <c r="E393" s="113"/>
      <c r="F393" s="39"/>
      <c r="G393" s="39"/>
      <c r="H393" s="39"/>
      <c r="I393" s="39"/>
      <c r="J393" s="108"/>
      <c r="K393" s="108"/>
      <c r="L393" s="39"/>
      <c r="M393" s="108"/>
      <c r="N393" s="108" t="str">
        <f>IFERROR(__xludf.DUMMYFUNCTION("IF($A393="""","""",HYPERLINK(""https://docs.google.com/spreadsheets/d/1LovjCF_yo-DR4S4HXV7VkZLEyCUjv4US6kt_l-v8-GM/edit#gid=0&amp;range=L""&amp;(REGEXREPLACE($A393,"".* #"","""")+1),IF($I393="""",""View!"",""Verify!"")))"),"")</f>
        <v/>
      </c>
    </row>
    <row r="394">
      <c r="A394" s="39"/>
      <c r="B394" s="39"/>
      <c r="C394" s="39"/>
      <c r="D394" s="113"/>
      <c r="E394" s="113"/>
      <c r="F394" s="39"/>
      <c r="G394" s="39"/>
      <c r="H394" s="39"/>
      <c r="I394" s="39"/>
      <c r="J394" s="108"/>
      <c r="K394" s="108"/>
      <c r="L394" s="39"/>
      <c r="M394" s="108"/>
      <c r="N394" s="108" t="str">
        <f>IFERROR(__xludf.DUMMYFUNCTION("IF($A394="""","""",HYPERLINK(""https://docs.google.com/spreadsheets/d/1LovjCF_yo-DR4S4HXV7VkZLEyCUjv4US6kt_l-v8-GM/edit#gid=0&amp;range=L""&amp;(REGEXREPLACE($A394,"".* #"","""")+1),IF($I394="""",""View!"",""Verify!"")))"),"")</f>
        <v/>
      </c>
    </row>
    <row r="395">
      <c r="A395" s="39"/>
      <c r="B395" s="39"/>
      <c r="C395" s="39"/>
      <c r="D395" s="113"/>
      <c r="E395" s="113"/>
      <c r="F395" s="39"/>
      <c r="G395" s="39"/>
      <c r="H395" s="39"/>
      <c r="I395" s="39"/>
      <c r="J395" s="108"/>
      <c r="K395" s="108"/>
      <c r="L395" s="39"/>
      <c r="M395" s="108"/>
      <c r="N395" s="108" t="str">
        <f>IFERROR(__xludf.DUMMYFUNCTION("IF($A395="""","""",HYPERLINK(""https://docs.google.com/spreadsheets/d/1LovjCF_yo-DR4S4HXV7VkZLEyCUjv4US6kt_l-v8-GM/edit#gid=0&amp;range=L""&amp;(REGEXREPLACE($A395,"".* #"","""")+1),IF($I395="""",""View!"",""Verify!"")))"),"")</f>
        <v/>
      </c>
    </row>
    <row r="396">
      <c r="A396" s="39"/>
      <c r="B396" s="39"/>
      <c r="C396" s="39"/>
      <c r="D396" s="113"/>
      <c r="E396" s="113"/>
      <c r="F396" s="39"/>
      <c r="G396" s="39"/>
      <c r="H396" s="39"/>
      <c r="I396" s="39"/>
      <c r="J396" s="108"/>
      <c r="K396" s="108"/>
      <c r="L396" s="39"/>
      <c r="M396" s="108"/>
      <c r="N396" s="108" t="str">
        <f>IFERROR(__xludf.DUMMYFUNCTION("IF($A396="""","""",HYPERLINK(""https://docs.google.com/spreadsheets/d/1LovjCF_yo-DR4S4HXV7VkZLEyCUjv4US6kt_l-v8-GM/edit#gid=0&amp;range=L""&amp;(REGEXREPLACE($A396,"".* #"","""")+1),IF($I396="""",""View!"",""Verify!"")))"),"")</f>
        <v/>
      </c>
    </row>
    <row r="397">
      <c r="A397" s="39"/>
      <c r="B397" s="39"/>
      <c r="C397" s="39"/>
      <c r="D397" s="113"/>
      <c r="E397" s="113"/>
      <c r="F397" s="39"/>
      <c r="G397" s="39"/>
      <c r="H397" s="39"/>
      <c r="I397" s="39"/>
      <c r="J397" s="108"/>
      <c r="K397" s="108"/>
      <c r="L397" s="39"/>
      <c r="M397" s="108"/>
      <c r="N397" s="108" t="str">
        <f>IFERROR(__xludf.DUMMYFUNCTION("IF($A397="""","""",HYPERLINK(""https://docs.google.com/spreadsheets/d/1LovjCF_yo-DR4S4HXV7VkZLEyCUjv4US6kt_l-v8-GM/edit#gid=0&amp;range=L""&amp;(REGEXREPLACE($A397,"".* #"","""")+1),IF($I397="""",""View!"",""Verify!"")))"),"")</f>
        <v/>
      </c>
    </row>
    <row r="398">
      <c r="A398" s="39"/>
      <c r="B398" s="39"/>
      <c r="C398" s="39"/>
      <c r="D398" s="113"/>
      <c r="E398" s="113"/>
      <c r="F398" s="39"/>
      <c r="G398" s="39"/>
      <c r="H398" s="39"/>
      <c r="I398" s="39"/>
      <c r="J398" s="108"/>
      <c r="K398" s="108"/>
      <c r="L398" s="39"/>
      <c r="M398" s="108"/>
      <c r="N398" s="108" t="str">
        <f>IFERROR(__xludf.DUMMYFUNCTION("IF($A398="""","""",HYPERLINK(""https://docs.google.com/spreadsheets/d/1LovjCF_yo-DR4S4HXV7VkZLEyCUjv4US6kt_l-v8-GM/edit#gid=0&amp;range=L""&amp;(REGEXREPLACE($A398,"".* #"","""")+1),IF($I398="""",""View!"",""Verify!"")))"),"")</f>
        <v/>
      </c>
    </row>
    <row r="399">
      <c r="A399" s="39"/>
      <c r="B399" s="39"/>
      <c r="C399" s="39"/>
      <c r="D399" s="113"/>
      <c r="E399" s="113"/>
      <c r="F399" s="39"/>
      <c r="G399" s="39"/>
      <c r="H399" s="39"/>
      <c r="I399" s="39"/>
      <c r="J399" s="108"/>
      <c r="K399" s="108"/>
      <c r="L399" s="39"/>
      <c r="M399" s="108"/>
      <c r="N399" s="108" t="str">
        <f>IFERROR(__xludf.DUMMYFUNCTION("IF($A399="""","""",HYPERLINK(""https://docs.google.com/spreadsheets/d/1LovjCF_yo-DR4S4HXV7VkZLEyCUjv4US6kt_l-v8-GM/edit#gid=0&amp;range=L""&amp;(REGEXREPLACE($A399,"".* #"","""")+1),IF($I399="""",""View!"",""Verify!"")))"),"")</f>
        <v/>
      </c>
    </row>
    <row r="400">
      <c r="A400" s="39"/>
      <c r="B400" s="39"/>
      <c r="C400" s="39"/>
      <c r="D400" s="113"/>
      <c r="E400" s="113"/>
      <c r="F400" s="39"/>
      <c r="G400" s="39"/>
      <c r="H400" s="39"/>
      <c r="I400" s="39"/>
      <c r="J400" s="108"/>
      <c r="K400" s="108"/>
      <c r="L400" s="39"/>
      <c r="M400" s="108"/>
      <c r="N400" s="108" t="str">
        <f>IFERROR(__xludf.DUMMYFUNCTION("IF($A400="""","""",HYPERLINK(""https://docs.google.com/spreadsheets/d/1LovjCF_yo-DR4S4HXV7VkZLEyCUjv4US6kt_l-v8-GM/edit#gid=0&amp;range=L""&amp;(REGEXREPLACE($A400,"".* #"","""")+1),IF($I400="""",""View!"",""Verify!"")))"),"")</f>
        <v/>
      </c>
    </row>
    <row r="401">
      <c r="A401" s="39"/>
      <c r="B401" s="39"/>
      <c r="C401" s="39"/>
      <c r="D401" s="113"/>
      <c r="E401" s="113"/>
      <c r="F401" s="39"/>
      <c r="G401" s="39"/>
      <c r="H401" s="39"/>
      <c r="I401" s="39"/>
      <c r="J401" s="108"/>
      <c r="K401" s="108"/>
      <c r="L401" s="39"/>
      <c r="M401" s="108"/>
      <c r="N401" s="108" t="str">
        <f>IFERROR(__xludf.DUMMYFUNCTION("IF($A401="""","""",HYPERLINK(""https://docs.google.com/spreadsheets/d/1LovjCF_yo-DR4S4HXV7VkZLEyCUjv4US6kt_l-v8-GM/edit#gid=0&amp;range=L""&amp;(REGEXREPLACE($A401,"".* #"","""")+1),IF($I401="""",""View!"",""Verify!"")))"),"")</f>
        <v/>
      </c>
    </row>
    <row r="402">
      <c r="A402" s="39"/>
      <c r="B402" s="39"/>
      <c r="C402" s="39"/>
      <c r="D402" s="113"/>
      <c r="E402" s="113"/>
      <c r="F402" s="39"/>
      <c r="G402" s="39"/>
      <c r="H402" s="39"/>
      <c r="I402" s="39"/>
      <c r="J402" s="108"/>
      <c r="K402" s="108"/>
      <c r="L402" s="39"/>
      <c r="M402" s="108"/>
      <c r="N402" s="108" t="str">
        <f>IFERROR(__xludf.DUMMYFUNCTION("IF($A402="""","""",HYPERLINK(""https://docs.google.com/spreadsheets/d/1LovjCF_yo-DR4S4HXV7VkZLEyCUjv4US6kt_l-v8-GM/edit#gid=0&amp;range=L""&amp;(REGEXREPLACE($A402,"".* #"","""")+1),IF($I402="""",""View!"",""Verify!"")))"),"")</f>
        <v/>
      </c>
    </row>
    <row r="403">
      <c r="A403" s="39"/>
      <c r="B403" s="39"/>
      <c r="C403" s="39"/>
      <c r="D403" s="113"/>
      <c r="E403" s="113"/>
      <c r="F403" s="39"/>
      <c r="G403" s="39"/>
      <c r="H403" s="39"/>
      <c r="I403" s="39"/>
      <c r="J403" s="108"/>
      <c r="K403" s="108"/>
      <c r="L403" s="39"/>
      <c r="M403" s="108"/>
      <c r="N403" s="108" t="str">
        <f>IFERROR(__xludf.DUMMYFUNCTION("IF($A403="""","""",HYPERLINK(""https://docs.google.com/spreadsheets/d/1LovjCF_yo-DR4S4HXV7VkZLEyCUjv4US6kt_l-v8-GM/edit#gid=0&amp;range=L""&amp;(REGEXREPLACE($A403,"".* #"","""")+1),IF($I403="""",""View!"",""Verify!"")))"),"")</f>
        <v/>
      </c>
    </row>
    <row r="404">
      <c r="A404" s="39"/>
      <c r="B404" s="39"/>
      <c r="C404" s="39"/>
      <c r="D404" s="113"/>
      <c r="E404" s="113"/>
      <c r="F404" s="39"/>
      <c r="G404" s="39"/>
      <c r="H404" s="39"/>
      <c r="I404" s="39"/>
      <c r="J404" s="108"/>
      <c r="K404" s="108"/>
      <c r="L404" s="39"/>
      <c r="M404" s="108"/>
      <c r="N404" s="108" t="str">
        <f>IFERROR(__xludf.DUMMYFUNCTION("IF($A404="""","""",HYPERLINK(""https://docs.google.com/spreadsheets/d/1LovjCF_yo-DR4S4HXV7VkZLEyCUjv4US6kt_l-v8-GM/edit#gid=0&amp;range=L""&amp;(REGEXREPLACE($A404,"".* #"","""")+1),IF($I404="""",""View!"",""Verify!"")))"),"")</f>
        <v/>
      </c>
    </row>
    <row r="405">
      <c r="A405" s="39"/>
      <c r="B405" s="39"/>
      <c r="C405" s="39"/>
      <c r="D405" s="113"/>
      <c r="E405" s="113"/>
      <c r="F405" s="39"/>
      <c r="G405" s="39"/>
      <c r="H405" s="39"/>
      <c r="I405" s="39"/>
      <c r="J405" s="108"/>
      <c r="K405" s="108"/>
      <c r="L405" s="39"/>
      <c r="M405" s="108"/>
      <c r="N405" s="108" t="str">
        <f>IFERROR(__xludf.DUMMYFUNCTION("IF($A405="""","""",HYPERLINK(""https://docs.google.com/spreadsheets/d/1LovjCF_yo-DR4S4HXV7VkZLEyCUjv4US6kt_l-v8-GM/edit#gid=0&amp;range=L""&amp;(REGEXREPLACE($A405,"".* #"","""")+1),IF($I405="""",""View!"",""Verify!"")))"),"")</f>
        <v/>
      </c>
    </row>
    <row r="406">
      <c r="A406" s="39"/>
      <c r="B406" s="39"/>
      <c r="C406" s="39"/>
      <c r="D406" s="113"/>
      <c r="E406" s="113"/>
      <c r="F406" s="39"/>
      <c r="G406" s="39"/>
      <c r="H406" s="39"/>
      <c r="I406" s="39"/>
      <c r="J406" s="108"/>
      <c r="K406" s="108"/>
      <c r="L406" s="39"/>
      <c r="M406" s="108"/>
      <c r="N406" s="108" t="str">
        <f>IFERROR(__xludf.DUMMYFUNCTION("IF($A406="""","""",HYPERLINK(""https://docs.google.com/spreadsheets/d/1LovjCF_yo-DR4S4HXV7VkZLEyCUjv4US6kt_l-v8-GM/edit#gid=0&amp;range=L""&amp;(REGEXREPLACE($A406,"".* #"","""")+1),IF($I406="""",""View!"",""Verify!"")))"),"")</f>
        <v/>
      </c>
    </row>
    <row r="407">
      <c r="A407" s="39"/>
      <c r="B407" s="39"/>
      <c r="C407" s="39"/>
      <c r="D407" s="113"/>
      <c r="E407" s="113"/>
      <c r="F407" s="39"/>
      <c r="G407" s="39"/>
      <c r="H407" s="39"/>
      <c r="I407" s="39"/>
      <c r="J407" s="108"/>
      <c r="K407" s="108"/>
      <c r="L407" s="39"/>
      <c r="M407" s="108"/>
      <c r="N407" s="108" t="str">
        <f>IFERROR(__xludf.DUMMYFUNCTION("IF($A407="""","""",HYPERLINK(""https://docs.google.com/spreadsheets/d/1LovjCF_yo-DR4S4HXV7VkZLEyCUjv4US6kt_l-v8-GM/edit#gid=0&amp;range=L""&amp;(REGEXREPLACE($A407,"".* #"","""")+1),IF($I407="""",""View!"",""Verify!"")))"),"")</f>
        <v/>
      </c>
    </row>
    <row r="408">
      <c r="A408" s="39"/>
      <c r="B408" s="39"/>
      <c r="C408" s="39"/>
      <c r="D408" s="113"/>
      <c r="E408" s="113"/>
      <c r="F408" s="39"/>
      <c r="G408" s="39"/>
      <c r="H408" s="39"/>
      <c r="I408" s="39"/>
      <c r="J408" s="108"/>
      <c r="K408" s="108"/>
      <c r="L408" s="39"/>
      <c r="M408" s="108"/>
      <c r="N408" s="108" t="str">
        <f>IFERROR(__xludf.DUMMYFUNCTION("IF($A408="""","""",HYPERLINK(""https://docs.google.com/spreadsheets/d/1LovjCF_yo-DR4S4HXV7VkZLEyCUjv4US6kt_l-v8-GM/edit#gid=0&amp;range=L""&amp;(REGEXREPLACE($A408,"".* #"","""")+1),IF($I408="""",""View!"",""Verify!"")))"),"")</f>
        <v/>
      </c>
    </row>
    <row r="409">
      <c r="A409" s="39"/>
      <c r="B409" s="39"/>
      <c r="C409" s="39"/>
      <c r="D409" s="113"/>
      <c r="E409" s="113"/>
      <c r="F409" s="39"/>
      <c r="G409" s="39"/>
      <c r="H409" s="39"/>
      <c r="I409" s="39"/>
      <c r="J409" s="108"/>
      <c r="K409" s="108"/>
      <c r="L409" s="39"/>
      <c r="M409" s="108"/>
      <c r="N409" s="108" t="str">
        <f>IFERROR(__xludf.DUMMYFUNCTION("IF($A409="""","""",HYPERLINK(""https://docs.google.com/spreadsheets/d/1LovjCF_yo-DR4S4HXV7VkZLEyCUjv4US6kt_l-v8-GM/edit#gid=0&amp;range=L""&amp;(REGEXREPLACE($A409,"".* #"","""")+1),IF($I409="""",""View!"",""Verify!"")))"),"")</f>
        <v/>
      </c>
    </row>
    <row r="410">
      <c r="A410" s="39"/>
      <c r="B410" s="39"/>
      <c r="C410" s="39"/>
      <c r="D410" s="113"/>
      <c r="E410" s="113"/>
      <c r="F410" s="39"/>
      <c r="G410" s="39"/>
      <c r="H410" s="39"/>
      <c r="I410" s="39"/>
      <c r="J410" s="108"/>
      <c r="K410" s="108"/>
      <c r="L410" s="39"/>
      <c r="M410" s="108"/>
      <c r="N410" s="108" t="str">
        <f>IFERROR(__xludf.DUMMYFUNCTION("IF($A410="""","""",HYPERLINK(""https://docs.google.com/spreadsheets/d/1LovjCF_yo-DR4S4HXV7VkZLEyCUjv4US6kt_l-v8-GM/edit#gid=0&amp;range=L""&amp;(REGEXREPLACE($A410,"".* #"","""")+1),IF($I410="""",""View!"",""Verify!"")))"),"")</f>
        <v/>
      </c>
    </row>
    <row r="411">
      <c r="A411" s="39"/>
      <c r="B411" s="39"/>
      <c r="C411" s="39"/>
      <c r="D411" s="113"/>
      <c r="E411" s="113"/>
      <c r="F411" s="39"/>
      <c r="G411" s="39"/>
      <c r="H411" s="39"/>
      <c r="I411" s="39"/>
      <c r="J411" s="108"/>
      <c r="K411" s="108"/>
      <c r="L411" s="39"/>
      <c r="M411" s="108"/>
      <c r="N411" s="108" t="str">
        <f>IFERROR(__xludf.DUMMYFUNCTION("IF($A411="""","""",HYPERLINK(""https://docs.google.com/spreadsheets/d/1LovjCF_yo-DR4S4HXV7VkZLEyCUjv4US6kt_l-v8-GM/edit#gid=0&amp;range=L""&amp;(REGEXREPLACE($A411,"".* #"","""")+1),IF($I411="""",""View!"",""Verify!"")))"),"")</f>
        <v/>
      </c>
    </row>
    <row r="412">
      <c r="A412" s="39"/>
      <c r="B412" s="39"/>
      <c r="C412" s="39"/>
      <c r="D412" s="113"/>
      <c r="E412" s="113"/>
      <c r="F412" s="39"/>
      <c r="G412" s="39"/>
      <c r="H412" s="39"/>
      <c r="I412" s="39"/>
      <c r="J412" s="108"/>
      <c r="K412" s="108"/>
      <c r="L412" s="39"/>
      <c r="M412" s="108"/>
      <c r="N412" s="108" t="str">
        <f>IFERROR(__xludf.DUMMYFUNCTION("IF($A412="""","""",HYPERLINK(""https://docs.google.com/spreadsheets/d/1LovjCF_yo-DR4S4HXV7VkZLEyCUjv4US6kt_l-v8-GM/edit#gid=0&amp;range=L""&amp;(REGEXREPLACE($A412,"".* #"","""")+1),IF($I412="""",""View!"",""Verify!"")))"),"")</f>
        <v/>
      </c>
    </row>
    <row r="413">
      <c r="A413" s="39"/>
      <c r="B413" s="39"/>
      <c r="C413" s="39"/>
      <c r="D413" s="113"/>
      <c r="E413" s="113"/>
      <c r="F413" s="39"/>
      <c r="G413" s="39"/>
      <c r="H413" s="39"/>
      <c r="I413" s="39"/>
      <c r="J413" s="108"/>
      <c r="K413" s="108"/>
      <c r="L413" s="39"/>
      <c r="M413" s="108"/>
      <c r="N413" s="108" t="str">
        <f>IFERROR(__xludf.DUMMYFUNCTION("IF($A413="""","""",HYPERLINK(""https://docs.google.com/spreadsheets/d/1LovjCF_yo-DR4S4HXV7VkZLEyCUjv4US6kt_l-v8-GM/edit#gid=0&amp;range=L""&amp;(REGEXREPLACE($A413,"".* #"","""")+1),IF($I413="""",""View!"",""Verify!"")))"),"")</f>
        <v/>
      </c>
    </row>
    <row r="414">
      <c r="A414" s="39"/>
      <c r="B414" s="39"/>
      <c r="C414" s="39"/>
      <c r="D414" s="113"/>
      <c r="E414" s="113"/>
      <c r="F414" s="39"/>
      <c r="G414" s="39"/>
      <c r="H414" s="39"/>
      <c r="I414" s="39"/>
      <c r="J414" s="108"/>
      <c r="K414" s="108"/>
      <c r="L414" s="39"/>
      <c r="M414" s="108"/>
      <c r="N414" s="108" t="str">
        <f>IFERROR(__xludf.DUMMYFUNCTION("IF($A414="""","""",HYPERLINK(""https://docs.google.com/spreadsheets/d/1LovjCF_yo-DR4S4HXV7VkZLEyCUjv4US6kt_l-v8-GM/edit#gid=0&amp;range=L""&amp;(REGEXREPLACE($A414,"".* #"","""")+1),IF($I414="""",""View!"",""Verify!"")))"),"")</f>
        <v/>
      </c>
    </row>
    <row r="415">
      <c r="A415" s="39"/>
      <c r="B415" s="39"/>
      <c r="C415" s="39"/>
      <c r="D415" s="113"/>
      <c r="E415" s="113"/>
      <c r="F415" s="39"/>
      <c r="G415" s="39"/>
      <c r="H415" s="39"/>
      <c r="I415" s="39"/>
      <c r="J415" s="108"/>
      <c r="K415" s="108"/>
      <c r="L415" s="39"/>
      <c r="M415" s="108"/>
      <c r="N415" s="108" t="str">
        <f>IFERROR(__xludf.DUMMYFUNCTION("IF($A415="""","""",HYPERLINK(""https://docs.google.com/spreadsheets/d/1LovjCF_yo-DR4S4HXV7VkZLEyCUjv4US6kt_l-v8-GM/edit#gid=0&amp;range=L""&amp;(REGEXREPLACE($A415,"".* #"","""")+1),IF($I415="""",""View!"",""Verify!"")))"),"")</f>
        <v/>
      </c>
    </row>
    <row r="416">
      <c r="A416" s="39"/>
      <c r="B416" s="39"/>
      <c r="C416" s="39"/>
      <c r="D416" s="113"/>
      <c r="E416" s="113"/>
      <c r="F416" s="39"/>
      <c r="G416" s="39"/>
      <c r="H416" s="39"/>
      <c r="I416" s="39"/>
      <c r="J416" s="108"/>
      <c r="K416" s="108"/>
      <c r="L416" s="39"/>
      <c r="M416" s="108"/>
      <c r="N416" s="108" t="str">
        <f>IFERROR(__xludf.DUMMYFUNCTION("IF($A416="""","""",HYPERLINK(""https://docs.google.com/spreadsheets/d/1LovjCF_yo-DR4S4HXV7VkZLEyCUjv4US6kt_l-v8-GM/edit#gid=0&amp;range=L""&amp;(REGEXREPLACE($A416,"".* #"","""")+1),IF($I416="""",""View!"",""Verify!"")))"),"")</f>
        <v/>
      </c>
    </row>
    <row r="417">
      <c r="A417" s="39"/>
      <c r="B417" s="39"/>
      <c r="C417" s="39"/>
      <c r="D417" s="113"/>
      <c r="E417" s="113"/>
      <c r="F417" s="39"/>
      <c r="G417" s="39"/>
      <c r="H417" s="39"/>
      <c r="I417" s="39"/>
      <c r="J417" s="108"/>
      <c r="K417" s="108"/>
      <c r="L417" s="39"/>
      <c r="M417" s="108"/>
      <c r="N417" s="108" t="str">
        <f>IFERROR(__xludf.DUMMYFUNCTION("IF($A417="""","""",HYPERLINK(""https://docs.google.com/spreadsheets/d/1LovjCF_yo-DR4S4HXV7VkZLEyCUjv4US6kt_l-v8-GM/edit#gid=0&amp;range=L""&amp;(REGEXREPLACE($A417,"".* #"","""")+1),IF($I417="""",""View!"",""Verify!"")))"),"")</f>
        <v/>
      </c>
    </row>
    <row r="418">
      <c r="A418" s="39"/>
      <c r="B418" s="39"/>
      <c r="C418" s="39"/>
      <c r="D418" s="113"/>
      <c r="E418" s="113"/>
      <c r="F418" s="39"/>
      <c r="G418" s="39"/>
      <c r="H418" s="39"/>
      <c r="I418" s="39"/>
      <c r="J418" s="108"/>
      <c r="K418" s="108"/>
      <c r="L418" s="39"/>
      <c r="M418" s="108"/>
      <c r="N418" s="108" t="str">
        <f>IFERROR(__xludf.DUMMYFUNCTION("IF($A418="""","""",HYPERLINK(""https://docs.google.com/spreadsheets/d/1LovjCF_yo-DR4S4HXV7VkZLEyCUjv4US6kt_l-v8-GM/edit#gid=0&amp;range=L""&amp;(REGEXREPLACE($A418,"".* #"","""")+1),IF($I418="""",""View!"",""Verify!"")))"),"")</f>
        <v/>
      </c>
    </row>
    <row r="419">
      <c r="A419" s="39"/>
      <c r="B419" s="39"/>
      <c r="C419" s="39"/>
      <c r="D419" s="113"/>
      <c r="E419" s="113"/>
      <c r="F419" s="39"/>
      <c r="G419" s="39"/>
      <c r="H419" s="39"/>
      <c r="I419" s="39"/>
      <c r="J419" s="108"/>
      <c r="K419" s="108"/>
      <c r="L419" s="39"/>
      <c r="M419" s="108"/>
      <c r="N419" s="108" t="str">
        <f>IFERROR(__xludf.DUMMYFUNCTION("IF($A419="""","""",HYPERLINK(""https://docs.google.com/spreadsheets/d/1LovjCF_yo-DR4S4HXV7VkZLEyCUjv4US6kt_l-v8-GM/edit#gid=0&amp;range=L""&amp;(REGEXREPLACE($A419,"".* #"","""")+1),IF($I419="""",""View!"",""Verify!"")))"),"")</f>
        <v/>
      </c>
    </row>
    <row r="420">
      <c r="A420" s="39"/>
      <c r="B420" s="39"/>
      <c r="C420" s="39"/>
      <c r="D420" s="113"/>
      <c r="E420" s="113"/>
      <c r="F420" s="39"/>
      <c r="G420" s="39"/>
      <c r="H420" s="39"/>
      <c r="I420" s="39"/>
      <c r="J420" s="108"/>
      <c r="K420" s="108"/>
      <c r="L420" s="39"/>
      <c r="M420" s="108"/>
      <c r="N420" s="108" t="str">
        <f>IFERROR(__xludf.DUMMYFUNCTION("IF($A420="""","""",HYPERLINK(""https://docs.google.com/spreadsheets/d/1LovjCF_yo-DR4S4HXV7VkZLEyCUjv4US6kt_l-v8-GM/edit#gid=0&amp;range=L""&amp;(REGEXREPLACE($A420,"".* #"","""")+1),IF($I420="""",""View!"",""Verify!"")))"),"")</f>
        <v/>
      </c>
    </row>
    <row r="421">
      <c r="A421" s="39"/>
      <c r="B421" s="39"/>
      <c r="C421" s="39"/>
      <c r="D421" s="113"/>
      <c r="E421" s="113"/>
      <c r="F421" s="39"/>
      <c r="G421" s="39"/>
      <c r="H421" s="39"/>
      <c r="I421" s="39"/>
      <c r="J421" s="108"/>
      <c r="K421" s="108"/>
      <c r="L421" s="39"/>
      <c r="M421" s="108"/>
      <c r="N421" s="108" t="str">
        <f>IFERROR(__xludf.DUMMYFUNCTION("IF($A421="""","""",HYPERLINK(""https://docs.google.com/spreadsheets/d/1LovjCF_yo-DR4S4HXV7VkZLEyCUjv4US6kt_l-v8-GM/edit#gid=0&amp;range=L""&amp;(REGEXREPLACE($A421,"".* #"","""")+1),IF($I421="""",""View!"",""Verify!"")))"),"")</f>
        <v/>
      </c>
    </row>
    <row r="422">
      <c r="A422" s="39"/>
      <c r="B422" s="39"/>
      <c r="C422" s="39"/>
      <c r="D422" s="113"/>
      <c r="E422" s="113"/>
      <c r="F422" s="39"/>
      <c r="G422" s="39"/>
      <c r="H422" s="39"/>
      <c r="I422" s="39"/>
      <c r="J422" s="108"/>
      <c r="K422" s="108"/>
      <c r="L422" s="39"/>
      <c r="M422" s="108"/>
      <c r="N422" s="108" t="str">
        <f>IFERROR(__xludf.DUMMYFUNCTION("IF($A422="""","""",HYPERLINK(""https://docs.google.com/spreadsheets/d/1LovjCF_yo-DR4S4HXV7VkZLEyCUjv4US6kt_l-v8-GM/edit#gid=0&amp;range=L""&amp;(REGEXREPLACE($A422,"".* #"","""")+1),IF($I422="""",""View!"",""Verify!"")))"),"")</f>
        <v/>
      </c>
    </row>
    <row r="423">
      <c r="A423" s="39"/>
      <c r="B423" s="39"/>
      <c r="C423" s="39"/>
      <c r="D423" s="113"/>
      <c r="E423" s="113"/>
      <c r="F423" s="39"/>
      <c r="G423" s="39"/>
      <c r="H423" s="39"/>
      <c r="I423" s="39"/>
      <c r="J423" s="108"/>
      <c r="K423" s="108"/>
      <c r="L423" s="39"/>
      <c r="M423" s="108"/>
      <c r="N423" s="108" t="str">
        <f>IFERROR(__xludf.DUMMYFUNCTION("IF($A423="""","""",HYPERLINK(""https://docs.google.com/spreadsheets/d/1LovjCF_yo-DR4S4HXV7VkZLEyCUjv4US6kt_l-v8-GM/edit#gid=0&amp;range=L""&amp;(REGEXREPLACE($A423,"".* #"","""")+1),IF($I423="""",""View!"",""Verify!"")))"),"")</f>
        <v/>
      </c>
    </row>
    <row r="424">
      <c r="A424" s="39"/>
      <c r="B424" s="39"/>
      <c r="C424" s="39"/>
      <c r="D424" s="113"/>
      <c r="E424" s="113"/>
      <c r="F424" s="39"/>
      <c r="G424" s="39"/>
      <c r="H424" s="39"/>
      <c r="I424" s="39"/>
      <c r="J424" s="108"/>
      <c r="K424" s="108"/>
      <c r="L424" s="39"/>
      <c r="M424" s="108"/>
      <c r="N424" s="108" t="str">
        <f>IFERROR(__xludf.DUMMYFUNCTION("IF($A424="""","""",HYPERLINK(""https://docs.google.com/spreadsheets/d/1LovjCF_yo-DR4S4HXV7VkZLEyCUjv4US6kt_l-v8-GM/edit#gid=0&amp;range=L""&amp;(REGEXREPLACE($A424,"".* #"","""")+1),IF($I424="""",""View!"",""Verify!"")))"),"")</f>
        <v/>
      </c>
    </row>
    <row r="425">
      <c r="A425" s="39"/>
      <c r="B425" s="39"/>
      <c r="C425" s="39"/>
      <c r="D425" s="113"/>
      <c r="E425" s="113"/>
      <c r="F425" s="39"/>
      <c r="G425" s="39"/>
      <c r="H425" s="39"/>
      <c r="I425" s="39"/>
      <c r="J425" s="108"/>
      <c r="K425" s="108"/>
      <c r="L425" s="39"/>
      <c r="M425" s="108"/>
      <c r="N425" s="108" t="str">
        <f>IFERROR(__xludf.DUMMYFUNCTION("IF($A425="""","""",HYPERLINK(""https://docs.google.com/spreadsheets/d/1LovjCF_yo-DR4S4HXV7VkZLEyCUjv4US6kt_l-v8-GM/edit#gid=0&amp;range=L""&amp;(REGEXREPLACE($A425,"".* #"","""")+1),IF($I425="""",""View!"",""Verify!"")))"),"")</f>
        <v/>
      </c>
    </row>
    <row r="426">
      <c r="A426" s="39"/>
      <c r="B426" s="39"/>
      <c r="C426" s="39"/>
      <c r="D426" s="113"/>
      <c r="E426" s="113"/>
      <c r="F426" s="39"/>
      <c r="G426" s="39"/>
      <c r="H426" s="39"/>
      <c r="I426" s="39"/>
      <c r="J426" s="108"/>
      <c r="K426" s="108"/>
      <c r="L426" s="39"/>
      <c r="M426" s="108"/>
      <c r="N426" s="108" t="str">
        <f>IFERROR(__xludf.DUMMYFUNCTION("IF($A426="""","""",HYPERLINK(""https://docs.google.com/spreadsheets/d/1LovjCF_yo-DR4S4HXV7VkZLEyCUjv4US6kt_l-v8-GM/edit#gid=0&amp;range=L""&amp;(REGEXREPLACE($A426,"".* #"","""")+1),IF($I426="""",""View!"",""Verify!"")))"),"")</f>
        <v/>
      </c>
    </row>
    <row r="427">
      <c r="A427" s="39"/>
      <c r="B427" s="39"/>
      <c r="C427" s="39"/>
      <c r="D427" s="113"/>
      <c r="E427" s="113"/>
      <c r="F427" s="39"/>
      <c r="G427" s="39"/>
      <c r="H427" s="39"/>
      <c r="I427" s="39"/>
      <c r="J427" s="108"/>
      <c r="K427" s="108"/>
      <c r="L427" s="39"/>
      <c r="M427" s="108"/>
      <c r="N427" s="108" t="str">
        <f>IFERROR(__xludf.DUMMYFUNCTION("IF($A427="""","""",HYPERLINK(""https://docs.google.com/spreadsheets/d/1LovjCF_yo-DR4S4HXV7VkZLEyCUjv4US6kt_l-v8-GM/edit#gid=0&amp;range=L""&amp;(REGEXREPLACE($A427,"".* #"","""")+1),IF($I427="""",""View!"",""Verify!"")))"),"")</f>
        <v/>
      </c>
    </row>
    <row r="428">
      <c r="A428" s="39"/>
      <c r="B428" s="39"/>
      <c r="C428" s="39"/>
      <c r="D428" s="113"/>
      <c r="E428" s="113"/>
      <c r="F428" s="39"/>
      <c r="G428" s="39"/>
      <c r="H428" s="39"/>
      <c r="I428" s="39"/>
      <c r="J428" s="108"/>
      <c r="K428" s="108"/>
      <c r="L428" s="39"/>
      <c r="M428" s="108"/>
      <c r="N428" s="108"/>
    </row>
    <row r="429">
      <c r="A429" s="39"/>
      <c r="B429" s="39"/>
      <c r="C429" s="39"/>
      <c r="D429" s="113"/>
      <c r="E429" s="113"/>
      <c r="F429" s="39"/>
      <c r="G429" s="39"/>
      <c r="H429" s="39"/>
      <c r="I429" s="39"/>
      <c r="J429" s="108"/>
      <c r="K429" s="108"/>
      <c r="L429" s="39"/>
      <c r="M429" s="108"/>
      <c r="N429" s="108"/>
    </row>
    <row r="430">
      <c r="A430" s="39"/>
      <c r="B430" s="39"/>
      <c r="C430" s="39"/>
      <c r="D430" s="113"/>
      <c r="E430" s="113"/>
      <c r="F430" s="39"/>
      <c r="G430" s="39"/>
      <c r="H430" s="39"/>
      <c r="I430" s="39"/>
      <c r="J430" s="108"/>
      <c r="K430" s="108"/>
      <c r="L430" s="39"/>
      <c r="M430" s="108"/>
      <c r="N430" s="108"/>
    </row>
    <row r="431">
      <c r="A431" s="39"/>
      <c r="B431" s="39"/>
      <c r="C431" s="39"/>
      <c r="D431" s="113"/>
      <c r="E431" s="113"/>
      <c r="F431" s="39"/>
      <c r="G431" s="39"/>
      <c r="H431" s="39"/>
      <c r="I431" s="39"/>
      <c r="J431" s="108"/>
      <c r="K431" s="108"/>
      <c r="L431" s="39"/>
      <c r="M431" s="108"/>
      <c r="N431" s="108"/>
    </row>
    <row r="432">
      <c r="A432" s="39"/>
      <c r="B432" s="39"/>
      <c r="C432" s="39"/>
      <c r="D432" s="113"/>
      <c r="E432" s="113"/>
      <c r="F432" s="39"/>
      <c r="G432" s="39"/>
      <c r="H432" s="39"/>
      <c r="I432" s="39"/>
      <c r="J432" s="108"/>
      <c r="K432" s="108"/>
      <c r="L432" s="39"/>
      <c r="M432" s="108"/>
      <c r="N432" s="108"/>
    </row>
    <row r="433">
      <c r="A433" s="39"/>
      <c r="B433" s="39"/>
      <c r="C433" s="39"/>
      <c r="D433" s="113"/>
      <c r="E433" s="113"/>
      <c r="F433" s="39"/>
      <c r="G433" s="39"/>
      <c r="H433" s="39"/>
      <c r="I433" s="39"/>
      <c r="J433" s="108"/>
      <c r="K433" s="108"/>
      <c r="L433" s="39"/>
      <c r="M433" s="108"/>
      <c r="N433" s="108"/>
    </row>
    <row r="434">
      <c r="A434" s="39"/>
      <c r="B434" s="39"/>
      <c r="C434" s="39"/>
      <c r="D434" s="113"/>
      <c r="E434" s="113"/>
      <c r="F434" s="39"/>
      <c r="G434" s="39"/>
      <c r="H434" s="39"/>
      <c r="I434" s="39"/>
      <c r="J434" s="108"/>
      <c r="K434" s="108"/>
      <c r="L434" s="39"/>
      <c r="M434" s="108"/>
      <c r="N434" s="108"/>
    </row>
    <row r="435">
      <c r="A435" s="39"/>
      <c r="B435" s="39"/>
      <c r="C435" s="39"/>
      <c r="D435" s="113"/>
      <c r="E435" s="113"/>
      <c r="F435" s="39"/>
      <c r="G435" s="39"/>
      <c r="H435" s="39"/>
      <c r="I435" s="39"/>
      <c r="J435" s="108"/>
      <c r="K435" s="108"/>
      <c r="L435" s="39"/>
      <c r="M435" s="108"/>
      <c r="N435" s="108"/>
    </row>
    <row r="436">
      <c r="A436" s="39"/>
      <c r="B436" s="39"/>
      <c r="C436" s="39"/>
      <c r="D436" s="113"/>
      <c r="E436" s="113"/>
      <c r="F436" s="39"/>
      <c r="G436" s="39"/>
      <c r="H436" s="39"/>
      <c r="I436" s="39"/>
      <c r="J436" s="108"/>
      <c r="K436" s="108"/>
      <c r="L436" s="39"/>
      <c r="M436" s="108"/>
      <c r="N436" s="108"/>
    </row>
    <row r="437">
      <c r="A437" s="39"/>
      <c r="B437" s="39"/>
      <c r="C437" s="39"/>
      <c r="D437" s="113"/>
      <c r="E437" s="113"/>
      <c r="F437" s="39"/>
      <c r="G437" s="39"/>
      <c r="H437" s="39"/>
      <c r="I437" s="39"/>
      <c r="J437" s="108"/>
      <c r="K437" s="108"/>
      <c r="L437" s="39"/>
      <c r="M437" s="108"/>
      <c r="N437" s="108"/>
    </row>
    <row r="438">
      <c r="A438" s="39"/>
      <c r="B438" s="39"/>
      <c r="C438" s="39"/>
      <c r="D438" s="113"/>
      <c r="E438" s="113"/>
      <c r="F438" s="39"/>
      <c r="G438" s="39"/>
      <c r="H438" s="39"/>
      <c r="I438" s="39"/>
      <c r="J438" s="108"/>
      <c r="K438" s="108"/>
      <c r="L438" s="39"/>
      <c r="M438" s="108"/>
      <c r="N438" s="108"/>
    </row>
    <row r="439">
      <c r="A439" s="39"/>
      <c r="B439" s="39"/>
      <c r="C439" s="39"/>
      <c r="D439" s="113"/>
      <c r="E439" s="113"/>
      <c r="F439" s="39"/>
      <c r="G439" s="39"/>
      <c r="H439" s="39"/>
      <c r="I439" s="39"/>
      <c r="J439" s="108"/>
      <c r="K439" s="108"/>
      <c r="L439" s="39"/>
      <c r="M439" s="108"/>
      <c r="N439" s="108"/>
    </row>
    <row r="440">
      <c r="A440" s="39"/>
      <c r="B440" s="39"/>
      <c r="C440" s="39"/>
      <c r="D440" s="113"/>
      <c r="E440" s="113"/>
      <c r="F440" s="39"/>
      <c r="G440" s="39"/>
      <c r="H440" s="39"/>
      <c r="I440" s="39"/>
      <c r="J440" s="108"/>
      <c r="K440" s="108"/>
      <c r="L440" s="39"/>
      <c r="M440" s="108"/>
      <c r="N440" s="108"/>
    </row>
    <row r="441">
      <c r="A441" s="39"/>
      <c r="B441" s="39"/>
      <c r="C441" s="39"/>
      <c r="D441" s="113"/>
      <c r="E441" s="113"/>
      <c r="F441" s="39"/>
      <c r="G441" s="39"/>
      <c r="H441" s="39"/>
      <c r="I441" s="39"/>
      <c r="J441" s="108"/>
      <c r="K441" s="108"/>
      <c r="L441" s="39"/>
      <c r="M441" s="108"/>
      <c r="N441" s="108"/>
    </row>
    <row r="442">
      <c r="A442" s="39"/>
      <c r="B442" s="39"/>
      <c r="C442" s="39"/>
      <c r="D442" s="113"/>
      <c r="E442" s="113"/>
      <c r="F442" s="39"/>
      <c r="G442" s="39"/>
      <c r="H442" s="39"/>
      <c r="I442" s="39"/>
      <c r="J442" s="108"/>
      <c r="K442" s="108"/>
      <c r="L442" s="39"/>
      <c r="M442" s="108"/>
      <c r="N442" s="108"/>
    </row>
    <row r="443">
      <c r="A443" s="39"/>
      <c r="B443" s="39"/>
      <c r="C443" s="39"/>
      <c r="D443" s="113"/>
      <c r="E443" s="113"/>
      <c r="F443" s="39"/>
      <c r="G443" s="39"/>
      <c r="H443" s="39"/>
      <c r="I443" s="39"/>
      <c r="J443" s="108"/>
      <c r="K443" s="108"/>
      <c r="L443" s="39"/>
      <c r="M443" s="108"/>
      <c r="N443" s="108"/>
    </row>
    <row r="444">
      <c r="A444" s="39"/>
      <c r="B444" s="39"/>
      <c r="C444" s="39"/>
      <c r="D444" s="113"/>
      <c r="E444" s="113"/>
      <c r="F444" s="39"/>
      <c r="G444" s="39"/>
      <c r="H444" s="39"/>
      <c r="I444" s="39"/>
      <c r="J444" s="108"/>
      <c r="K444" s="108"/>
      <c r="L444" s="39"/>
      <c r="M444" s="108"/>
      <c r="N444" s="108"/>
    </row>
    <row r="445">
      <c r="A445" s="39"/>
      <c r="B445" s="39"/>
      <c r="C445" s="39"/>
      <c r="D445" s="113"/>
      <c r="E445" s="113"/>
      <c r="F445" s="39"/>
      <c r="G445" s="39"/>
      <c r="H445" s="39"/>
      <c r="I445" s="39"/>
      <c r="J445" s="108"/>
      <c r="K445" s="108"/>
      <c r="L445" s="39"/>
      <c r="M445" s="108"/>
      <c r="N445" s="108"/>
    </row>
    <row r="446">
      <c r="A446" s="39"/>
      <c r="B446" s="39"/>
      <c r="C446" s="39"/>
      <c r="D446" s="113"/>
      <c r="E446" s="113"/>
      <c r="F446" s="39"/>
      <c r="G446" s="39"/>
      <c r="H446" s="39"/>
      <c r="I446" s="39"/>
      <c r="J446" s="108"/>
      <c r="K446" s="108"/>
      <c r="L446" s="39"/>
      <c r="M446" s="108"/>
      <c r="N446" s="108"/>
    </row>
    <row r="447">
      <c r="A447" s="39"/>
      <c r="B447" s="39"/>
      <c r="C447" s="39"/>
      <c r="D447" s="113"/>
      <c r="E447" s="113"/>
      <c r="F447" s="39"/>
      <c r="G447" s="39"/>
      <c r="H447" s="39"/>
      <c r="I447" s="39"/>
      <c r="J447" s="108"/>
      <c r="K447" s="108"/>
      <c r="L447" s="39"/>
      <c r="M447" s="108"/>
      <c r="N447" s="108"/>
    </row>
    <row r="448">
      <c r="A448" s="39"/>
      <c r="B448" s="39"/>
      <c r="C448" s="39"/>
      <c r="D448" s="113"/>
      <c r="E448" s="113"/>
      <c r="F448" s="39"/>
      <c r="G448" s="39"/>
      <c r="H448" s="39"/>
      <c r="I448" s="39"/>
      <c r="J448" s="108"/>
      <c r="K448" s="108"/>
      <c r="L448" s="39"/>
      <c r="M448" s="108"/>
      <c r="N448" s="108"/>
    </row>
    <row r="449">
      <c r="A449" s="39"/>
      <c r="B449" s="39"/>
      <c r="C449" s="39"/>
      <c r="D449" s="113"/>
      <c r="E449" s="113"/>
      <c r="F449" s="39"/>
      <c r="G449" s="39"/>
      <c r="H449" s="39"/>
      <c r="I449" s="39"/>
      <c r="J449" s="108"/>
      <c r="K449" s="108"/>
      <c r="L449" s="39"/>
      <c r="M449" s="108"/>
      <c r="N449" s="108"/>
    </row>
    <row r="450">
      <c r="A450" s="39"/>
      <c r="B450" s="39"/>
      <c r="C450" s="39"/>
      <c r="D450" s="113"/>
      <c r="E450" s="113"/>
      <c r="F450" s="39"/>
      <c r="G450" s="39"/>
      <c r="H450" s="39"/>
      <c r="I450" s="39"/>
      <c r="J450" s="108"/>
      <c r="K450" s="108"/>
      <c r="L450" s="39"/>
      <c r="M450" s="108"/>
      <c r="N450" s="108"/>
    </row>
    <row r="451">
      <c r="A451" s="39"/>
      <c r="B451" s="39"/>
      <c r="C451" s="39"/>
      <c r="D451" s="113"/>
      <c r="E451" s="113"/>
      <c r="F451" s="39"/>
      <c r="G451" s="39"/>
      <c r="H451" s="39"/>
      <c r="I451" s="39"/>
      <c r="J451" s="108"/>
      <c r="K451" s="108"/>
      <c r="L451" s="39"/>
      <c r="M451" s="108"/>
      <c r="N451" s="108"/>
    </row>
    <row r="452">
      <c r="A452" s="39"/>
      <c r="B452" s="39"/>
      <c r="C452" s="39"/>
      <c r="D452" s="113"/>
      <c r="E452" s="113"/>
      <c r="F452" s="39"/>
      <c r="G452" s="39"/>
      <c r="H452" s="39"/>
      <c r="I452" s="39"/>
      <c r="J452" s="108"/>
      <c r="K452" s="108"/>
      <c r="L452" s="39"/>
      <c r="M452" s="108"/>
      <c r="N452" s="108"/>
    </row>
    <row r="453">
      <c r="A453" s="39"/>
      <c r="B453" s="39"/>
      <c r="C453" s="39"/>
      <c r="D453" s="113"/>
      <c r="E453" s="113"/>
      <c r="F453" s="39"/>
      <c r="G453" s="39"/>
      <c r="H453" s="39"/>
      <c r="I453" s="39"/>
      <c r="J453" s="108"/>
      <c r="K453" s="108"/>
      <c r="L453" s="39"/>
      <c r="M453" s="108"/>
      <c r="N453" s="108"/>
    </row>
    <row r="454">
      <c r="A454" s="39"/>
      <c r="B454" s="39"/>
      <c r="C454" s="39"/>
      <c r="D454" s="113"/>
      <c r="E454" s="113"/>
      <c r="F454" s="39"/>
      <c r="G454" s="39"/>
      <c r="H454" s="39"/>
      <c r="I454" s="39"/>
      <c r="J454" s="108"/>
      <c r="K454" s="108"/>
      <c r="L454" s="39"/>
      <c r="M454" s="108"/>
      <c r="N454" s="108"/>
    </row>
    <row r="455">
      <c r="A455" s="39"/>
      <c r="B455" s="39"/>
      <c r="C455" s="39"/>
      <c r="D455" s="113"/>
      <c r="E455" s="113"/>
      <c r="F455" s="39"/>
      <c r="G455" s="39"/>
      <c r="H455" s="39"/>
      <c r="I455" s="39"/>
      <c r="J455" s="108"/>
      <c r="K455" s="108"/>
      <c r="L455" s="39"/>
      <c r="M455" s="108"/>
      <c r="N455" s="108"/>
    </row>
    <row r="456">
      <c r="A456" s="39"/>
      <c r="B456" s="39"/>
      <c r="C456" s="39"/>
      <c r="D456" s="113"/>
      <c r="E456" s="113"/>
      <c r="F456" s="39"/>
      <c r="G456" s="39"/>
      <c r="H456" s="39"/>
      <c r="I456" s="39"/>
      <c r="J456" s="108"/>
      <c r="K456" s="108"/>
      <c r="L456" s="39"/>
      <c r="M456" s="108"/>
      <c r="N456" s="108"/>
    </row>
    <row r="457">
      <c r="A457" s="39"/>
      <c r="B457" s="39"/>
      <c r="C457" s="39"/>
      <c r="D457" s="113"/>
      <c r="E457" s="113"/>
      <c r="F457" s="39"/>
      <c r="G457" s="39"/>
      <c r="H457" s="39"/>
      <c r="I457" s="39"/>
      <c r="J457" s="108"/>
      <c r="K457" s="108"/>
      <c r="L457" s="39"/>
      <c r="M457" s="108"/>
      <c r="N457" s="108"/>
    </row>
    <row r="458">
      <c r="A458" s="39"/>
      <c r="B458" s="39"/>
      <c r="C458" s="39"/>
      <c r="D458" s="113"/>
      <c r="E458" s="113"/>
      <c r="F458" s="39"/>
      <c r="G458" s="39"/>
      <c r="H458" s="39"/>
      <c r="I458" s="39"/>
      <c r="J458" s="108"/>
      <c r="K458" s="108"/>
      <c r="L458" s="39"/>
      <c r="M458" s="108"/>
      <c r="N458" s="108"/>
    </row>
    <row r="459">
      <c r="A459" s="39"/>
      <c r="B459" s="39"/>
      <c r="C459" s="39"/>
      <c r="D459" s="113"/>
      <c r="E459" s="113"/>
      <c r="F459" s="39"/>
      <c r="G459" s="39"/>
      <c r="H459" s="39"/>
      <c r="I459" s="39"/>
      <c r="J459" s="108"/>
      <c r="K459" s="108"/>
      <c r="L459" s="39"/>
      <c r="M459" s="108"/>
      <c r="N459" s="108"/>
    </row>
    <row r="460">
      <c r="A460" s="39"/>
      <c r="B460" s="39"/>
      <c r="C460" s="39"/>
      <c r="D460" s="113"/>
      <c r="E460" s="113"/>
      <c r="F460" s="39"/>
      <c r="G460" s="39"/>
      <c r="H460" s="39"/>
      <c r="I460" s="39"/>
      <c r="J460" s="108"/>
      <c r="K460" s="108"/>
      <c r="L460" s="39"/>
      <c r="M460" s="108"/>
      <c r="N460" s="108"/>
    </row>
    <row r="461">
      <c r="A461" s="39"/>
      <c r="B461" s="39"/>
      <c r="C461" s="39"/>
      <c r="D461" s="113"/>
      <c r="E461" s="113"/>
      <c r="F461" s="39"/>
      <c r="G461" s="39"/>
      <c r="H461" s="39"/>
      <c r="I461" s="39"/>
      <c r="J461" s="108"/>
      <c r="K461" s="108"/>
      <c r="L461" s="39"/>
      <c r="M461" s="108"/>
      <c r="N461" s="108"/>
    </row>
    <row r="462">
      <c r="A462" s="39"/>
      <c r="B462" s="39"/>
      <c r="C462" s="39"/>
      <c r="D462" s="113"/>
      <c r="E462" s="113"/>
      <c r="F462" s="39"/>
      <c r="G462" s="39"/>
      <c r="H462" s="39"/>
      <c r="I462" s="39"/>
      <c r="J462" s="108"/>
      <c r="K462" s="108"/>
      <c r="L462" s="39"/>
      <c r="M462" s="108"/>
      <c r="N462" s="108"/>
    </row>
    <row r="463">
      <c r="A463" s="39"/>
      <c r="B463" s="39"/>
      <c r="C463" s="39"/>
      <c r="D463" s="113"/>
      <c r="E463" s="113"/>
      <c r="F463" s="39"/>
      <c r="G463" s="39"/>
      <c r="H463" s="39"/>
      <c r="I463" s="39"/>
      <c r="J463" s="108"/>
      <c r="K463" s="108"/>
      <c r="L463" s="39"/>
      <c r="M463" s="108"/>
      <c r="N463" s="108"/>
    </row>
    <row r="464">
      <c r="A464" s="39"/>
      <c r="B464" s="39"/>
      <c r="C464" s="39"/>
      <c r="D464" s="113"/>
      <c r="E464" s="113"/>
      <c r="F464" s="39"/>
      <c r="G464" s="39"/>
      <c r="H464" s="39"/>
      <c r="I464" s="39"/>
      <c r="J464" s="108"/>
      <c r="K464" s="108"/>
      <c r="L464" s="39"/>
      <c r="M464" s="108"/>
      <c r="N464" s="108"/>
    </row>
    <row r="465">
      <c r="A465" s="39"/>
      <c r="B465" s="39"/>
      <c r="C465" s="39"/>
      <c r="D465" s="113"/>
      <c r="E465" s="113"/>
      <c r="F465" s="39"/>
      <c r="G465" s="39"/>
      <c r="H465" s="39"/>
      <c r="I465" s="39"/>
      <c r="J465" s="108"/>
      <c r="K465" s="108"/>
      <c r="L465" s="39"/>
      <c r="M465" s="108"/>
      <c r="N465" s="108"/>
    </row>
    <row r="466">
      <c r="A466" s="39"/>
      <c r="B466" s="39"/>
      <c r="C466" s="39"/>
      <c r="D466" s="113"/>
      <c r="E466" s="113"/>
      <c r="F466" s="39"/>
      <c r="G466" s="39"/>
      <c r="H466" s="39"/>
      <c r="I466" s="39"/>
      <c r="J466" s="108"/>
      <c r="K466" s="108"/>
      <c r="L466" s="39"/>
      <c r="M466" s="108"/>
      <c r="N466" s="108"/>
    </row>
    <row r="467">
      <c r="A467" s="39"/>
      <c r="B467" s="39"/>
      <c r="C467" s="39"/>
      <c r="D467" s="113"/>
      <c r="E467" s="113"/>
      <c r="F467" s="39"/>
      <c r="G467" s="39"/>
      <c r="H467" s="39"/>
      <c r="I467" s="39"/>
      <c r="J467" s="108"/>
      <c r="K467" s="108"/>
      <c r="L467" s="39"/>
      <c r="M467" s="108"/>
      <c r="N467" s="108"/>
    </row>
    <row r="468">
      <c r="A468" s="39"/>
      <c r="B468" s="39"/>
      <c r="C468" s="39"/>
      <c r="D468" s="113"/>
      <c r="E468" s="113"/>
      <c r="F468" s="39"/>
      <c r="G468" s="39"/>
      <c r="H468" s="39"/>
      <c r="I468" s="39"/>
      <c r="J468" s="108"/>
      <c r="K468" s="108"/>
      <c r="L468" s="39"/>
      <c r="M468" s="108"/>
      <c r="N468" s="108"/>
    </row>
    <row r="469">
      <c r="A469" s="39"/>
      <c r="B469" s="39"/>
      <c r="C469" s="39"/>
      <c r="D469" s="113"/>
      <c r="E469" s="113"/>
      <c r="F469" s="39"/>
      <c r="G469" s="39"/>
      <c r="H469" s="39"/>
      <c r="I469" s="39"/>
      <c r="J469" s="108"/>
      <c r="K469" s="108"/>
      <c r="L469" s="39"/>
      <c r="M469" s="108"/>
      <c r="N469" s="108"/>
    </row>
    <row r="470">
      <c r="A470" s="39"/>
      <c r="B470" s="39"/>
      <c r="C470" s="39"/>
      <c r="D470" s="113"/>
      <c r="E470" s="113"/>
      <c r="F470" s="39"/>
      <c r="G470" s="39"/>
      <c r="H470" s="39"/>
      <c r="I470" s="39"/>
      <c r="J470" s="108"/>
      <c r="K470" s="108"/>
      <c r="L470" s="39"/>
      <c r="M470" s="108"/>
      <c r="N470" s="108"/>
    </row>
    <row r="471">
      <c r="A471" s="39"/>
      <c r="B471" s="39"/>
      <c r="C471" s="39"/>
      <c r="D471" s="113"/>
      <c r="E471" s="113"/>
      <c r="F471" s="39"/>
      <c r="G471" s="39"/>
      <c r="H471" s="39"/>
      <c r="I471" s="39"/>
      <c r="J471" s="108"/>
      <c r="K471" s="108"/>
      <c r="L471" s="39"/>
      <c r="M471" s="108"/>
      <c r="N471" s="108"/>
    </row>
    <row r="472">
      <c r="A472" s="39"/>
      <c r="B472" s="39"/>
      <c r="C472" s="39"/>
      <c r="D472" s="113"/>
      <c r="E472" s="113"/>
      <c r="F472" s="39"/>
      <c r="G472" s="39"/>
      <c r="H472" s="39"/>
      <c r="I472" s="39"/>
      <c r="J472" s="108"/>
      <c r="K472" s="108"/>
      <c r="L472" s="39"/>
      <c r="M472" s="108"/>
      <c r="N472" s="108"/>
    </row>
    <row r="473">
      <c r="A473" s="39"/>
      <c r="B473" s="39"/>
      <c r="C473" s="39"/>
      <c r="D473" s="113"/>
      <c r="E473" s="113"/>
      <c r="F473" s="39"/>
      <c r="G473" s="39"/>
      <c r="H473" s="39"/>
      <c r="I473" s="39"/>
      <c r="J473" s="108"/>
      <c r="K473" s="108"/>
      <c r="L473" s="39"/>
      <c r="M473" s="108"/>
      <c r="N473" s="108"/>
    </row>
    <row r="474">
      <c r="A474" s="39"/>
      <c r="B474" s="39"/>
      <c r="C474" s="39"/>
      <c r="D474" s="113"/>
      <c r="E474" s="113"/>
      <c r="F474" s="39"/>
      <c r="G474" s="39"/>
      <c r="H474" s="39"/>
      <c r="I474" s="39"/>
      <c r="J474" s="108"/>
      <c r="K474" s="108"/>
      <c r="L474" s="39"/>
      <c r="M474" s="108"/>
      <c r="N474" s="108"/>
    </row>
    <row r="475">
      <c r="A475" s="39"/>
      <c r="B475" s="39"/>
      <c r="C475" s="39"/>
      <c r="D475" s="113"/>
      <c r="E475" s="113"/>
      <c r="F475" s="39"/>
      <c r="G475" s="39"/>
      <c r="H475" s="39"/>
      <c r="I475" s="39"/>
      <c r="J475" s="108"/>
      <c r="K475" s="108"/>
      <c r="L475" s="39"/>
      <c r="M475" s="108"/>
      <c r="N475" s="108"/>
    </row>
    <row r="476">
      <c r="A476" s="39"/>
      <c r="B476" s="39"/>
      <c r="C476" s="39"/>
      <c r="D476" s="113"/>
      <c r="E476" s="113"/>
      <c r="F476" s="39"/>
      <c r="G476" s="39"/>
      <c r="H476" s="39"/>
      <c r="I476" s="39"/>
      <c r="J476" s="108"/>
      <c r="K476" s="108"/>
      <c r="L476" s="39"/>
      <c r="M476" s="108"/>
      <c r="N476" s="108"/>
    </row>
    <row r="477">
      <c r="A477" s="39"/>
      <c r="B477" s="39"/>
      <c r="C477" s="39"/>
      <c r="D477" s="113"/>
      <c r="E477" s="113"/>
      <c r="F477" s="39"/>
      <c r="G477" s="39"/>
      <c r="H477" s="39"/>
      <c r="I477" s="39"/>
      <c r="J477" s="108"/>
      <c r="K477" s="108"/>
      <c r="L477" s="39"/>
      <c r="M477" s="108"/>
      <c r="N477" s="108"/>
    </row>
    <row r="478">
      <c r="A478" s="39"/>
      <c r="B478" s="39"/>
      <c r="C478" s="39"/>
      <c r="D478" s="113"/>
      <c r="E478" s="113"/>
      <c r="F478" s="39"/>
      <c r="G478" s="39"/>
      <c r="H478" s="39"/>
      <c r="I478" s="39"/>
      <c r="J478" s="108"/>
      <c r="K478" s="108"/>
      <c r="L478" s="39"/>
      <c r="M478" s="108"/>
      <c r="N478" s="108"/>
    </row>
    <row r="479">
      <c r="A479" s="39"/>
      <c r="B479" s="39"/>
      <c r="C479" s="39"/>
      <c r="D479" s="113"/>
      <c r="E479" s="113"/>
      <c r="F479" s="39"/>
      <c r="G479" s="39"/>
      <c r="H479" s="39"/>
      <c r="I479" s="39"/>
      <c r="J479" s="108"/>
      <c r="K479" s="108"/>
      <c r="L479" s="39"/>
      <c r="M479" s="108"/>
      <c r="N479" s="108"/>
    </row>
    <row r="480">
      <c r="A480" s="39"/>
      <c r="B480" s="39"/>
      <c r="C480" s="39"/>
      <c r="D480" s="113"/>
      <c r="E480" s="113"/>
      <c r="F480" s="39"/>
      <c r="G480" s="39"/>
      <c r="H480" s="39"/>
      <c r="I480" s="39"/>
      <c r="J480" s="108"/>
      <c r="K480" s="108"/>
      <c r="L480" s="39"/>
      <c r="M480" s="108"/>
      <c r="N480" s="108"/>
    </row>
    <row r="481">
      <c r="A481" s="39"/>
      <c r="B481" s="39"/>
      <c r="C481" s="39"/>
      <c r="D481" s="113"/>
      <c r="E481" s="113"/>
      <c r="F481" s="39"/>
      <c r="G481" s="39"/>
      <c r="H481" s="39"/>
      <c r="I481" s="39"/>
      <c r="J481" s="108"/>
      <c r="K481" s="108"/>
      <c r="L481" s="39"/>
      <c r="M481" s="108"/>
      <c r="N481" s="108"/>
    </row>
    <row r="482">
      <c r="A482" s="39"/>
      <c r="B482" s="39"/>
      <c r="C482" s="39"/>
      <c r="D482" s="113"/>
      <c r="E482" s="113"/>
      <c r="F482" s="39"/>
      <c r="G482" s="39"/>
      <c r="H482" s="39"/>
      <c r="I482" s="39"/>
      <c r="J482" s="108"/>
      <c r="K482" s="108"/>
      <c r="L482" s="39"/>
      <c r="M482" s="108"/>
      <c r="N482" s="108"/>
    </row>
    <row r="483">
      <c r="A483" s="39"/>
      <c r="B483" s="39"/>
      <c r="C483" s="39"/>
      <c r="D483" s="113"/>
      <c r="E483" s="113"/>
      <c r="F483" s="39"/>
      <c r="G483" s="39"/>
      <c r="H483" s="39"/>
      <c r="I483" s="39"/>
      <c r="J483" s="108"/>
      <c r="K483" s="108"/>
      <c r="L483" s="39"/>
      <c r="M483" s="108"/>
      <c r="N483" s="108"/>
    </row>
    <row r="484">
      <c r="A484" s="39"/>
      <c r="B484" s="39"/>
      <c r="C484" s="39"/>
      <c r="D484" s="113"/>
      <c r="E484" s="113"/>
      <c r="F484" s="39"/>
      <c r="G484" s="39"/>
      <c r="H484" s="39"/>
      <c r="I484" s="39"/>
      <c r="J484" s="108"/>
      <c r="K484" s="108"/>
      <c r="L484" s="39"/>
      <c r="M484" s="108"/>
      <c r="N484" s="108"/>
    </row>
    <row r="485">
      <c r="A485" s="39"/>
      <c r="B485" s="39"/>
      <c r="C485" s="39"/>
      <c r="D485" s="113"/>
      <c r="E485" s="113"/>
      <c r="F485" s="39"/>
      <c r="G485" s="39"/>
      <c r="H485" s="39"/>
      <c r="I485" s="39"/>
      <c r="J485" s="108"/>
      <c r="K485" s="108"/>
      <c r="L485" s="39"/>
      <c r="M485" s="108"/>
      <c r="N485" s="108"/>
    </row>
    <row r="486">
      <c r="A486" s="39"/>
      <c r="B486" s="39"/>
      <c r="C486" s="39"/>
      <c r="D486" s="113"/>
      <c r="E486" s="113"/>
      <c r="F486" s="39"/>
      <c r="G486" s="39"/>
      <c r="H486" s="39"/>
      <c r="I486" s="39"/>
      <c r="J486" s="108"/>
      <c r="K486" s="108"/>
      <c r="L486" s="39"/>
      <c r="M486" s="108"/>
      <c r="N486" s="108"/>
    </row>
    <row r="487">
      <c r="A487" s="39"/>
      <c r="B487" s="39"/>
      <c r="C487" s="39"/>
      <c r="D487" s="113"/>
      <c r="E487" s="113"/>
      <c r="F487" s="39"/>
      <c r="G487" s="39"/>
      <c r="H487" s="39"/>
      <c r="I487" s="39"/>
      <c r="J487" s="108"/>
      <c r="K487" s="108"/>
      <c r="L487" s="39"/>
      <c r="M487" s="108"/>
      <c r="N487" s="108"/>
    </row>
    <row r="488">
      <c r="A488" s="39"/>
      <c r="B488" s="39"/>
      <c r="C488" s="39"/>
      <c r="D488" s="113"/>
      <c r="E488" s="113"/>
      <c r="F488" s="39"/>
      <c r="G488" s="39"/>
      <c r="H488" s="39"/>
      <c r="I488" s="39"/>
      <c r="J488" s="108"/>
      <c r="K488" s="108"/>
      <c r="L488" s="39"/>
      <c r="M488" s="108"/>
      <c r="N488" s="108"/>
    </row>
    <row r="489">
      <c r="A489" s="39"/>
      <c r="B489" s="39"/>
      <c r="C489" s="39"/>
      <c r="D489" s="113"/>
      <c r="E489" s="113"/>
      <c r="F489" s="39"/>
      <c r="G489" s="39"/>
      <c r="H489" s="39"/>
      <c r="I489" s="39"/>
      <c r="J489" s="108"/>
      <c r="K489" s="108"/>
      <c r="L489" s="39"/>
      <c r="M489" s="108"/>
      <c r="N489" s="108"/>
    </row>
    <row r="490">
      <c r="A490" s="39"/>
      <c r="B490" s="39"/>
      <c r="C490" s="39"/>
      <c r="D490" s="113"/>
      <c r="E490" s="113"/>
      <c r="F490" s="39"/>
      <c r="G490" s="39"/>
      <c r="H490" s="39"/>
      <c r="I490" s="39"/>
      <c r="J490" s="108"/>
      <c r="K490" s="108"/>
      <c r="L490" s="39"/>
      <c r="M490" s="108"/>
      <c r="N490" s="108"/>
    </row>
    <row r="491">
      <c r="A491" s="39"/>
      <c r="B491" s="39"/>
      <c r="C491" s="39"/>
      <c r="D491" s="113"/>
      <c r="E491" s="113"/>
      <c r="F491" s="39"/>
      <c r="G491" s="39"/>
      <c r="H491" s="39"/>
      <c r="I491" s="39"/>
      <c r="J491" s="108"/>
      <c r="K491" s="108"/>
      <c r="L491" s="39"/>
      <c r="M491" s="108"/>
      <c r="N491" s="108"/>
    </row>
    <row r="492">
      <c r="A492" s="39"/>
      <c r="B492" s="39"/>
      <c r="C492" s="39"/>
      <c r="D492" s="113"/>
      <c r="E492" s="113"/>
      <c r="F492" s="39"/>
      <c r="G492" s="39"/>
      <c r="H492" s="39"/>
      <c r="I492" s="39"/>
      <c r="J492" s="108"/>
      <c r="K492" s="108"/>
      <c r="L492" s="39"/>
      <c r="M492" s="108"/>
      <c r="N492" s="108"/>
    </row>
    <row r="493">
      <c r="A493" s="39"/>
      <c r="B493" s="39"/>
      <c r="C493" s="39"/>
      <c r="D493" s="113"/>
      <c r="E493" s="113"/>
      <c r="F493" s="39"/>
      <c r="G493" s="39"/>
      <c r="H493" s="39"/>
      <c r="I493" s="39"/>
      <c r="J493" s="108"/>
      <c r="K493" s="108"/>
      <c r="L493" s="39"/>
      <c r="M493" s="108"/>
      <c r="N493" s="108"/>
    </row>
    <row r="494">
      <c r="A494" s="39"/>
      <c r="B494" s="39"/>
      <c r="C494" s="39"/>
      <c r="D494" s="113"/>
      <c r="E494" s="113"/>
      <c r="F494" s="39"/>
      <c r="G494" s="39"/>
      <c r="H494" s="39"/>
      <c r="I494" s="39"/>
      <c r="J494" s="108"/>
      <c r="K494" s="108"/>
      <c r="L494" s="39"/>
      <c r="M494" s="108"/>
      <c r="N494" s="108"/>
    </row>
    <row r="495">
      <c r="A495" s="39"/>
      <c r="B495" s="39"/>
      <c r="C495" s="39"/>
      <c r="D495" s="113"/>
      <c r="E495" s="113"/>
      <c r="F495" s="39"/>
      <c r="G495" s="39"/>
      <c r="H495" s="39"/>
      <c r="I495" s="39"/>
      <c r="J495" s="108"/>
      <c r="K495" s="108"/>
      <c r="L495" s="39"/>
      <c r="M495" s="108"/>
      <c r="N495" s="108"/>
    </row>
    <row r="496">
      <c r="A496" s="39"/>
      <c r="B496" s="39"/>
      <c r="C496" s="39"/>
      <c r="D496" s="113"/>
      <c r="E496" s="113"/>
      <c r="F496" s="39"/>
      <c r="G496" s="39"/>
      <c r="H496" s="39"/>
      <c r="I496" s="39"/>
      <c r="J496" s="108"/>
      <c r="K496" s="108"/>
      <c r="L496" s="39"/>
      <c r="M496" s="108"/>
      <c r="N496" s="108"/>
    </row>
    <row r="497">
      <c r="A497" s="39"/>
      <c r="B497" s="39"/>
      <c r="C497" s="39"/>
      <c r="D497" s="113"/>
      <c r="E497" s="113"/>
      <c r="F497" s="39"/>
      <c r="G497" s="39"/>
      <c r="H497" s="39"/>
      <c r="I497" s="39"/>
      <c r="J497" s="108"/>
      <c r="K497" s="108"/>
      <c r="L497" s="39"/>
      <c r="M497" s="108"/>
      <c r="N497" s="108"/>
    </row>
    <row r="498">
      <c r="A498" s="39"/>
      <c r="B498" s="39"/>
      <c r="C498" s="39"/>
      <c r="D498" s="113"/>
      <c r="E498" s="113"/>
      <c r="F498" s="39"/>
      <c r="G498" s="39"/>
      <c r="H498" s="39"/>
      <c r="I498" s="39"/>
      <c r="J498" s="108"/>
      <c r="K498" s="108"/>
      <c r="L498" s="39"/>
      <c r="M498" s="108"/>
      <c r="N498" s="108"/>
    </row>
    <row r="499">
      <c r="A499" s="39"/>
      <c r="B499" s="39"/>
      <c r="C499" s="39"/>
      <c r="D499" s="113"/>
      <c r="E499" s="113"/>
      <c r="F499" s="39"/>
      <c r="G499" s="39"/>
      <c r="H499" s="39"/>
      <c r="I499" s="39"/>
      <c r="J499" s="108"/>
      <c r="K499" s="108"/>
      <c r="L499" s="39"/>
      <c r="M499" s="108"/>
      <c r="N499" s="108"/>
    </row>
    <row r="500">
      <c r="A500" s="39"/>
      <c r="B500" s="39"/>
      <c r="C500" s="39"/>
      <c r="D500" s="113"/>
      <c r="E500" s="113"/>
      <c r="F500" s="39"/>
      <c r="G500" s="39"/>
      <c r="H500" s="39"/>
      <c r="I500" s="39"/>
      <c r="J500" s="108"/>
      <c r="K500" s="108"/>
      <c r="L500" s="39"/>
      <c r="M500" s="108"/>
      <c r="N500" s="108"/>
    </row>
    <row r="501">
      <c r="A501" s="39"/>
      <c r="B501" s="39"/>
      <c r="C501" s="39"/>
      <c r="D501" s="113"/>
      <c r="E501" s="113"/>
      <c r="F501" s="39"/>
      <c r="G501" s="39"/>
      <c r="H501" s="39"/>
      <c r="I501" s="39"/>
      <c r="J501" s="108"/>
      <c r="K501" s="108"/>
      <c r="L501" s="39"/>
      <c r="M501" s="108"/>
      <c r="N501" s="108"/>
    </row>
    <row r="502">
      <c r="A502" s="39"/>
      <c r="B502" s="39"/>
      <c r="C502" s="39"/>
      <c r="D502" s="113"/>
      <c r="E502" s="113"/>
      <c r="F502" s="39"/>
      <c r="G502" s="39"/>
      <c r="H502" s="39"/>
      <c r="I502" s="39"/>
      <c r="J502" s="108"/>
      <c r="K502" s="108"/>
      <c r="L502" s="39"/>
      <c r="M502" s="108"/>
      <c r="N502" s="108"/>
    </row>
    <row r="503">
      <c r="A503" s="39"/>
      <c r="B503" s="39"/>
      <c r="C503" s="39"/>
      <c r="D503" s="113"/>
      <c r="E503" s="113"/>
      <c r="F503" s="39"/>
      <c r="G503" s="39"/>
      <c r="H503" s="39"/>
      <c r="I503" s="39"/>
      <c r="J503" s="108"/>
      <c r="K503" s="108"/>
      <c r="L503" s="39"/>
      <c r="M503" s="108"/>
      <c r="N503" s="108"/>
    </row>
    <row r="504">
      <c r="A504" s="39"/>
      <c r="B504" s="39"/>
      <c r="C504" s="39"/>
      <c r="D504" s="113"/>
      <c r="E504" s="113"/>
      <c r="F504" s="39"/>
      <c r="G504" s="39"/>
      <c r="H504" s="39"/>
      <c r="I504" s="39"/>
      <c r="J504" s="108"/>
      <c r="K504" s="108"/>
      <c r="L504" s="39"/>
      <c r="M504" s="108"/>
      <c r="N504" s="108"/>
    </row>
    <row r="505">
      <c r="A505" s="39"/>
      <c r="B505" s="39"/>
      <c r="C505" s="39"/>
      <c r="D505" s="113"/>
      <c r="E505" s="113"/>
      <c r="F505" s="39"/>
      <c r="G505" s="39"/>
      <c r="H505" s="39"/>
      <c r="I505" s="39"/>
      <c r="J505" s="108"/>
      <c r="K505" s="108"/>
      <c r="L505" s="39"/>
      <c r="M505" s="108"/>
      <c r="N505" s="108"/>
    </row>
    <row r="506">
      <c r="A506" s="39"/>
      <c r="B506" s="39"/>
      <c r="C506" s="39"/>
      <c r="D506" s="113"/>
      <c r="E506" s="113"/>
      <c r="F506" s="39"/>
      <c r="G506" s="39"/>
      <c r="H506" s="39"/>
      <c r="I506" s="39"/>
      <c r="J506" s="108"/>
      <c r="K506" s="108"/>
      <c r="L506" s="39"/>
      <c r="M506" s="108"/>
      <c r="N506" s="108"/>
    </row>
    <row r="507">
      <c r="A507" s="39"/>
      <c r="B507" s="39"/>
      <c r="C507" s="39"/>
      <c r="D507" s="113"/>
      <c r="E507" s="113"/>
      <c r="F507" s="39"/>
      <c r="G507" s="39"/>
      <c r="H507" s="39"/>
      <c r="I507" s="39"/>
      <c r="J507" s="108"/>
      <c r="K507" s="108"/>
      <c r="L507" s="39"/>
      <c r="M507" s="108"/>
      <c r="N507" s="108"/>
    </row>
    <row r="508">
      <c r="A508" s="39"/>
      <c r="B508" s="39"/>
      <c r="C508" s="39"/>
      <c r="D508" s="113"/>
      <c r="E508" s="113"/>
      <c r="F508" s="39"/>
      <c r="G508" s="39"/>
      <c r="H508" s="39"/>
      <c r="I508" s="39"/>
      <c r="J508" s="108"/>
      <c r="K508" s="108"/>
      <c r="L508" s="39"/>
      <c r="M508" s="108"/>
      <c r="N508" s="108"/>
    </row>
    <row r="509">
      <c r="A509" s="39"/>
      <c r="B509" s="39"/>
      <c r="C509" s="39"/>
      <c r="D509" s="113"/>
      <c r="E509" s="113"/>
      <c r="F509" s="39"/>
      <c r="G509" s="39"/>
      <c r="H509" s="39"/>
      <c r="I509" s="39"/>
      <c r="J509" s="108"/>
      <c r="K509" s="108"/>
      <c r="L509" s="39"/>
      <c r="M509" s="108"/>
      <c r="N509" s="108"/>
    </row>
    <row r="510">
      <c r="A510" s="39"/>
      <c r="B510" s="39"/>
      <c r="C510" s="39"/>
      <c r="D510" s="113"/>
      <c r="E510" s="113"/>
      <c r="F510" s="39"/>
      <c r="G510" s="39"/>
      <c r="H510" s="39"/>
      <c r="I510" s="39"/>
      <c r="J510" s="108"/>
      <c r="K510" s="108"/>
      <c r="L510" s="39"/>
      <c r="M510" s="108"/>
      <c r="N510" s="108"/>
    </row>
    <row r="511">
      <c r="A511" s="39"/>
      <c r="B511" s="39"/>
      <c r="C511" s="39"/>
      <c r="D511" s="113"/>
      <c r="E511" s="113"/>
      <c r="F511" s="39"/>
      <c r="G511" s="39"/>
      <c r="H511" s="39"/>
      <c r="I511" s="39"/>
      <c r="J511" s="108"/>
      <c r="K511" s="108"/>
      <c r="L511" s="39"/>
      <c r="M511" s="108"/>
      <c r="N511" s="108"/>
    </row>
    <row r="512">
      <c r="A512" s="39"/>
      <c r="B512" s="39"/>
      <c r="C512" s="39"/>
      <c r="D512" s="113"/>
      <c r="E512" s="113"/>
      <c r="F512" s="39"/>
      <c r="G512" s="39"/>
      <c r="H512" s="39"/>
      <c r="I512" s="39"/>
      <c r="J512" s="108"/>
      <c r="K512" s="108"/>
      <c r="L512" s="39"/>
      <c r="M512" s="108"/>
      <c r="N512" s="108"/>
    </row>
    <row r="513">
      <c r="A513" s="39"/>
      <c r="B513" s="39"/>
      <c r="C513" s="39"/>
      <c r="D513" s="113"/>
      <c r="E513" s="113"/>
      <c r="F513" s="39"/>
      <c r="G513" s="39"/>
      <c r="H513" s="39"/>
      <c r="I513" s="39"/>
      <c r="J513" s="108"/>
      <c r="K513" s="108"/>
      <c r="L513" s="39"/>
      <c r="M513" s="108"/>
      <c r="N513" s="108"/>
    </row>
    <row r="514">
      <c r="A514" s="39"/>
      <c r="B514" s="39"/>
      <c r="C514" s="39"/>
      <c r="D514" s="113"/>
      <c r="E514" s="113"/>
      <c r="F514" s="39"/>
      <c r="G514" s="39"/>
      <c r="H514" s="39"/>
      <c r="I514" s="39"/>
      <c r="J514" s="108"/>
      <c r="K514" s="108"/>
      <c r="L514" s="39"/>
      <c r="M514" s="108"/>
      <c r="N514" s="108"/>
    </row>
    <row r="515">
      <c r="A515" s="39"/>
      <c r="B515" s="39"/>
      <c r="C515" s="39"/>
      <c r="D515" s="113"/>
      <c r="E515" s="113"/>
      <c r="F515" s="39"/>
      <c r="G515" s="39"/>
      <c r="H515" s="39"/>
      <c r="I515" s="39"/>
      <c r="J515" s="108"/>
      <c r="K515" s="108"/>
      <c r="L515" s="39"/>
      <c r="M515" s="108"/>
      <c r="N515" s="108"/>
    </row>
    <row r="516">
      <c r="A516" s="39"/>
      <c r="B516" s="39"/>
      <c r="C516" s="39"/>
      <c r="D516" s="113"/>
      <c r="E516" s="113"/>
      <c r="F516" s="39"/>
      <c r="G516" s="39"/>
      <c r="H516" s="39"/>
      <c r="I516" s="39"/>
      <c r="J516" s="108"/>
      <c r="K516" s="108"/>
      <c r="L516" s="39"/>
      <c r="M516" s="108"/>
      <c r="N516" s="108"/>
    </row>
    <row r="517">
      <c r="A517" s="39"/>
      <c r="B517" s="39"/>
      <c r="C517" s="39"/>
      <c r="D517" s="113"/>
      <c r="E517" s="113"/>
      <c r="F517" s="39"/>
      <c r="G517" s="39"/>
      <c r="H517" s="39"/>
      <c r="I517" s="39"/>
      <c r="J517" s="108"/>
      <c r="K517" s="108"/>
      <c r="L517" s="39"/>
      <c r="M517" s="108"/>
      <c r="N517" s="108"/>
    </row>
    <row r="518">
      <c r="A518" s="39"/>
      <c r="B518" s="39"/>
      <c r="C518" s="39"/>
      <c r="D518" s="113"/>
      <c r="E518" s="113"/>
      <c r="F518" s="39"/>
      <c r="G518" s="39"/>
      <c r="H518" s="39"/>
      <c r="I518" s="39"/>
      <c r="J518" s="108"/>
      <c r="K518" s="108"/>
      <c r="L518" s="39"/>
      <c r="M518" s="108"/>
      <c r="N518" s="108"/>
    </row>
    <row r="519">
      <c r="A519" s="39"/>
      <c r="B519" s="39"/>
      <c r="C519" s="39"/>
      <c r="D519" s="113"/>
      <c r="E519" s="113"/>
      <c r="F519" s="39"/>
      <c r="G519" s="39"/>
      <c r="H519" s="39"/>
      <c r="I519" s="39"/>
      <c r="J519" s="108"/>
      <c r="K519" s="108"/>
      <c r="L519" s="39"/>
      <c r="M519" s="108"/>
      <c r="N519" s="108"/>
    </row>
    <row r="520">
      <c r="A520" s="39"/>
      <c r="B520" s="39"/>
      <c r="C520" s="39"/>
      <c r="D520" s="113"/>
      <c r="E520" s="113"/>
      <c r="F520" s="39"/>
      <c r="G520" s="39"/>
      <c r="H520" s="39"/>
      <c r="I520" s="39"/>
      <c r="J520" s="108"/>
      <c r="K520" s="108"/>
      <c r="L520" s="39"/>
      <c r="M520" s="108"/>
      <c r="N520" s="108"/>
    </row>
    <row r="521">
      <c r="A521" s="39"/>
      <c r="B521" s="39"/>
      <c r="C521" s="39"/>
      <c r="D521" s="113"/>
      <c r="E521" s="113"/>
      <c r="F521" s="39"/>
      <c r="G521" s="39"/>
      <c r="H521" s="39"/>
      <c r="I521" s="39"/>
      <c r="J521" s="108"/>
      <c r="K521" s="108"/>
      <c r="L521" s="39"/>
      <c r="M521" s="108"/>
      <c r="N521" s="108"/>
    </row>
    <row r="522">
      <c r="A522" s="39"/>
      <c r="B522" s="39"/>
      <c r="C522" s="39"/>
      <c r="D522" s="113"/>
      <c r="E522" s="113"/>
      <c r="F522" s="39"/>
      <c r="G522" s="39"/>
      <c r="H522" s="39"/>
      <c r="I522" s="39"/>
      <c r="J522" s="108"/>
      <c r="K522" s="108"/>
      <c r="L522" s="39"/>
      <c r="M522" s="108"/>
      <c r="N522" s="108"/>
    </row>
    <row r="523">
      <c r="A523" s="39"/>
      <c r="B523" s="39"/>
      <c r="C523" s="39"/>
      <c r="D523" s="113"/>
      <c r="E523" s="113"/>
      <c r="F523" s="39"/>
      <c r="G523" s="39"/>
      <c r="H523" s="39"/>
      <c r="I523" s="39"/>
      <c r="J523" s="108"/>
      <c r="K523" s="108"/>
      <c r="L523" s="39"/>
      <c r="M523" s="108"/>
      <c r="N523" s="108"/>
    </row>
    <row r="524">
      <c r="A524" s="39"/>
      <c r="B524" s="39"/>
      <c r="C524" s="39"/>
      <c r="D524" s="113"/>
      <c r="E524" s="113"/>
      <c r="F524" s="39"/>
      <c r="G524" s="39"/>
      <c r="H524" s="39"/>
      <c r="I524" s="39"/>
      <c r="J524" s="108"/>
      <c r="K524" s="108"/>
      <c r="L524" s="39"/>
      <c r="M524" s="108"/>
      <c r="N524" s="108"/>
    </row>
    <row r="525">
      <c r="A525" s="39"/>
      <c r="B525" s="39"/>
      <c r="C525" s="39"/>
      <c r="D525" s="113"/>
      <c r="E525" s="113"/>
      <c r="F525" s="39"/>
      <c r="G525" s="39"/>
      <c r="H525" s="39"/>
      <c r="I525" s="39"/>
      <c r="J525" s="108"/>
      <c r="K525" s="108"/>
      <c r="L525" s="39"/>
      <c r="M525" s="108"/>
      <c r="N525" s="108"/>
    </row>
    <row r="526">
      <c r="A526" s="39"/>
      <c r="B526" s="39"/>
      <c r="C526" s="39"/>
      <c r="D526" s="113"/>
      <c r="E526" s="113"/>
      <c r="F526" s="39"/>
      <c r="G526" s="39"/>
      <c r="H526" s="39"/>
      <c r="I526" s="39"/>
      <c r="J526" s="108"/>
      <c r="K526" s="108"/>
      <c r="L526" s="39"/>
      <c r="M526" s="108"/>
      <c r="N526" s="108"/>
    </row>
    <row r="527">
      <c r="A527" s="39"/>
      <c r="B527" s="39"/>
      <c r="C527" s="39"/>
      <c r="D527" s="113"/>
      <c r="E527" s="113"/>
      <c r="F527" s="39"/>
      <c r="G527" s="39"/>
      <c r="H527" s="39"/>
      <c r="I527" s="39"/>
      <c r="J527" s="108"/>
      <c r="K527" s="108"/>
      <c r="L527" s="39"/>
      <c r="M527" s="108"/>
      <c r="N527" s="108"/>
    </row>
    <row r="528">
      <c r="A528" s="39"/>
      <c r="B528" s="39"/>
      <c r="C528" s="39"/>
      <c r="D528" s="113"/>
      <c r="E528" s="113"/>
      <c r="F528" s="39"/>
      <c r="G528" s="39"/>
      <c r="H528" s="39"/>
      <c r="I528" s="39"/>
      <c r="J528" s="108"/>
      <c r="K528" s="108"/>
      <c r="L528" s="39"/>
      <c r="M528" s="108"/>
      <c r="N528" s="108"/>
    </row>
    <row r="529">
      <c r="A529" s="39"/>
      <c r="B529" s="39"/>
      <c r="C529" s="39"/>
      <c r="D529" s="113"/>
      <c r="E529" s="113"/>
      <c r="F529" s="39"/>
      <c r="G529" s="39"/>
      <c r="H529" s="39"/>
      <c r="I529" s="39"/>
      <c r="J529" s="108"/>
      <c r="K529" s="108"/>
      <c r="L529" s="39"/>
      <c r="M529" s="108"/>
      <c r="N529" s="108"/>
    </row>
    <row r="530">
      <c r="A530" s="39"/>
      <c r="B530" s="39"/>
      <c r="C530" s="39"/>
      <c r="D530" s="113"/>
      <c r="E530" s="113"/>
      <c r="F530" s="39"/>
      <c r="G530" s="39"/>
      <c r="H530" s="39"/>
      <c r="I530" s="39"/>
      <c r="J530" s="108"/>
      <c r="K530" s="108"/>
      <c r="L530" s="39"/>
      <c r="M530" s="108"/>
      <c r="N530" s="108"/>
    </row>
    <row r="531">
      <c r="A531" s="39"/>
      <c r="B531" s="39"/>
      <c r="C531" s="39"/>
      <c r="D531" s="113"/>
      <c r="E531" s="113"/>
      <c r="F531" s="39"/>
      <c r="G531" s="39"/>
      <c r="H531" s="39"/>
      <c r="I531" s="39"/>
      <c r="J531" s="108"/>
      <c r="K531" s="108"/>
      <c r="L531" s="39"/>
      <c r="M531" s="108"/>
      <c r="N531" s="108"/>
    </row>
    <row r="532">
      <c r="A532" s="39"/>
      <c r="B532" s="39"/>
      <c r="C532" s="39"/>
      <c r="D532" s="113"/>
      <c r="E532" s="113"/>
      <c r="F532" s="39"/>
      <c r="G532" s="39"/>
      <c r="H532" s="39"/>
      <c r="I532" s="39"/>
      <c r="J532" s="108"/>
      <c r="K532" s="108"/>
      <c r="L532" s="39"/>
      <c r="M532" s="108"/>
      <c r="N532" s="108"/>
    </row>
    <row r="533">
      <c r="A533" s="39"/>
      <c r="B533" s="39"/>
      <c r="C533" s="39"/>
      <c r="D533" s="113"/>
      <c r="E533" s="113"/>
      <c r="F533" s="39"/>
      <c r="G533" s="39"/>
      <c r="H533" s="39"/>
      <c r="I533" s="39"/>
      <c r="J533" s="108"/>
      <c r="K533" s="108"/>
      <c r="L533" s="39"/>
      <c r="M533" s="108"/>
      <c r="N533" s="108"/>
    </row>
    <row r="534">
      <c r="A534" s="39"/>
      <c r="B534" s="39"/>
      <c r="C534" s="39"/>
      <c r="D534" s="113"/>
      <c r="E534" s="113"/>
      <c r="F534" s="39"/>
      <c r="G534" s="39"/>
      <c r="H534" s="39"/>
      <c r="I534" s="39"/>
      <c r="J534" s="108"/>
      <c r="K534" s="108"/>
      <c r="L534" s="39"/>
      <c r="M534" s="108"/>
      <c r="N534" s="108"/>
    </row>
    <row r="535">
      <c r="A535" s="39"/>
      <c r="B535" s="39"/>
      <c r="C535" s="39"/>
      <c r="D535" s="113"/>
      <c r="E535" s="113"/>
      <c r="F535" s="39"/>
      <c r="G535" s="39"/>
      <c r="H535" s="39"/>
      <c r="I535" s="39"/>
      <c r="J535" s="108"/>
      <c r="K535" s="108"/>
      <c r="L535" s="39"/>
      <c r="M535" s="108"/>
      <c r="N535" s="108"/>
    </row>
    <row r="536">
      <c r="A536" s="39"/>
      <c r="B536" s="39"/>
      <c r="C536" s="39"/>
      <c r="D536" s="113"/>
      <c r="E536" s="113"/>
      <c r="F536" s="39"/>
      <c r="G536" s="39"/>
      <c r="H536" s="39"/>
      <c r="I536" s="39"/>
      <c r="J536" s="108"/>
      <c r="K536" s="108"/>
      <c r="L536" s="39"/>
      <c r="M536" s="108"/>
      <c r="N536" s="108"/>
    </row>
    <row r="537">
      <c r="A537" s="39"/>
      <c r="B537" s="39"/>
      <c r="C537" s="39"/>
      <c r="D537" s="113"/>
      <c r="E537" s="113"/>
      <c r="F537" s="39"/>
      <c r="G537" s="39"/>
      <c r="H537" s="39"/>
      <c r="I537" s="39"/>
      <c r="J537" s="108"/>
      <c r="K537" s="108"/>
      <c r="L537" s="39"/>
      <c r="M537" s="108"/>
      <c r="N537" s="108"/>
    </row>
    <row r="538">
      <c r="A538" s="39"/>
      <c r="B538" s="39"/>
      <c r="C538" s="39"/>
      <c r="D538" s="113"/>
      <c r="E538" s="113"/>
      <c r="F538" s="39"/>
      <c r="G538" s="39"/>
      <c r="H538" s="39"/>
      <c r="I538" s="39"/>
      <c r="J538" s="108"/>
      <c r="K538" s="108"/>
      <c r="L538" s="39"/>
      <c r="M538" s="108"/>
      <c r="N538" s="108"/>
    </row>
    <row r="539">
      <c r="A539" s="39"/>
      <c r="B539" s="39"/>
      <c r="C539" s="39"/>
      <c r="D539" s="113"/>
      <c r="E539" s="113"/>
      <c r="F539" s="39"/>
      <c r="G539" s="39"/>
      <c r="H539" s="39"/>
      <c r="I539" s="39"/>
      <c r="J539" s="108"/>
      <c r="K539" s="108"/>
      <c r="L539" s="39"/>
      <c r="M539" s="108"/>
      <c r="N539" s="108"/>
    </row>
    <row r="540">
      <c r="A540" s="39"/>
      <c r="B540" s="39"/>
      <c r="C540" s="39"/>
      <c r="D540" s="113"/>
      <c r="E540" s="113"/>
      <c r="F540" s="39"/>
      <c r="G540" s="39"/>
      <c r="H540" s="39"/>
      <c r="I540" s="39"/>
      <c r="J540" s="108"/>
      <c r="K540" s="108"/>
      <c r="L540" s="39"/>
      <c r="M540" s="108"/>
      <c r="N540" s="108"/>
    </row>
    <row r="541">
      <c r="A541" s="39"/>
      <c r="B541" s="39"/>
      <c r="C541" s="39"/>
      <c r="D541" s="113"/>
      <c r="E541" s="113"/>
      <c r="F541" s="39"/>
      <c r="G541" s="39"/>
      <c r="H541" s="39"/>
      <c r="I541" s="39"/>
      <c r="J541" s="108"/>
      <c r="K541" s="108"/>
      <c r="L541" s="39"/>
      <c r="M541" s="108"/>
      <c r="N541" s="108"/>
    </row>
    <row r="542">
      <c r="A542" s="39"/>
      <c r="B542" s="39"/>
      <c r="C542" s="39"/>
      <c r="D542" s="113"/>
      <c r="E542" s="113"/>
      <c r="F542" s="39"/>
      <c r="G542" s="39"/>
      <c r="H542" s="39"/>
      <c r="I542" s="39"/>
      <c r="J542" s="108"/>
      <c r="K542" s="108"/>
      <c r="L542" s="39"/>
      <c r="M542" s="108"/>
      <c r="N542" s="108"/>
    </row>
    <row r="543">
      <c r="A543" s="39"/>
      <c r="B543" s="39"/>
      <c r="C543" s="39"/>
      <c r="D543" s="113"/>
      <c r="E543" s="113"/>
      <c r="F543" s="39"/>
      <c r="G543" s="39"/>
      <c r="H543" s="39"/>
      <c r="I543" s="39"/>
      <c r="J543" s="108"/>
      <c r="K543" s="108"/>
      <c r="L543" s="39"/>
      <c r="M543" s="108"/>
      <c r="N543" s="108"/>
    </row>
    <row r="544">
      <c r="A544" s="39"/>
      <c r="B544" s="39"/>
      <c r="C544" s="39"/>
      <c r="D544" s="113"/>
      <c r="E544" s="113"/>
      <c r="F544" s="39"/>
      <c r="G544" s="39"/>
      <c r="H544" s="39"/>
      <c r="I544" s="39"/>
      <c r="J544" s="108"/>
      <c r="K544" s="108"/>
      <c r="L544" s="39"/>
      <c r="M544" s="108"/>
      <c r="N544" s="108"/>
    </row>
    <row r="545">
      <c r="A545" s="39"/>
      <c r="B545" s="39"/>
      <c r="C545" s="39"/>
      <c r="D545" s="113"/>
      <c r="E545" s="113"/>
      <c r="F545" s="39"/>
      <c r="G545" s="39"/>
      <c r="H545" s="39"/>
      <c r="I545" s="39"/>
      <c r="J545" s="108"/>
      <c r="K545" s="108"/>
      <c r="L545" s="39"/>
      <c r="M545" s="108"/>
      <c r="N545" s="108"/>
    </row>
    <row r="546">
      <c r="A546" s="39"/>
      <c r="B546" s="39"/>
      <c r="C546" s="39"/>
      <c r="D546" s="113"/>
      <c r="E546" s="113"/>
      <c r="F546" s="39"/>
      <c r="G546" s="39"/>
      <c r="H546" s="39"/>
      <c r="I546" s="39"/>
      <c r="J546" s="108"/>
      <c r="K546" s="108"/>
      <c r="L546" s="39"/>
      <c r="M546" s="108"/>
      <c r="N546" s="108"/>
    </row>
    <row r="547">
      <c r="A547" s="39"/>
      <c r="B547" s="39"/>
      <c r="C547" s="39"/>
      <c r="D547" s="113"/>
      <c r="E547" s="113"/>
      <c r="F547" s="39"/>
      <c r="G547" s="39"/>
      <c r="H547" s="39"/>
      <c r="I547" s="39"/>
      <c r="J547" s="108"/>
      <c r="K547" s="108"/>
      <c r="L547" s="39"/>
      <c r="M547" s="108"/>
      <c r="N547" s="108"/>
    </row>
    <row r="548">
      <c r="A548" s="39"/>
      <c r="B548" s="39"/>
      <c r="C548" s="39"/>
      <c r="D548" s="113"/>
      <c r="E548" s="113"/>
      <c r="F548" s="39"/>
      <c r="G548" s="39"/>
      <c r="H548" s="39"/>
      <c r="I548" s="39"/>
      <c r="J548" s="108"/>
      <c r="K548" s="108"/>
      <c r="L548" s="39"/>
      <c r="M548" s="108"/>
      <c r="N548" s="108"/>
    </row>
    <row r="549">
      <c r="A549" s="39"/>
      <c r="B549" s="39"/>
      <c r="C549" s="39"/>
      <c r="D549" s="113"/>
      <c r="E549" s="113"/>
      <c r="F549" s="39"/>
      <c r="G549" s="39"/>
      <c r="H549" s="39"/>
      <c r="I549" s="39"/>
      <c r="J549" s="108"/>
      <c r="K549" s="108"/>
      <c r="L549" s="39"/>
      <c r="M549" s="108"/>
      <c r="N549" s="108"/>
    </row>
    <row r="550">
      <c r="A550" s="39"/>
      <c r="B550" s="39"/>
      <c r="C550" s="39"/>
      <c r="D550" s="113"/>
      <c r="E550" s="113"/>
      <c r="F550" s="39"/>
      <c r="G550" s="39"/>
      <c r="H550" s="39"/>
      <c r="I550" s="39"/>
      <c r="J550" s="108"/>
      <c r="K550" s="108"/>
      <c r="L550" s="39"/>
      <c r="M550" s="108"/>
      <c r="N550" s="108"/>
    </row>
    <row r="551">
      <c r="A551" s="39"/>
      <c r="B551" s="39"/>
      <c r="C551" s="39"/>
      <c r="D551" s="113"/>
      <c r="E551" s="113"/>
      <c r="F551" s="39"/>
      <c r="G551" s="39"/>
      <c r="H551" s="39"/>
      <c r="I551" s="39"/>
      <c r="J551" s="108"/>
      <c r="K551" s="108"/>
      <c r="L551" s="39"/>
      <c r="M551" s="108"/>
      <c r="N551" s="108"/>
    </row>
    <row r="552">
      <c r="A552" s="39"/>
      <c r="B552" s="39"/>
      <c r="C552" s="39"/>
      <c r="D552" s="113"/>
      <c r="E552" s="113"/>
      <c r="F552" s="39"/>
      <c r="G552" s="39"/>
      <c r="H552" s="39"/>
      <c r="I552" s="39"/>
      <c r="J552" s="108"/>
      <c r="K552" s="108"/>
      <c r="L552" s="39"/>
      <c r="M552" s="108"/>
      <c r="N552" s="108"/>
    </row>
    <row r="553">
      <c r="A553" s="39"/>
      <c r="B553" s="39"/>
      <c r="C553" s="39"/>
      <c r="D553" s="113"/>
      <c r="E553" s="113"/>
      <c r="F553" s="39"/>
      <c r="G553" s="39"/>
      <c r="H553" s="39"/>
      <c r="I553" s="39"/>
      <c r="J553" s="108"/>
      <c r="K553" s="108"/>
      <c r="L553" s="39"/>
      <c r="M553" s="108"/>
      <c r="N553" s="108"/>
    </row>
    <row r="554">
      <c r="A554" s="39"/>
      <c r="B554" s="39"/>
      <c r="C554" s="39"/>
      <c r="D554" s="113"/>
      <c r="E554" s="113"/>
      <c r="F554" s="39"/>
      <c r="G554" s="39"/>
      <c r="H554" s="39"/>
      <c r="I554" s="39"/>
      <c r="J554" s="108"/>
      <c r="K554" s="108"/>
      <c r="L554" s="39"/>
      <c r="M554" s="108"/>
      <c r="N554" s="108"/>
    </row>
    <row r="555">
      <c r="A555" s="39"/>
      <c r="B555" s="39"/>
      <c r="C555" s="39"/>
      <c r="D555" s="113"/>
      <c r="E555" s="113"/>
      <c r="F555" s="39"/>
      <c r="G555" s="39"/>
      <c r="H555" s="39"/>
      <c r="I555" s="39"/>
      <c r="J555" s="108"/>
      <c r="K555" s="108"/>
      <c r="L555" s="39"/>
      <c r="M555" s="108"/>
      <c r="N555" s="108"/>
    </row>
    <row r="556">
      <c r="A556" s="39"/>
      <c r="B556" s="39"/>
      <c r="C556" s="39"/>
      <c r="D556" s="113"/>
      <c r="E556" s="113"/>
      <c r="F556" s="39"/>
      <c r="G556" s="39"/>
      <c r="H556" s="39"/>
      <c r="I556" s="39"/>
      <c r="J556" s="108"/>
      <c r="K556" s="108"/>
      <c r="L556" s="39"/>
      <c r="M556" s="108"/>
      <c r="N556" s="108"/>
    </row>
    <row r="557">
      <c r="A557" s="39"/>
      <c r="B557" s="39"/>
      <c r="C557" s="39"/>
      <c r="D557" s="113"/>
      <c r="E557" s="113"/>
      <c r="F557" s="39"/>
      <c r="G557" s="39"/>
      <c r="H557" s="39"/>
      <c r="I557" s="39"/>
      <c r="J557" s="108"/>
      <c r="K557" s="108"/>
      <c r="L557" s="39"/>
      <c r="M557" s="108"/>
      <c r="N557" s="108"/>
    </row>
    <row r="558">
      <c r="A558" s="39"/>
      <c r="B558" s="39"/>
      <c r="C558" s="39"/>
      <c r="D558" s="113"/>
      <c r="E558" s="113"/>
      <c r="F558" s="39"/>
      <c r="G558" s="39"/>
      <c r="H558" s="39"/>
      <c r="I558" s="39"/>
      <c r="J558" s="108"/>
      <c r="K558" s="108"/>
      <c r="L558" s="39"/>
      <c r="M558" s="108"/>
      <c r="N558" s="108"/>
    </row>
    <row r="559">
      <c r="A559" s="39"/>
      <c r="B559" s="39"/>
      <c r="C559" s="39"/>
      <c r="D559" s="113"/>
      <c r="E559" s="113"/>
      <c r="F559" s="39"/>
      <c r="G559" s="39"/>
      <c r="H559" s="39"/>
      <c r="I559" s="39"/>
      <c r="J559" s="108"/>
      <c r="K559" s="108"/>
      <c r="L559" s="39"/>
      <c r="M559" s="108"/>
      <c r="N559" s="108"/>
    </row>
    <row r="560">
      <c r="A560" s="39"/>
      <c r="B560" s="39"/>
      <c r="C560" s="39"/>
      <c r="D560" s="113"/>
      <c r="E560" s="113"/>
      <c r="F560" s="39"/>
      <c r="G560" s="39"/>
      <c r="H560" s="39"/>
      <c r="I560" s="39"/>
      <c r="J560" s="108"/>
      <c r="K560" s="108"/>
      <c r="L560" s="39"/>
      <c r="M560" s="108"/>
      <c r="N560" s="108"/>
    </row>
    <row r="561">
      <c r="A561" s="39"/>
      <c r="B561" s="39"/>
      <c r="C561" s="39"/>
      <c r="D561" s="113"/>
      <c r="E561" s="113"/>
      <c r="F561" s="39"/>
      <c r="G561" s="39"/>
      <c r="H561" s="39"/>
      <c r="I561" s="39"/>
      <c r="J561" s="108"/>
      <c r="K561" s="108"/>
      <c r="L561" s="39"/>
      <c r="M561" s="108"/>
      <c r="N561" s="108"/>
    </row>
    <row r="562">
      <c r="A562" s="39"/>
      <c r="B562" s="39"/>
      <c r="C562" s="39"/>
      <c r="D562" s="113"/>
      <c r="E562" s="113"/>
      <c r="F562" s="39"/>
      <c r="G562" s="39"/>
      <c r="H562" s="39"/>
      <c r="I562" s="39"/>
      <c r="J562" s="108"/>
      <c r="K562" s="108"/>
      <c r="L562" s="39"/>
      <c r="M562" s="108"/>
      <c r="N562" s="108"/>
    </row>
    <row r="563">
      <c r="A563" s="39"/>
      <c r="B563" s="39"/>
      <c r="C563" s="39"/>
      <c r="D563" s="113"/>
      <c r="E563" s="113"/>
      <c r="F563" s="39"/>
      <c r="G563" s="39"/>
      <c r="H563" s="39"/>
      <c r="I563" s="39"/>
      <c r="J563" s="108"/>
      <c r="K563" s="108"/>
      <c r="L563" s="39"/>
      <c r="M563" s="108"/>
      <c r="N563" s="108"/>
    </row>
    <row r="564">
      <c r="A564" s="39"/>
      <c r="B564" s="39"/>
      <c r="C564" s="39"/>
      <c r="D564" s="113"/>
      <c r="E564" s="113"/>
      <c r="F564" s="39"/>
      <c r="G564" s="39"/>
      <c r="H564" s="39"/>
      <c r="I564" s="39"/>
      <c r="J564" s="108"/>
      <c r="K564" s="108"/>
      <c r="L564" s="39"/>
      <c r="M564" s="108"/>
      <c r="N564" s="108"/>
    </row>
    <row r="565">
      <c r="A565" s="39"/>
      <c r="B565" s="39"/>
      <c r="C565" s="39"/>
      <c r="D565" s="113"/>
      <c r="E565" s="113"/>
      <c r="F565" s="39"/>
      <c r="G565" s="39"/>
      <c r="H565" s="39"/>
      <c r="I565" s="39"/>
      <c r="J565" s="108"/>
      <c r="K565" s="108"/>
      <c r="L565" s="39"/>
      <c r="M565" s="108"/>
      <c r="N565" s="108"/>
    </row>
    <row r="566">
      <c r="A566" s="39"/>
      <c r="B566" s="39"/>
      <c r="C566" s="39"/>
      <c r="D566" s="113"/>
      <c r="E566" s="113"/>
      <c r="F566" s="39"/>
      <c r="G566" s="39"/>
      <c r="H566" s="39"/>
      <c r="I566" s="39"/>
      <c r="J566" s="108"/>
      <c r="K566" s="108"/>
      <c r="L566" s="39"/>
      <c r="M566" s="108"/>
      <c r="N566" s="108"/>
    </row>
    <row r="567">
      <c r="A567" s="39"/>
      <c r="B567" s="39"/>
      <c r="C567" s="39"/>
      <c r="D567" s="113"/>
      <c r="E567" s="113"/>
      <c r="F567" s="39"/>
      <c r="G567" s="39"/>
      <c r="H567" s="39"/>
      <c r="I567" s="39"/>
      <c r="J567" s="108"/>
      <c r="K567" s="108"/>
      <c r="L567" s="39"/>
      <c r="M567" s="108"/>
      <c r="N567" s="108"/>
    </row>
    <row r="568">
      <c r="A568" s="39"/>
      <c r="B568" s="39"/>
      <c r="C568" s="39"/>
      <c r="D568" s="113"/>
      <c r="E568" s="113"/>
      <c r="F568" s="39"/>
      <c r="G568" s="39"/>
      <c r="H568" s="39"/>
      <c r="I568" s="39"/>
      <c r="J568" s="108"/>
      <c r="K568" s="108"/>
      <c r="L568" s="39"/>
      <c r="M568" s="108"/>
      <c r="N568" s="108"/>
    </row>
    <row r="569">
      <c r="A569" s="39"/>
      <c r="B569" s="39"/>
      <c r="C569" s="39"/>
      <c r="D569" s="113"/>
      <c r="E569" s="113"/>
      <c r="F569" s="39"/>
      <c r="G569" s="39"/>
      <c r="H569" s="39"/>
      <c r="I569" s="39"/>
      <c r="J569" s="108"/>
      <c r="K569" s="108"/>
      <c r="L569" s="39"/>
      <c r="M569" s="108"/>
      <c r="N569" s="108"/>
    </row>
    <row r="570">
      <c r="A570" s="39"/>
      <c r="B570" s="39"/>
      <c r="C570" s="39"/>
      <c r="D570" s="113"/>
      <c r="E570" s="113"/>
      <c r="F570" s="39"/>
      <c r="G570" s="39"/>
      <c r="H570" s="39"/>
      <c r="I570" s="39"/>
      <c r="J570" s="108"/>
      <c r="K570" s="108"/>
      <c r="L570" s="39"/>
      <c r="M570" s="108"/>
      <c r="N570" s="108"/>
    </row>
    <row r="571">
      <c r="A571" s="39"/>
      <c r="B571" s="39"/>
      <c r="C571" s="39"/>
      <c r="D571" s="113"/>
      <c r="E571" s="113"/>
      <c r="F571" s="39"/>
      <c r="G571" s="39"/>
      <c r="H571" s="39"/>
      <c r="I571" s="39"/>
      <c r="J571" s="108"/>
      <c r="K571" s="108"/>
      <c r="L571" s="39"/>
      <c r="M571" s="108"/>
      <c r="N571" s="108"/>
    </row>
    <row r="572">
      <c r="A572" s="39"/>
      <c r="B572" s="39"/>
      <c r="C572" s="39"/>
      <c r="D572" s="113"/>
      <c r="E572" s="113"/>
      <c r="F572" s="39"/>
      <c r="G572" s="39"/>
      <c r="H572" s="39"/>
      <c r="I572" s="39"/>
      <c r="J572" s="108"/>
      <c r="K572" s="108"/>
      <c r="L572" s="39"/>
      <c r="M572" s="108"/>
      <c r="N572" s="108"/>
    </row>
    <row r="573">
      <c r="A573" s="39"/>
      <c r="B573" s="39"/>
      <c r="C573" s="39"/>
      <c r="D573" s="113"/>
      <c r="E573" s="113"/>
      <c r="F573" s="39"/>
      <c r="G573" s="39"/>
      <c r="H573" s="39"/>
      <c r="I573" s="39"/>
      <c r="J573" s="108"/>
      <c r="K573" s="108"/>
      <c r="L573" s="39"/>
      <c r="M573" s="108"/>
      <c r="N573" s="108"/>
    </row>
    <row r="574">
      <c r="A574" s="39"/>
      <c r="B574" s="39"/>
      <c r="C574" s="39"/>
      <c r="D574" s="113"/>
      <c r="E574" s="113"/>
      <c r="F574" s="39"/>
      <c r="G574" s="39"/>
      <c r="H574" s="39"/>
      <c r="I574" s="39"/>
      <c r="J574" s="108"/>
      <c r="K574" s="108"/>
      <c r="L574" s="39"/>
      <c r="M574" s="108"/>
      <c r="N574" s="108"/>
    </row>
    <row r="575">
      <c r="A575" s="39"/>
      <c r="B575" s="39"/>
      <c r="C575" s="39"/>
      <c r="D575" s="113"/>
      <c r="E575" s="113"/>
      <c r="F575" s="39"/>
      <c r="G575" s="39"/>
      <c r="H575" s="39"/>
      <c r="I575" s="39"/>
      <c r="J575" s="108"/>
      <c r="K575" s="108"/>
      <c r="L575" s="39"/>
      <c r="M575" s="108"/>
      <c r="N575" s="108"/>
    </row>
    <row r="576">
      <c r="A576" s="39"/>
      <c r="B576" s="39"/>
      <c r="C576" s="39"/>
      <c r="D576" s="113"/>
      <c r="E576" s="113"/>
      <c r="F576" s="39"/>
      <c r="G576" s="39"/>
      <c r="H576" s="39"/>
      <c r="I576" s="39"/>
      <c r="J576" s="108"/>
      <c r="K576" s="108"/>
      <c r="L576" s="39"/>
      <c r="M576" s="108"/>
      <c r="N576" s="108"/>
    </row>
    <row r="577">
      <c r="A577" s="39"/>
      <c r="B577" s="39"/>
      <c r="C577" s="39"/>
      <c r="D577" s="113"/>
      <c r="E577" s="113"/>
      <c r="F577" s="39"/>
      <c r="G577" s="39"/>
      <c r="H577" s="39"/>
      <c r="I577" s="39"/>
      <c r="J577" s="108"/>
      <c r="K577" s="108"/>
      <c r="L577" s="39"/>
      <c r="M577" s="108"/>
      <c r="N577" s="108"/>
    </row>
    <row r="578">
      <c r="A578" s="39"/>
      <c r="B578" s="39"/>
      <c r="C578" s="39"/>
      <c r="D578" s="113"/>
      <c r="E578" s="113"/>
      <c r="F578" s="39"/>
      <c r="G578" s="39"/>
      <c r="H578" s="39"/>
      <c r="I578" s="39"/>
      <c r="J578" s="108"/>
      <c r="K578" s="108"/>
      <c r="L578" s="39"/>
      <c r="M578" s="108"/>
      <c r="N578" s="108"/>
    </row>
    <row r="579">
      <c r="A579" s="39"/>
      <c r="B579" s="39"/>
      <c r="C579" s="39"/>
      <c r="D579" s="113"/>
      <c r="E579" s="113"/>
      <c r="F579" s="39"/>
      <c r="G579" s="39"/>
      <c r="H579" s="39"/>
      <c r="I579" s="39"/>
      <c r="J579" s="108"/>
      <c r="K579" s="108"/>
      <c r="L579" s="39"/>
      <c r="M579" s="108"/>
      <c r="N579" s="108"/>
    </row>
    <row r="580">
      <c r="A580" s="39"/>
      <c r="B580" s="39"/>
      <c r="C580" s="39"/>
      <c r="D580" s="113"/>
      <c r="E580" s="113"/>
      <c r="F580" s="39"/>
      <c r="G580" s="39"/>
      <c r="H580" s="39"/>
      <c r="I580" s="39"/>
      <c r="J580" s="108"/>
      <c r="K580" s="108"/>
      <c r="L580" s="39"/>
      <c r="M580" s="108"/>
      <c r="N580" s="108"/>
    </row>
    <row r="581">
      <c r="A581" s="39"/>
      <c r="B581" s="39"/>
      <c r="C581" s="39"/>
      <c r="D581" s="113"/>
      <c r="E581" s="113"/>
      <c r="F581" s="39"/>
      <c r="G581" s="39"/>
      <c r="H581" s="39"/>
      <c r="I581" s="39"/>
      <c r="J581" s="108"/>
      <c r="K581" s="108"/>
      <c r="L581" s="39"/>
      <c r="M581" s="108"/>
      <c r="N581" s="108"/>
    </row>
    <row r="582">
      <c r="A582" s="39"/>
      <c r="B582" s="39"/>
      <c r="C582" s="39"/>
      <c r="D582" s="113"/>
      <c r="E582" s="113"/>
      <c r="F582" s="39"/>
      <c r="G582" s="39"/>
      <c r="H582" s="39"/>
      <c r="I582" s="39"/>
      <c r="J582" s="108"/>
      <c r="K582" s="108"/>
      <c r="L582" s="39"/>
      <c r="M582" s="108"/>
      <c r="N582" s="108"/>
    </row>
    <row r="583">
      <c r="A583" s="39"/>
      <c r="B583" s="39"/>
      <c r="C583" s="39"/>
      <c r="D583" s="113"/>
      <c r="E583" s="113"/>
      <c r="F583" s="39"/>
      <c r="G583" s="39"/>
      <c r="H583" s="39"/>
      <c r="I583" s="39"/>
      <c r="J583" s="108"/>
      <c r="K583" s="108"/>
      <c r="L583" s="39"/>
      <c r="M583" s="108"/>
      <c r="N583" s="108"/>
    </row>
    <row r="584">
      <c r="A584" s="39"/>
      <c r="B584" s="39"/>
      <c r="C584" s="39"/>
      <c r="D584" s="113"/>
      <c r="E584" s="113"/>
      <c r="F584" s="39"/>
      <c r="G584" s="39"/>
      <c r="H584" s="39"/>
      <c r="I584" s="39"/>
      <c r="J584" s="108"/>
      <c r="K584" s="108"/>
      <c r="L584" s="39"/>
      <c r="M584" s="108"/>
      <c r="N584" s="108"/>
    </row>
    <row r="585">
      <c r="A585" s="39"/>
      <c r="B585" s="39"/>
      <c r="C585" s="39"/>
      <c r="D585" s="113"/>
      <c r="E585" s="113"/>
      <c r="F585" s="39"/>
      <c r="G585" s="39"/>
      <c r="H585" s="39"/>
      <c r="I585" s="39"/>
      <c r="J585" s="108"/>
      <c r="K585" s="108"/>
      <c r="L585" s="39"/>
      <c r="M585" s="108"/>
      <c r="N585" s="108"/>
    </row>
    <row r="586">
      <c r="A586" s="39"/>
      <c r="B586" s="39"/>
      <c r="C586" s="39"/>
      <c r="D586" s="113"/>
      <c r="E586" s="113"/>
      <c r="F586" s="39"/>
      <c r="G586" s="39"/>
      <c r="H586" s="39"/>
      <c r="I586" s="39"/>
      <c r="J586" s="108"/>
      <c r="K586" s="108"/>
      <c r="L586" s="39"/>
      <c r="M586" s="108"/>
      <c r="N586" s="108"/>
    </row>
    <row r="587">
      <c r="A587" s="39"/>
      <c r="B587" s="39"/>
      <c r="C587" s="39"/>
      <c r="D587" s="113"/>
      <c r="E587" s="113"/>
      <c r="F587" s="39"/>
      <c r="G587" s="39"/>
      <c r="H587" s="39"/>
      <c r="I587" s="39"/>
      <c r="J587" s="108"/>
      <c r="K587" s="108"/>
      <c r="L587" s="39"/>
      <c r="M587" s="108"/>
      <c r="N587" s="108"/>
    </row>
    <row r="588">
      <c r="A588" s="39"/>
      <c r="B588" s="39"/>
      <c r="C588" s="39"/>
      <c r="D588" s="113"/>
      <c r="E588" s="113"/>
      <c r="F588" s="39"/>
      <c r="G588" s="39"/>
      <c r="H588" s="39"/>
      <c r="I588" s="39"/>
      <c r="J588" s="108"/>
      <c r="K588" s="108"/>
      <c r="L588" s="39"/>
      <c r="M588" s="108"/>
      <c r="N588" s="108"/>
    </row>
    <row r="589">
      <c r="A589" s="39"/>
      <c r="B589" s="39"/>
      <c r="C589" s="39"/>
      <c r="D589" s="113"/>
      <c r="E589" s="113"/>
      <c r="F589" s="39"/>
      <c r="G589" s="39"/>
      <c r="H589" s="39"/>
      <c r="I589" s="39"/>
      <c r="J589" s="108"/>
      <c r="K589" s="108"/>
      <c r="L589" s="39"/>
      <c r="M589" s="108"/>
      <c r="N589" s="108"/>
    </row>
    <row r="590">
      <c r="A590" s="39"/>
      <c r="B590" s="39"/>
      <c r="C590" s="39"/>
      <c r="D590" s="113"/>
      <c r="E590" s="113"/>
      <c r="F590" s="39"/>
      <c r="G590" s="39"/>
      <c r="H590" s="39"/>
      <c r="I590" s="39"/>
      <c r="J590" s="108"/>
      <c r="K590" s="108"/>
      <c r="L590" s="39"/>
      <c r="M590" s="108"/>
      <c r="N590" s="108"/>
    </row>
    <row r="591">
      <c r="A591" s="39"/>
      <c r="B591" s="39"/>
      <c r="C591" s="39"/>
      <c r="D591" s="113"/>
      <c r="E591" s="113"/>
      <c r="F591" s="39"/>
      <c r="G591" s="39"/>
      <c r="H591" s="39"/>
      <c r="I591" s="39"/>
      <c r="J591" s="108"/>
      <c r="K591" s="108"/>
      <c r="L591" s="39"/>
      <c r="M591" s="108"/>
      <c r="N591" s="108"/>
    </row>
    <row r="592">
      <c r="A592" s="39"/>
      <c r="B592" s="39"/>
      <c r="C592" s="39"/>
      <c r="D592" s="113"/>
      <c r="E592" s="113"/>
      <c r="F592" s="39"/>
      <c r="G592" s="39"/>
      <c r="H592" s="39"/>
      <c r="I592" s="39"/>
      <c r="J592" s="108"/>
      <c r="K592" s="108"/>
      <c r="L592" s="39"/>
      <c r="M592" s="108"/>
      <c r="N592" s="108"/>
    </row>
    <row r="593">
      <c r="A593" s="39"/>
      <c r="B593" s="39"/>
      <c r="C593" s="39"/>
      <c r="D593" s="113"/>
      <c r="E593" s="113"/>
      <c r="F593" s="39"/>
      <c r="G593" s="39"/>
      <c r="H593" s="39"/>
      <c r="I593" s="39"/>
      <c r="J593" s="108"/>
      <c r="K593" s="108"/>
      <c r="L593" s="39"/>
      <c r="M593" s="108"/>
      <c r="N593" s="108"/>
    </row>
    <row r="594">
      <c r="A594" s="39"/>
      <c r="B594" s="39"/>
      <c r="C594" s="39"/>
      <c r="D594" s="113"/>
      <c r="E594" s="113"/>
      <c r="F594" s="39"/>
      <c r="G594" s="39"/>
      <c r="H594" s="39"/>
      <c r="I594" s="39"/>
      <c r="J594" s="108"/>
      <c r="K594" s="108"/>
      <c r="L594" s="39"/>
      <c r="M594" s="108"/>
      <c r="N594" s="108"/>
    </row>
    <row r="595">
      <c r="A595" s="39"/>
      <c r="B595" s="39"/>
      <c r="C595" s="39"/>
      <c r="D595" s="113"/>
      <c r="E595" s="113"/>
      <c r="F595" s="39"/>
      <c r="G595" s="39"/>
      <c r="H595" s="39"/>
      <c r="I595" s="39"/>
      <c r="J595" s="108"/>
      <c r="K595" s="108"/>
      <c r="L595" s="39"/>
      <c r="M595" s="108"/>
      <c r="N595" s="108"/>
    </row>
    <row r="596">
      <c r="A596" s="39"/>
      <c r="B596" s="39"/>
      <c r="C596" s="39"/>
      <c r="D596" s="113"/>
      <c r="E596" s="113"/>
      <c r="F596" s="39"/>
      <c r="G596" s="39"/>
      <c r="H596" s="39"/>
      <c r="I596" s="39"/>
      <c r="J596" s="108"/>
      <c r="K596" s="108"/>
      <c r="L596" s="39"/>
      <c r="M596" s="108"/>
      <c r="N596" s="108"/>
    </row>
    <row r="597">
      <c r="A597" s="39"/>
      <c r="B597" s="39"/>
      <c r="C597" s="39"/>
      <c r="D597" s="113"/>
      <c r="E597" s="113"/>
      <c r="F597" s="39"/>
      <c r="G597" s="39"/>
      <c r="H597" s="39"/>
      <c r="I597" s="39"/>
      <c r="J597" s="108"/>
      <c r="K597" s="108"/>
      <c r="L597" s="39"/>
      <c r="M597" s="108"/>
      <c r="N597" s="108"/>
    </row>
    <row r="598">
      <c r="A598" s="39"/>
      <c r="B598" s="39"/>
      <c r="C598" s="39"/>
      <c r="D598" s="113"/>
      <c r="E598" s="113"/>
      <c r="F598" s="39"/>
      <c r="G598" s="39"/>
      <c r="H598" s="39"/>
      <c r="I598" s="39"/>
      <c r="J598" s="108"/>
      <c r="K598" s="108"/>
      <c r="L598" s="39"/>
      <c r="M598" s="108"/>
      <c r="N598" s="108"/>
    </row>
    <row r="599">
      <c r="A599" s="39"/>
      <c r="B599" s="39"/>
      <c r="C599" s="39"/>
      <c r="D599" s="113"/>
      <c r="E599" s="113"/>
      <c r="F599" s="39"/>
      <c r="G599" s="39"/>
      <c r="H599" s="39"/>
      <c r="I599" s="39"/>
      <c r="J599" s="108"/>
      <c r="K599" s="108"/>
      <c r="L599" s="39"/>
      <c r="M599" s="108"/>
      <c r="N599" s="108"/>
    </row>
    <row r="600">
      <c r="A600" s="39"/>
      <c r="B600" s="39"/>
      <c r="C600" s="39"/>
      <c r="D600" s="113"/>
      <c r="E600" s="113"/>
      <c r="F600" s="39"/>
      <c r="G600" s="39"/>
      <c r="H600" s="39"/>
      <c r="I600" s="39"/>
      <c r="J600" s="108"/>
      <c r="K600" s="108"/>
      <c r="L600" s="39"/>
      <c r="M600" s="108"/>
      <c r="N600" s="108"/>
    </row>
    <row r="601">
      <c r="A601" s="39"/>
      <c r="B601" s="39"/>
      <c r="C601" s="39"/>
      <c r="D601" s="113"/>
      <c r="E601" s="113"/>
      <c r="F601" s="39"/>
      <c r="G601" s="39"/>
      <c r="H601" s="39"/>
      <c r="I601" s="39"/>
      <c r="J601" s="108"/>
      <c r="K601" s="108"/>
      <c r="L601" s="39"/>
      <c r="M601" s="108"/>
      <c r="N601" s="108"/>
    </row>
    <row r="602">
      <c r="A602" s="39"/>
      <c r="B602" s="39"/>
      <c r="C602" s="39"/>
      <c r="D602" s="113"/>
      <c r="E602" s="113"/>
      <c r="F602" s="39"/>
      <c r="G602" s="39"/>
      <c r="H602" s="39"/>
      <c r="I602" s="39"/>
      <c r="J602" s="108"/>
      <c r="K602" s="108"/>
      <c r="L602" s="39"/>
      <c r="M602" s="108"/>
      <c r="N602" s="108"/>
    </row>
    <row r="603">
      <c r="A603" s="39"/>
      <c r="B603" s="39"/>
      <c r="C603" s="39"/>
      <c r="D603" s="113"/>
      <c r="E603" s="113"/>
      <c r="F603" s="39"/>
      <c r="G603" s="39"/>
      <c r="H603" s="39"/>
      <c r="I603" s="39"/>
      <c r="J603" s="108"/>
      <c r="K603" s="108"/>
      <c r="L603" s="39"/>
      <c r="M603" s="108"/>
      <c r="N603" s="108"/>
    </row>
    <row r="604">
      <c r="A604" s="39"/>
      <c r="B604" s="39"/>
      <c r="C604" s="39"/>
      <c r="D604" s="113"/>
      <c r="E604" s="113"/>
      <c r="F604" s="39"/>
      <c r="G604" s="39"/>
      <c r="H604" s="39"/>
      <c r="I604" s="39"/>
      <c r="J604" s="108"/>
      <c r="K604" s="108"/>
      <c r="L604" s="39"/>
      <c r="M604" s="108"/>
      <c r="N604" s="108"/>
    </row>
    <row r="605">
      <c r="A605" s="39"/>
      <c r="B605" s="39"/>
      <c r="C605" s="39"/>
      <c r="D605" s="113"/>
      <c r="E605" s="113"/>
      <c r="F605" s="39"/>
      <c r="G605" s="39"/>
      <c r="H605" s="39"/>
      <c r="I605" s="39"/>
      <c r="J605" s="108"/>
      <c r="K605" s="108"/>
      <c r="L605" s="39"/>
      <c r="M605" s="108"/>
      <c r="N605" s="108"/>
    </row>
    <row r="606">
      <c r="A606" s="39"/>
      <c r="B606" s="39"/>
      <c r="C606" s="39"/>
      <c r="D606" s="113"/>
      <c r="E606" s="113"/>
      <c r="F606" s="39"/>
      <c r="G606" s="39"/>
      <c r="H606" s="39"/>
      <c r="I606" s="39"/>
      <c r="J606" s="108"/>
      <c r="K606" s="108"/>
      <c r="L606" s="39"/>
      <c r="M606" s="108"/>
      <c r="N606" s="108"/>
    </row>
    <row r="607">
      <c r="A607" s="39"/>
      <c r="B607" s="39"/>
      <c r="C607" s="39"/>
      <c r="D607" s="113"/>
      <c r="E607" s="113"/>
      <c r="F607" s="39"/>
      <c r="G607" s="39"/>
      <c r="H607" s="39"/>
      <c r="I607" s="39"/>
      <c r="J607" s="108"/>
      <c r="K607" s="108"/>
      <c r="L607" s="39"/>
      <c r="M607" s="108"/>
      <c r="N607" s="108"/>
    </row>
    <row r="608">
      <c r="A608" s="39"/>
      <c r="B608" s="39"/>
      <c r="C608" s="39"/>
      <c r="D608" s="113"/>
      <c r="E608" s="113"/>
      <c r="F608" s="39"/>
      <c r="G608" s="39"/>
      <c r="H608" s="39"/>
      <c r="I608" s="39"/>
      <c r="J608" s="108"/>
      <c r="K608" s="108"/>
      <c r="L608" s="39"/>
      <c r="M608" s="108"/>
      <c r="N608" s="108"/>
    </row>
    <row r="609">
      <c r="A609" s="39"/>
      <c r="B609" s="39"/>
      <c r="C609" s="39"/>
      <c r="D609" s="113"/>
      <c r="E609" s="113"/>
      <c r="F609" s="39"/>
      <c r="G609" s="39"/>
      <c r="H609" s="39"/>
      <c r="I609" s="39"/>
      <c r="J609" s="108"/>
      <c r="K609" s="108"/>
      <c r="L609" s="39"/>
      <c r="M609" s="108"/>
      <c r="N609" s="108"/>
    </row>
    <row r="610">
      <c r="A610" s="39"/>
      <c r="B610" s="39"/>
      <c r="C610" s="39"/>
      <c r="D610" s="113"/>
      <c r="E610" s="113"/>
      <c r="F610" s="39"/>
      <c r="G610" s="39"/>
      <c r="H610" s="39"/>
      <c r="I610" s="39"/>
      <c r="J610" s="108"/>
      <c r="K610" s="108"/>
      <c r="L610" s="39"/>
      <c r="M610" s="108"/>
      <c r="N610" s="108"/>
    </row>
    <row r="611">
      <c r="A611" s="39"/>
      <c r="B611" s="39"/>
      <c r="C611" s="39"/>
      <c r="D611" s="113"/>
      <c r="E611" s="113"/>
      <c r="F611" s="39"/>
      <c r="G611" s="39"/>
      <c r="H611" s="39"/>
      <c r="I611" s="39"/>
      <c r="J611" s="108"/>
      <c r="K611" s="108"/>
      <c r="L611" s="39"/>
      <c r="M611" s="108"/>
      <c r="N611" s="108"/>
    </row>
    <row r="612">
      <c r="A612" s="39"/>
      <c r="B612" s="39"/>
      <c r="C612" s="39"/>
      <c r="D612" s="113"/>
      <c r="E612" s="113"/>
      <c r="F612" s="39"/>
      <c r="G612" s="39"/>
      <c r="H612" s="39"/>
      <c r="I612" s="39"/>
      <c r="J612" s="108"/>
      <c r="K612" s="108"/>
      <c r="L612" s="39"/>
      <c r="M612" s="108"/>
      <c r="N612" s="108"/>
    </row>
    <row r="613">
      <c r="A613" s="39"/>
      <c r="B613" s="39"/>
      <c r="C613" s="39"/>
      <c r="D613" s="113"/>
      <c r="E613" s="113"/>
      <c r="F613" s="39"/>
      <c r="G613" s="39"/>
      <c r="H613" s="39"/>
      <c r="I613" s="39"/>
      <c r="J613" s="108"/>
      <c r="K613" s="108"/>
      <c r="L613" s="39"/>
      <c r="M613" s="108"/>
      <c r="N613" s="108"/>
    </row>
    <row r="614">
      <c r="A614" s="39"/>
      <c r="B614" s="39"/>
      <c r="C614" s="39"/>
      <c r="D614" s="113"/>
      <c r="E614" s="113"/>
      <c r="F614" s="39"/>
      <c r="G614" s="39"/>
      <c r="H614" s="39"/>
      <c r="I614" s="39"/>
      <c r="J614" s="108"/>
      <c r="K614" s="108"/>
      <c r="L614" s="39"/>
      <c r="M614" s="108"/>
      <c r="N614" s="108"/>
    </row>
    <row r="615">
      <c r="A615" s="39"/>
      <c r="B615" s="39"/>
      <c r="C615" s="39"/>
      <c r="D615" s="113"/>
      <c r="E615" s="113"/>
      <c r="F615" s="39"/>
      <c r="G615" s="39"/>
      <c r="H615" s="39"/>
      <c r="I615" s="39"/>
      <c r="J615" s="108"/>
      <c r="K615" s="108"/>
      <c r="L615" s="39"/>
      <c r="M615" s="108"/>
      <c r="N615" s="108"/>
    </row>
    <row r="616">
      <c r="A616" s="39"/>
      <c r="B616" s="39"/>
      <c r="C616" s="39"/>
      <c r="D616" s="113"/>
      <c r="E616" s="113"/>
      <c r="F616" s="39"/>
      <c r="G616" s="39"/>
      <c r="H616" s="39"/>
      <c r="I616" s="39"/>
      <c r="J616" s="108"/>
      <c r="K616" s="108"/>
      <c r="L616" s="39"/>
      <c r="M616" s="108"/>
      <c r="N616" s="108"/>
    </row>
    <row r="617">
      <c r="A617" s="39"/>
      <c r="B617" s="39"/>
      <c r="C617" s="39"/>
      <c r="D617" s="113"/>
      <c r="E617" s="113"/>
      <c r="F617" s="39"/>
      <c r="G617" s="39"/>
      <c r="H617" s="39"/>
      <c r="I617" s="39"/>
      <c r="J617" s="108"/>
      <c r="K617" s="108"/>
      <c r="L617" s="39"/>
      <c r="M617" s="108"/>
      <c r="N617" s="108"/>
    </row>
    <row r="618">
      <c r="A618" s="39"/>
      <c r="B618" s="39"/>
      <c r="C618" s="39"/>
      <c r="D618" s="113"/>
      <c r="E618" s="113"/>
      <c r="F618" s="39"/>
      <c r="G618" s="39"/>
      <c r="H618" s="39"/>
      <c r="I618" s="39"/>
      <c r="J618" s="108"/>
      <c r="K618" s="108"/>
      <c r="L618" s="39"/>
      <c r="M618" s="108"/>
      <c r="N618" s="108"/>
    </row>
    <row r="619">
      <c r="A619" s="39"/>
      <c r="B619" s="39"/>
      <c r="C619" s="39"/>
      <c r="D619" s="113"/>
      <c r="E619" s="113"/>
      <c r="F619" s="39"/>
      <c r="G619" s="39"/>
      <c r="H619" s="39"/>
      <c r="I619" s="39"/>
      <c r="J619" s="108"/>
      <c r="K619" s="108"/>
      <c r="L619" s="39"/>
      <c r="M619" s="108"/>
      <c r="N619" s="108"/>
    </row>
    <row r="620">
      <c r="A620" s="39"/>
      <c r="B620" s="39"/>
      <c r="C620" s="39"/>
      <c r="D620" s="113"/>
      <c r="E620" s="113"/>
      <c r="F620" s="39"/>
      <c r="G620" s="39"/>
      <c r="H620" s="39"/>
      <c r="I620" s="39"/>
      <c r="J620" s="108"/>
      <c r="K620" s="108"/>
      <c r="L620" s="39"/>
      <c r="M620" s="108"/>
      <c r="N620" s="108"/>
    </row>
    <row r="621">
      <c r="A621" s="39"/>
      <c r="B621" s="39"/>
      <c r="C621" s="39"/>
      <c r="D621" s="113"/>
      <c r="E621" s="113"/>
      <c r="F621" s="39"/>
      <c r="G621" s="39"/>
      <c r="H621" s="39"/>
      <c r="I621" s="39"/>
      <c r="J621" s="108"/>
      <c r="K621" s="108"/>
      <c r="L621" s="39"/>
      <c r="M621" s="108"/>
      <c r="N621" s="108"/>
    </row>
    <row r="622">
      <c r="A622" s="39"/>
      <c r="B622" s="39"/>
      <c r="C622" s="39"/>
      <c r="D622" s="113"/>
      <c r="E622" s="113"/>
      <c r="F622" s="39"/>
      <c r="G622" s="39"/>
      <c r="H622" s="39"/>
      <c r="I622" s="39"/>
      <c r="J622" s="108"/>
      <c r="K622" s="108"/>
      <c r="L622" s="39"/>
      <c r="M622" s="108"/>
      <c r="N622" s="108"/>
    </row>
    <row r="623">
      <c r="A623" s="39"/>
      <c r="B623" s="39"/>
      <c r="C623" s="39"/>
      <c r="D623" s="113"/>
      <c r="E623" s="113"/>
      <c r="F623" s="39"/>
      <c r="G623" s="39"/>
      <c r="H623" s="39"/>
      <c r="I623" s="39"/>
      <c r="J623" s="108"/>
      <c r="K623" s="108"/>
      <c r="L623" s="39"/>
      <c r="M623" s="108"/>
      <c r="N623" s="108"/>
    </row>
    <row r="624">
      <c r="A624" s="39"/>
      <c r="B624" s="39"/>
      <c r="C624" s="39"/>
      <c r="D624" s="113"/>
      <c r="E624" s="113"/>
      <c r="F624" s="39"/>
      <c r="G624" s="39"/>
      <c r="H624" s="39"/>
      <c r="I624" s="39"/>
      <c r="J624" s="108"/>
      <c r="K624" s="108"/>
      <c r="L624" s="39"/>
      <c r="M624" s="108"/>
      <c r="N624" s="108"/>
    </row>
    <row r="625">
      <c r="A625" s="39"/>
      <c r="B625" s="39"/>
      <c r="C625" s="39"/>
      <c r="D625" s="113"/>
      <c r="E625" s="113"/>
      <c r="F625" s="39"/>
      <c r="G625" s="39"/>
      <c r="H625" s="39"/>
      <c r="I625" s="39"/>
      <c r="J625" s="108"/>
      <c r="K625" s="108"/>
      <c r="L625" s="39"/>
      <c r="M625" s="108"/>
      <c r="N625" s="108"/>
    </row>
    <row r="626">
      <c r="A626" s="39"/>
      <c r="B626" s="39"/>
      <c r="C626" s="39"/>
      <c r="D626" s="113"/>
      <c r="E626" s="113"/>
      <c r="F626" s="39"/>
      <c r="G626" s="39"/>
      <c r="H626" s="39"/>
      <c r="I626" s="39"/>
      <c r="J626" s="108"/>
      <c r="K626" s="108"/>
      <c r="L626" s="39"/>
      <c r="M626" s="108"/>
      <c r="N626" s="108"/>
    </row>
    <row r="627">
      <c r="A627" s="39"/>
      <c r="B627" s="39"/>
      <c r="C627" s="39"/>
      <c r="D627" s="113"/>
      <c r="E627" s="113"/>
      <c r="F627" s="39"/>
      <c r="G627" s="39"/>
      <c r="H627" s="39"/>
      <c r="I627" s="39"/>
      <c r="J627" s="108"/>
      <c r="K627" s="108"/>
      <c r="L627" s="39"/>
      <c r="M627" s="108"/>
      <c r="N627" s="108"/>
    </row>
    <row r="628">
      <c r="A628" s="39"/>
      <c r="B628" s="39"/>
      <c r="C628" s="39"/>
      <c r="D628" s="113"/>
      <c r="E628" s="113"/>
      <c r="F628" s="39"/>
      <c r="G628" s="39"/>
      <c r="H628" s="39"/>
      <c r="I628" s="39"/>
      <c r="J628" s="108"/>
      <c r="K628" s="108"/>
      <c r="L628" s="39"/>
      <c r="M628" s="108"/>
      <c r="N628" s="108"/>
    </row>
    <row r="629">
      <c r="A629" s="39"/>
      <c r="B629" s="39"/>
      <c r="C629" s="39"/>
      <c r="D629" s="113"/>
      <c r="E629" s="113"/>
      <c r="F629" s="39"/>
      <c r="G629" s="39"/>
      <c r="H629" s="39"/>
      <c r="I629" s="39"/>
      <c r="J629" s="108"/>
      <c r="K629" s="108"/>
      <c r="L629" s="39"/>
      <c r="M629" s="108"/>
      <c r="N629" s="108"/>
    </row>
    <row r="630">
      <c r="A630" s="39"/>
      <c r="B630" s="39"/>
      <c r="C630" s="39"/>
      <c r="D630" s="113"/>
      <c r="E630" s="113"/>
      <c r="F630" s="39"/>
      <c r="G630" s="39"/>
      <c r="H630" s="39"/>
      <c r="I630" s="39"/>
      <c r="J630" s="108"/>
      <c r="K630" s="108"/>
      <c r="L630" s="39"/>
      <c r="M630" s="108"/>
      <c r="N630" s="108"/>
    </row>
    <row r="631">
      <c r="A631" s="39"/>
      <c r="B631" s="39"/>
      <c r="C631" s="39"/>
      <c r="D631" s="113"/>
      <c r="E631" s="113"/>
      <c r="F631" s="39"/>
      <c r="G631" s="39"/>
      <c r="H631" s="39"/>
      <c r="I631" s="39"/>
      <c r="J631" s="108"/>
      <c r="K631" s="108"/>
      <c r="L631" s="39"/>
      <c r="M631" s="108"/>
      <c r="N631" s="108"/>
    </row>
    <row r="632">
      <c r="A632" s="39"/>
      <c r="B632" s="39"/>
      <c r="C632" s="39"/>
      <c r="D632" s="113"/>
      <c r="E632" s="113"/>
      <c r="F632" s="39"/>
      <c r="G632" s="39"/>
      <c r="H632" s="39"/>
      <c r="I632" s="39"/>
      <c r="J632" s="108"/>
      <c r="K632" s="108"/>
      <c r="L632" s="39"/>
      <c r="M632" s="108"/>
      <c r="N632" s="108"/>
    </row>
    <row r="633">
      <c r="A633" s="39"/>
      <c r="B633" s="39"/>
      <c r="C633" s="39"/>
      <c r="D633" s="113"/>
      <c r="E633" s="113"/>
      <c r="F633" s="39"/>
      <c r="G633" s="39"/>
      <c r="H633" s="39"/>
      <c r="I633" s="39"/>
      <c r="J633" s="108"/>
      <c r="K633" s="108"/>
      <c r="L633" s="39"/>
      <c r="M633" s="108"/>
      <c r="N633" s="108"/>
    </row>
    <row r="634">
      <c r="A634" s="39"/>
      <c r="B634" s="39"/>
      <c r="C634" s="39"/>
      <c r="D634" s="113"/>
      <c r="E634" s="113"/>
      <c r="F634" s="39"/>
      <c r="G634" s="39"/>
      <c r="H634" s="39"/>
      <c r="I634" s="39"/>
      <c r="J634" s="108"/>
      <c r="K634" s="108"/>
      <c r="L634" s="39"/>
      <c r="M634" s="108"/>
      <c r="N634" s="108"/>
    </row>
    <row r="635">
      <c r="A635" s="39"/>
      <c r="B635" s="39"/>
      <c r="C635" s="39"/>
      <c r="D635" s="113"/>
      <c r="E635" s="113"/>
      <c r="F635" s="39"/>
      <c r="G635" s="39"/>
      <c r="H635" s="39"/>
      <c r="I635" s="39"/>
      <c r="J635" s="108"/>
      <c r="K635" s="108"/>
      <c r="L635" s="39"/>
      <c r="M635" s="108"/>
      <c r="N635" s="108"/>
    </row>
    <row r="636">
      <c r="A636" s="39"/>
      <c r="B636" s="39"/>
      <c r="C636" s="39"/>
      <c r="D636" s="113"/>
      <c r="E636" s="113"/>
      <c r="F636" s="39"/>
      <c r="G636" s="39"/>
      <c r="H636" s="39"/>
      <c r="I636" s="39"/>
      <c r="J636" s="108"/>
      <c r="K636" s="108"/>
      <c r="L636" s="39"/>
      <c r="M636" s="108"/>
      <c r="N636" s="108"/>
    </row>
    <row r="637">
      <c r="A637" s="39"/>
      <c r="B637" s="39"/>
      <c r="C637" s="39"/>
      <c r="D637" s="113"/>
      <c r="E637" s="113"/>
      <c r="F637" s="39"/>
      <c r="G637" s="39"/>
      <c r="H637" s="39"/>
      <c r="I637" s="39"/>
      <c r="J637" s="108"/>
      <c r="K637" s="108"/>
      <c r="L637" s="39"/>
      <c r="M637" s="108"/>
      <c r="N637" s="108"/>
    </row>
    <row r="638">
      <c r="A638" s="39"/>
      <c r="B638" s="39"/>
      <c r="C638" s="39"/>
      <c r="D638" s="113"/>
      <c r="E638" s="113"/>
      <c r="F638" s="39"/>
      <c r="G638" s="39"/>
      <c r="H638" s="39"/>
      <c r="I638" s="39"/>
      <c r="J638" s="108"/>
      <c r="K638" s="108"/>
      <c r="L638" s="39"/>
      <c r="M638" s="108"/>
      <c r="N638" s="108"/>
    </row>
    <row r="639">
      <c r="A639" s="39"/>
      <c r="B639" s="39"/>
      <c r="C639" s="39"/>
      <c r="D639" s="113"/>
      <c r="E639" s="113"/>
      <c r="F639" s="39"/>
      <c r="G639" s="39"/>
      <c r="H639" s="39"/>
      <c r="I639" s="39"/>
      <c r="J639" s="108"/>
      <c r="K639" s="108"/>
      <c r="L639" s="39"/>
      <c r="M639" s="108"/>
      <c r="N639" s="108"/>
    </row>
    <row r="640">
      <c r="A640" s="39"/>
      <c r="B640" s="39"/>
      <c r="C640" s="39"/>
      <c r="D640" s="113"/>
      <c r="E640" s="113"/>
      <c r="F640" s="39"/>
      <c r="G640" s="39"/>
      <c r="H640" s="39"/>
      <c r="I640" s="39"/>
      <c r="J640" s="108"/>
      <c r="K640" s="108"/>
      <c r="L640" s="39"/>
      <c r="M640" s="108"/>
      <c r="N640" s="108"/>
    </row>
    <row r="641">
      <c r="A641" s="39"/>
      <c r="B641" s="39"/>
      <c r="C641" s="39"/>
      <c r="D641" s="113"/>
      <c r="E641" s="113"/>
      <c r="F641" s="39"/>
      <c r="G641" s="39"/>
      <c r="H641" s="39"/>
      <c r="I641" s="39"/>
      <c r="J641" s="108"/>
      <c r="K641" s="108"/>
      <c r="L641" s="39"/>
      <c r="M641" s="108"/>
      <c r="N641" s="108"/>
    </row>
    <row r="642">
      <c r="A642" s="39"/>
      <c r="B642" s="39"/>
      <c r="C642" s="39"/>
      <c r="D642" s="113"/>
      <c r="E642" s="113"/>
      <c r="F642" s="39"/>
      <c r="G642" s="39"/>
      <c r="H642" s="39"/>
      <c r="I642" s="39"/>
      <c r="J642" s="108"/>
      <c r="K642" s="108"/>
      <c r="L642" s="39"/>
      <c r="M642" s="108"/>
      <c r="N642" s="108"/>
    </row>
    <row r="643">
      <c r="A643" s="39"/>
      <c r="B643" s="39"/>
      <c r="C643" s="39"/>
      <c r="D643" s="113"/>
      <c r="E643" s="113"/>
      <c r="F643" s="39"/>
      <c r="G643" s="39"/>
      <c r="H643" s="39"/>
      <c r="I643" s="39"/>
      <c r="J643" s="108"/>
      <c r="K643" s="108"/>
      <c r="L643" s="39"/>
      <c r="M643" s="108"/>
      <c r="N643" s="108"/>
    </row>
    <row r="644">
      <c r="A644" s="39"/>
      <c r="B644" s="39"/>
      <c r="C644" s="39"/>
      <c r="D644" s="113"/>
      <c r="E644" s="113"/>
      <c r="F644" s="39"/>
      <c r="G644" s="39"/>
      <c r="H644" s="39"/>
      <c r="I644" s="39"/>
      <c r="J644" s="108"/>
      <c r="K644" s="108"/>
      <c r="L644" s="39"/>
      <c r="M644" s="108"/>
      <c r="N644" s="108"/>
    </row>
    <row r="645">
      <c r="A645" s="39"/>
      <c r="B645" s="39"/>
      <c r="C645" s="39"/>
      <c r="D645" s="113"/>
      <c r="E645" s="113"/>
      <c r="F645" s="39"/>
      <c r="G645" s="39"/>
      <c r="H645" s="39"/>
      <c r="I645" s="39"/>
      <c r="J645" s="108"/>
      <c r="K645" s="108"/>
      <c r="L645" s="39"/>
      <c r="M645" s="108"/>
      <c r="N645" s="108"/>
    </row>
    <row r="646">
      <c r="A646" s="39"/>
      <c r="B646" s="39"/>
      <c r="C646" s="39"/>
      <c r="D646" s="113"/>
      <c r="E646" s="113"/>
      <c r="F646" s="39"/>
      <c r="G646" s="39"/>
      <c r="H646" s="39"/>
      <c r="I646" s="39"/>
      <c r="J646" s="108"/>
      <c r="K646" s="108"/>
      <c r="L646" s="39"/>
      <c r="M646" s="108"/>
      <c r="N646" s="108"/>
    </row>
    <row r="647">
      <c r="A647" s="39"/>
      <c r="B647" s="39"/>
      <c r="C647" s="39"/>
      <c r="D647" s="113"/>
      <c r="E647" s="113"/>
      <c r="F647" s="39"/>
      <c r="G647" s="39"/>
      <c r="H647" s="39"/>
      <c r="I647" s="39"/>
      <c r="J647" s="108"/>
      <c r="K647" s="108"/>
      <c r="L647" s="39"/>
      <c r="M647" s="108"/>
      <c r="N647" s="108"/>
    </row>
    <row r="648">
      <c r="A648" s="39"/>
      <c r="B648" s="39"/>
      <c r="C648" s="39"/>
      <c r="D648" s="113"/>
      <c r="E648" s="113"/>
      <c r="F648" s="39"/>
      <c r="G648" s="39"/>
      <c r="H648" s="39"/>
      <c r="I648" s="39"/>
      <c r="J648" s="108"/>
      <c r="K648" s="108"/>
      <c r="L648" s="39"/>
      <c r="M648" s="108"/>
      <c r="N648" s="108"/>
    </row>
    <row r="649">
      <c r="A649" s="39"/>
      <c r="B649" s="39"/>
      <c r="C649" s="39"/>
      <c r="D649" s="113"/>
      <c r="E649" s="113"/>
      <c r="F649" s="39"/>
      <c r="G649" s="39"/>
      <c r="H649" s="39"/>
      <c r="I649" s="39"/>
      <c r="J649" s="108"/>
      <c r="K649" s="108"/>
      <c r="L649" s="39"/>
      <c r="M649" s="108"/>
      <c r="N649" s="108"/>
    </row>
    <row r="650">
      <c r="A650" s="39"/>
      <c r="B650" s="39"/>
      <c r="C650" s="39"/>
      <c r="D650" s="113"/>
      <c r="E650" s="113"/>
      <c r="F650" s="39"/>
      <c r="G650" s="39"/>
      <c r="H650" s="39"/>
      <c r="I650" s="39"/>
      <c r="J650" s="108"/>
      <c r="K650" s="108"/>
      <c r="L650" s="39"/>
      <c r="M650" s="108"/>
      <c r="N650" s="108"/>
    </row>
    <row r="651">
      <c r="A651" s="39"/>
      <c r="B651" s="39"/>
      <c r="C651" s="39"/>
      <c r="D651" s="113"/>
      <c r="E651" s="113"/>
      <c r="F651" s="39"/>
      <c r="G651" s="39"/>
      <c r="H651" s="39"/>
      <c r="I651" s="39"/>
      <c r="J651" s="108"/>
      <c r="K651" s="108"/>
      <c r="L651" s="39"/>
      <c r="M651" s="108"/>
      <c r="N651" s="108"/>
    </row>
    <row r="652">
      <c r="A652" s="39"/>
      <c r="B652" s="39"/>
      <c r="C652" s="39"/>
      <c r="D652" s="113"/>
      <c r="E652" s="113"/>
      <c r="F652" s="39"/>
      <c r="G652" s="39"/>
      <c r="H652" s="39"/>
      <c r="I652" s="39"/>
      <c r="J652" s="108"/>
      <c r="K652" s="108"/>
      <c r="L652" s="39"/>
      <c r="M652" s="108"/>
      <c r="N652" s="108"/>
    </row>
    <row r="653">
      <c r="A653" s="39"/>
      <c r="B653" s="39"/>
      <c r="C653" s="39"/>
      <c r="D653" s="113"/>
      <c r="E653" s="113"/>
      <c r="F653" s="39"/>
      <c r="G653" s="39"/>
      <c r="H653" s="39"/>
      <c r="I653" s="39"/>
      <c r="J653" s="108"/>
      <c r="K653" s="108"/>
      <c r="L653" s="39"/>
      <c r="M653" s="108"/>
      <c r="N653" s="108"/>
    </row>
    <row r="654">
      <c r="A654" s="39"/>
      <c r="B654" s="39"/>
      <c r="C654" s="39"/>
      <c r="D654" s="113"/>
      <c r="E654" s="113"/>
      <c r="F654" s="39"/>
      <c r="G654" s="39"/>
      <c r="H654" s="39"/>
      <c r="I654" s="39"/>
      <c r="J654" s="108"/>
      <c r="K654" s="108"/>
      <c r="L654" s="39"/>
      <c r="M654" s="108"/>
      <c r="N654" s="108"/>
    </row>
    <row r="655">
      <c r="A655" s="39"/>
      <c r="B655" s="39"/>
      <c r="C655" s="39"/>
      <c r="D655" s="113"/>
      <c r="E655" s="113"/>
      <c r="F655" s="39"/>
      <c r="G655" s="39"/>
      <c r="H655" s="39"/>
      <c r="I655" s="39"/>
      <c r="J655" s="108"/>
      <c r="K655" s="108"/>
      <c r="L655" s="39"/>
      <c r="M655" s="108"/>
      <c r="N655" s="108"/>
    </row>
    <row r="656">
      <c r="A656" s="39"/>
      <c r="B656" s="39"/>
      <c r="C656" s="39"/>
      <c r="D656" s="113"/>
      <c r="E656" s="113"/>
      <c r="F656" s="39"/>
      <c r="G656" s="39"/>
      <c r="H656" s="39"/>
      <c r="I656" s="39"/>
      <c r="J656" s="108"/>
      <c r="K656" s="108"/>
      <c r="L656" s="39"/>
      <c r="M656" s="108"/>
      <c r="N656" s="108"/>
    </row>
    <row r="657">
      <c r="A657" s="39"/>
      <c r="B657" s="39"/>
      <c r="C657" s="39"/>
      <c r="D657" s="113"/>
      <c r="E657" s="113"/>
      <c r="F657" s="39"/>
      <c r="G657" s="39"/>
      <c r="H657" s="39"/>
      <c r="I657" s="39"/>
      <c r="J657" s="108"/>
      <c r="K657" s="108"/>
      <c r="L657" s="39"/>
      <c r="M657" s="108"/>
      <c r="N657" s="108"/>
    </row>
    <row r="658">
      <c r="A658" s="39"/>
      <c r="B658" s="39"/>
      <c r="C658" s="39"/>
      <c r="D658" s="113"/>
      <c r="E658" s="113"/>
      <c r="F658" s="39"/>
      <c r="G658" s="39"/>
      <c r="H658" s="39"/>
      <c r="I658" s="39"/>
      <c r="J658" s="108"/>
      <c r="K658" s="108"/>
      <c r="L658" s="39"/>
      <c r="M658" s="108"/>
      <c r="N658" s="108"/>
    </row>
    <row r="659">
      <c r="A659" s="39"/>
      <c r="B659" s="39"/>
      <c r="C659" s="39"/>
      <c r="D659" s="113"/>
      <c r="E659" s="113"/>
      <c r="F659" s="39"/>
      <c r="G659" s="39"/>
      <c r="H659" s="39"/>
      <c r="I659" s="39"/>
      <c r="J659" s="108"/>
      <c r="K659" s="108"/>
      <c r="L659" s="39"/>
      <c r="M659" s="108"/>
      <c r="N659" s="108"/>
    </row>
    <row r="660">
      <c r="A660" s="39"/>
      <c r="B660" s="39"/>
      <c r="C660" s="39"/>
      <c r="D660" s="113"/>
      <c r="E660" s="113"/>
      <c r="F660" s="39"/>
      <c r="G660" s="39"/>
      <c r="H660" s="39"/>
      <c r="I660" s="39"/>
      <c r="J660" s="108"/>
      <c r="K660" s="108"/>
      <c r="L660" s="39"/>
      <c r="M660" s="108"/>
      <c r="N660" s="108"/>
    </row>
    <row r="661">
      <c r="A661" s="39"/>
      <c r="B661" s="39"/>
      <c r="C661" s="39"/>
      <c r="D661" s="113"/>
      <c r="E661" s="113"/>
      <c r="F661" s="39"/>
      <c r="G661" s="39"/>
      <c r="H661" s="39"/>
      <c r="I661" s="39"/>
      <c r="J661" s="108"/>
      <c r="K661" s="108"/>
      <c r="L661" s="39"/>
      <c r="M661" s="108"/>
      <c r="N661" s="108"/>
    </row>
    <row r="662">
      <c r="A662" s="39"/>
      <c r="B662" s="39"/>
      <c r="C662" s="39"/>
      <c r="D662" s="113"/>
      <c r="E662" s="113"/>
      <c r="F662" s="39"/>
      <c r="G662" s="39"/>
      <c r="H662" s="39"/>
      <c r="I662" s="39"/>
      <c r="J662" s="108"/>
      <c r="K662" s="108"/>
      <c r="L662" s="39"/>
      <c r="M662" s="108"/>
      <c r="N662" s="108"/>
    </row>
    <row r="663">
      <c r="A663" s="39"/>
      <c r="B663" s="39"/>
      <c r="C663" s="39"/>
      <c r="D663" s="113"/>
      <c r="E663" s="113"/>
      <c r="F663" s="39"/>
      <c r="G663" s="39"/>
      <c r="H663" s="39"/>
      <c r="I663" s="39"/>
      <c r="J663" s="108"/>
      <c r="K663" s="108"/>
      <c r="L663" s="39"/>
      <c r="M663" s="108"/>
      <c r="N663" s="108"/>
    </row>
    <row r="664">
      <c r="A664" s="39"/>
      <c r="B664" s="39"/>
      <c r="C664" s="39"/>
      <c r="D664" s="113"/>
      <c r="E664" s="113"/>
      <c r="F664" s="39"/>
      <c r="G664" s="39"/>
      <c r="H664" s="39"/>
      <c r="I664" s="39"/>
      <c r="J664" s="108"/>
      <c r="K664" s="108"/>
      <c r="L664" s="39"/>
      <c r="M664" s="108"/>
      <c r="N664" s="108"/>
    </row>
    <row r="665">
      <c r="A665" s="39"/>
      <c r="B665" s="39"/>
      <c r="C665" s="39"/>
      <c r="D665" s="113"/>
      <c r="E665" s="113"/>
      <c r="F665" s="39"/>
      <c r="G665" s="39"/>
      <c r="H665" s="39"/>
      <c r="I665" s="39"/>
      <c r="J665" s="108"/>
      <c r="K665" s="108"/>
      <c r="L665" s="39"/>
      <c r="M665" s="108"/>
      <c r="N665" s="108"/>
    </row>
    <row r="666">
      <c r="A666" s="39"/>
      <c r="B666" s="39"/>
      <c r="C666" s="39"/>
      <c r="D666" s="113"/>
      <c r="E666" s="113"/>
      <c r="F666" s="39"/>
      <c r="G666" s="39"/>
      <c r="H666" s="39"/>
      <c r="I666" s="39"/>
      <c r="J666" s="108"/>
      <c r="K666" s="108"/>
      <c r="L666" s="39"/>
      <c r="M666" s="108"/>
      <c r="N666" s="108"/>
    </row>
    <row r="667">
      <c r="A667" s="39"/>
      <c r="B667" s="39"/>
      <c r="C667" s="39"/>
      <c r="D667" s="113"/>
      <c r="E667" s="113"/>
      <c r="F667" s="39"/>
      <c r="G667" s="39"/>
      <c r="H667" s="39"/>
      <c r="I667" s="39"/>
      <c r="J667" s="108"/>
      <c r="K667" s="108"/>
      <c r="L667" s="39"/>
      <c r="M667" s="108"/>
      <c r="N667" s="108"/>
    </row>
    <row r="668">
      <c r="A668" s="39"/>
      <c r="B668" s="39"/>
      <c r="C668" s="39"/>
      <c r="D668" s="113"/>
      <c r="E668" s="113"/>
      <c r="F668" s="39"/>
      <c r="G668" s="39"/>
      <c r="H668" s="39"/>
      <c r="I668" s="39"/>
      <c r="J668" s="108"/>
      <c r="K668" s="108"/>
      <c r="L668" s="39"/>
      <c r="M668" s="108"/>
      <c r="N668" s="108"/>
    </row>
    <row r="669">
      <c r="A669" s="39"/>
      <c r="B669" s="39"/>
      <c r="C669" s="39"/>
      <c r="D669" s="113"/>
      <c r="E669" s="113"/>
      <c r="F669" s="39"/>
      <c r="G669" s="39"/>
      <c r="H669" s="39"/>
      <c r="I669" s="39"/>
      <c r="J669" s="108"/>
      <c r="K669" s="108"/>
      <c r="L669" s="39"/>
      <c r="M669" s="108"/>
      <c r="N669" s="108"/>
    </row>
    <row r="670">
      <c r="A670" s="39"/>
      <c r="B670" s="39"/>
      <c r="C670" s="39"/>
      <c r="D670" s="113"/>
      <c r="E670" s="113"/>
      <c r="F670" s="39"/>
      <c r="G670" s="39"/>
      <c r="H670" s="39"/>
      <c r="I670" s="39"/>
      <c r="J670" s="108"/>
      <c r="K670" s="108"/>
      <c r="L670" s="39"/>
      <c r="M670" s="108"/>
      <c r="N670" s="108"/>
    </row>
    <row r="671">
      <c r="A671" s="39"/>
      <c r="B671" s="39"/>
      <c r="C671" s="39"/>
      <c r="D671" s="113"/>
      <c r="E671" s="113"/>
      <c r="F671" s="39"/>
      <c r="G671" s="39"/>
      <c r="H671" s="39"/>
      <c r="I671" s="39"/>
      <c r="J671" s="108"/>
      <c r="K671" s="108"/>
      <c r="L671" s="39"/>
      <c r="M671" s="108"/>
      <c r="N671" s="108"/>
    </row>
    <row r="672">
      <c r="A672" s="39"/>
      <c r="B672" s="39"/>
      <c r="C672" s="39"/>
      <c r="D672" s="113"/>
      <c r="E672" s="113"/>
      <c r="F672" s="39"/>
      <c r="G672" s="39"/>
      <c r="H672" s="39"/>
      <c r="I672" s="39"/>
      <c r="J672" s="108"/>
      <c r="K672" s="108"/>
      <c r="L672" s="39"/>
      <c r="M672" s="108"/>
      <c r="N672" s="108"/>
    </row>
    <row r="673">
      <c r="A673" s="39"/>
      <c r="B673" s="39"/>
      <c r="C673" s="39"/>
      <c r="D673" s="113"/>
      <c r="E673" s="113"/>
      <c r="F673" s="39"/>
      <c r="G673" s="39"/>
      <c r="H673" s="39"/>
      <c r="I673" s="39"/>
      <c r="J673" s="108"/>
      <c r="K673" s="108"/>
      <c r="L673" s="39"/>
      <c r="M673" s="108"/>
      <c r="N673" s="108"/>
    </row>
    <row r="674">
      <c r="A674" s="39"/>
      <c r="B674" s="39"/>
      <c r="C674" s="39"/>
      <c r="D674" s="113"/>
      <c r="E674" s="113"/>
      <c r="F674" s="39"/>
      <c r="G674" s="39"/>
      <c r="H674" s="39"/>
      <c r="I674" s="39"/>
      <c r="J674" s="108"/>
      <c r="K674" s="108"/>
      <c r="L674" s="39"/>
      <c r="M674" s="108"/>
      <c r="N674" s="108"/>
    </row>
    <row r="675">
      <c r="A675" s="39"/>
      <c r="B675" s="39"/>
      <c r="C675" s="39"/>
      <c r="D675" s="113"/>
      <c r="E675" s="113"/>
      <c r="F675" s="39"/>
      <c r="G675" s="39"/>
      <c r="H675" s="39"/>
      <c r="I675" s="39"/>
      <c r="J675" s="108"/>
      <c r="K675" s="108"/>
      <c r="L675" s="39"/>
      <c r="M675" s="108"/>
      <c r="N675" s="108"/>
    </row>
    <row r="676">
      <c r="A676" s="39"/>
      <c r="B676" s="39"/>
      <c r="C676" s="39"/>
      <c r="D676" s="113"/>
      <c r="E676" s="113"/>
      <c r="F676" s="39"/>
      <c r="G676" s="39"/>
      <c r="H676" s="39"/>
      <c r="I676" s="39"/>
      <c r="J676" s="108"/>
      <c r="K676" s="108"/>
      <c r="L676" s="39"/>
      <c r="M676" s="108"/>
      <c r="N676" s="108"/>
    </row>
    <row r="677">
      <c r="A677" s="39"/>
      <c r="B677" s="39"/>
      <c r="C677" s="39"/>
      <c r="D677" s="113"/>
      <c r="E677" s="113"/>
      <c r="F677" s="39"/>
      <c r="G677" s="39"/>
      <c r="H677" s="39"/>
      <c r="I677" s="39"/>
      <c r="J677" s="108"/>
      <c r="K677" s="108"/>
      <c r="L677" s="39"/>
      <c r="M677" s="108"/>
      <c r="N677" s="108"/>
    </row>
    <row r="678">
      <c r="A678" s="39"/>
      <c r="B678" s="39"/>
      <c r="C678" s="39"/>
      <c r="D678" s="113"/>
      <c r="E678" s="113"/>
      <c r="F678" s="39"/>
      <c r="G678" s="39"/>
      <c r="H678" s="39"/>
      <c r="I678" s="39"/>
      <c r="J678" s="108"/>
      <c r="K678" s="108"/>
      <c r="L678" s="39"/>
      <c r="M678" s="108"/>
      <c r="N678" s="108"/>
    </row>
    <row r="679">
      <c r="A679" s="39"/>
      <c r="B679" s="39"/>
      <c r="C679" s="39"/>
      <c r="D679" s="113"/>
      <c r="E679" s="113"/>
      <c r="F679" s="39"/>
      <c r="G679" s="39"/>
      <c r="H679" s="39"/>
      <c r="I679" s="39"/>
      <c r="J679" s="108"/>
      <c r="K679" s="108"/>
      <c r="L679" s="39"/>
      <c r="M679" s="108"/>
      <c r="N679" s="108"/>
    </row>
    <row r="680">
      <c r="A680" s="39"/>
      <c r="B680" s="39"/>
      <c r="C680" s="39"/>
      <c r="D680" s="113"/>
      <c r="E680" s="113"/>
      <c r="F680" s="39"/>
      <c r="G680" s="39"/>
      <c r="H680" s="39"/>
      <c r="I680" s="39"/>
      <c r="J680" s="108"/>
      <c r="K680" s="108"/>
      <c r="L680" s="39"/>
      <c r="M680" s="108"/>
      <c r="N680" s="108"/>
    </row>
    <row r="681">
      <c r="A681" s="39"/>
      <c r="B681" s="39"/>
      <c r="C681" s="39"/>
      <c r="D681" s="113"/>
      <c r="E681" s="113"/>
      <c r="F681" s="39"/>
      <c r="G681" s="39"/>
      <c r="H681" s="39"/>
      <c r="I681" s="39"/>
      <c r="J681" s="108"/>
      <c r="K681" s="108"/>
      <c r="L681" s="39"/>
      <c r="M681" s="108"/>
      <c r="N681" s="108"/>
    </row>
    <row r="682">
      <c r="A682" s="39"/>
      <c r="B682" s="39"/>
      <c r="C682" s="39"/>
      <c r="D682" s="113"/>
      <c r="E682" s="113"/>
      <c r="F682" s="39"/>
      <c r="G682" s="39"/>
      <c r="H682" s="39"/>
      <c r="I682" s="39"/>
      <c r="J682" s="108"/>
      <c r="K682" s="108"/>
      <c r="L682" s="39"/>
      <c r="M682" s="108"/>
      <c r="N682" s="108"/>
    </row>
    <row r="683">
      <c r="A683" s="39"/>
      <c r="B683" s="39"/>
      <c r="C683" s="39"/>
      <c r="D683" s="113"/>
      <c r="E683" s="113"/>
      <c r="F683" s="39"/>
      <c r="G683" s="39"/>
      <c r="H683" s="39"/>
      <c r="I683" s="39"/>
      <c r="J683" s="108"/>
      <c r="K683" s="108"/>
      <c r="L683" s="39"/>
      <c r="M683" s="108"/>
      <c r="N683" s="108"/>
    </row>
    <row r="684">
      <c r="A684" s="39"/>
      <c r="B684" s="39"/>
      <c r="C684" s="39"/>
      <c r="D684" s="113"/>
      <c r="E684" s="113"/>
      <c r="F684" s="39"/>
      <c r="G684" s="39"/>
      <c r="H684" s="39"/>
      <c r="I684" s="39"/>
      <c r="J684" s="108"/>
      <c r="K684" s="108"/>
      <c r="L684" s="39"/>
      <c r="M684" s="108"/>
      <c r="N684" s="108"/>
    </row>
    <row r="685">
      <c r="A685" s="39"/>
      <c r="B685" s="39"/>
      <c r="C685" s="39"/>
      <c r="D685" s="113"/>
      <c r="E685" s="113"/>
      <c r="F685" s="39"/>
      <c r="G685" s="39"/>
      <c r="H685" s="39"/>
      <c r="I685" s="39"/>
      <c r="J685" s="108"/>
      <c r="K685" s="108"/>
      <c r="L685" s="39"/>
      <c r="M685" s="108"/>
      <c r="N685" s="108"/>
    </row>
    <row r="686">
      <c r="A686" s="39"/>
      <c r="B686" s="39"/>
      <c r="C686" s="39"/>
      <c r="D686" s="113"/>
      <c r="E686" s="113"/>
      <c r="F686" s="39"/>
      <c r="G686" s="39"/>
      <c r="H686" s="39"/>
      <c r="I686" s="39"/>
      <c r="J686" s="108"/>
      <c r="K686" s="108"/>
      <c r="L686" s="39"/>
      <c r="M686" s="108"/>
      <c r="N686" s="108"/>
    </row>
    <row r="687">
      <c r="A687" s="39"/>
      <c r="B687" s="39"/>
      <c r="C687" s="39"/>
      <c r="D687" s="113"/>
      <c r="E687" s="113"/>
      <c r="F687" s="39"/>
      <c r="G687" s="39"/>
      <c r="H687" s="39"/>
      <c r="I687" s="39"/>
      <c r="J687" s="108"/>
      <c r="K687" s="108"/>
      <c r="L687" s="39"/>
      <c r="M687" s="108"/>
      <c r="N687" s="108"/>
    </row>
    <row r="688">
      <c r="A688" s="39"/>
      <c r="B688" s="39"/>
      <c r="C688" s="39"/>
      <c r="D688" s="113"/>
      <c r="E688" s="113"/>
      <c r="F688" s="39"/>
      <c r="G688" s="39"/>
      <c r="H688" s="39"/>
      <c r="I688" s="39"/>
      <c r="J688" s="108"/>
      <c r="K688" s="108"/>
      <c r="L688" s="39"/>
      <c r="M688" s="108"/>
      <c r="N688" s="108"/>
    </row>
    <row r="689">
      <c r="A689" s="39"/>
      <c r="B689" s="39"/>
      <c r="C689" s="39"/>
      <c r="D689" s="113"/>
      <c r="E689" s="113"/>
      <c r="F689" s="39"/>
      <c r="G689" s="39"/>
      <c r="H689" s="39"/>
      <c r="I689" s="39"/>
      <c r="J689" s="108"/>
      <c r="K689" s="108"/>
      <c r="L689" s="39"/>
      <c r="M689" s="108"/>
      <c r="N689" s="108"/>
    </row>
    <row r="690">
      <c r="A690" s="39"/>
      <c r="B690" s="39"/>
      <c r="C690" s="39"/>
      <c r="D690" s="113"/>
      <c r="E690" s="113"/>
      <c r="F690" s="39"/>
      <c r="G690" s="39"/>
      <c r="H690" s="39"/>
      <c r="I690" s="39"/>
      <c r="J690" s="108"/>
      <c r="K690" s="108"/>
      <c r="L690" s="39"/>
      <c r="M690" s="108"/>
      <c r="N690" s="108"/>
    </row>
    <row r="691">
      <c r="A691" s="39"/>
      <c r="B691" s="39"/>
      <c r="C691" s="39"/>
      <c r="D691" s="113"/>
      <c r="E691" s="113"/>
      <c r="F691" s="39"/>
      <c r="G691" s="39"/>
      <c r="H691" s="39"/>
      <c r="I691" s="39"/>
      <c r="J691" s="108"/>
      <c r="K691" s="108"/>
      <c r="L691" s="39"/>
      <c r="M691" s="108"/>
      <c r="N691" s="108"/>
    </row>
    <row r="692">
      <c r="A692" s="39"/>
      <c r="B692" s="39"/>
      <c r="C692" s="39"/>
      <c r="D692" s="113"/>
      <c r="E692" s="113"/>
      <c r="F692" s="39"/>
      <c r="G692" s="39"/>
      <c r="H692" s="39"/>
      <c r="I692" s="39"/>
      <c r="J692" s="108"/>
      <c r="K692" s="108"/>
      <c r="L692" s="39"/>
      <c r="M692" s="108"/>
      <c r="N692" s="108"/>
    </row>
    <row r="693">
      <c r="A693" s="39"/>
      <c r="B693" s="39"/>
      <c r="C693" s="39"/>
      <c r="D693" s="113"/>
      <c r="E693" s="113"/>
      <c r="F693" s="39"/>
      <c r="G693" s="39"/>
      <c r="H693" s="39"/>
      <c r="I693" s="39"/>
      <c r="J693" s="108"/>
      <c r="K693" s="108"/>
      <c r="L693" s="39"/>
      <c r="M693" s="108"/>
      <c r="N693" s="108"/>
    </row>
    <row r="694">
      <c r="A694" s="39"/>
      <c r="B694" s="39"/>
      <c r="C694" s="39"/>
      <c r="D694" s="113"/>
      <c r="E694" s="113"/>
      <c r="F694" s="39"/>
      <c r="G694" s="39"/>
      <c r="H694" s="39"/>
      <c r="I694" s="39"/>
      <c r="J694" s="108"/>
      <c r="K694" s="108"/>
      <c r="L694" s="39"/>
      <c r="M694" s="108"/>
      <c r="N694" s="108"/>
    </row>
    <row r="695">
      <c r="A695" s="39"/>
      <c r="B695" s="39"/>
      <c r="C695" s="39"/>
      <c r="D695" s="113"/>
      <c r="E695" s="113"/>
      <c r="F695" s="39"/>
      <c r="G695" s="39"/>
      <c r="H695" s="39"/>
      <c r="I695" s="39"/>
      <c r="J695" s="108"/>
      <c r="K695" s="108"/>
      <c r="L695" s="39"/>
      <c r="M695" s="108"/>
      <c r="N695" s="108"/>
    </row>
    <row r="696">
      <c r="A696" s="39"/>
      <c r="B696" s="39"/>
      <c r="C696" s="39"/>
      <c r="D696" s="113"/>
      <c r="E696" s="113"/>
      <c r="F696" s="39"/>
      <c r="G696" s="39"/>
      <c r="H696" s="39"/>
      <c r="I696" s="39"/>
      <c r="J696" s="108"/>
      <c r="K696" s="108"/>
      <c r="L696" s="39"/>
      <c r="M696" s="108"/>
      <c r="N696" s="108"/>
    </row>
    <row r="697">
      <c r="A697" s="39"/>
      <c r="B697" s="39"/>
      <c r="C697" s="39"/>
      <c r="D697" s="113"/>
      <c r="E697" s="113"/>
      <c r="F697" s="39"/>
      <c r="G697" s="39"/>
      <c r="H697" s="39"/>
      <c r="I697" s="39"/>
      <c r="J697" s="108"/>
      <c r="K697" s="108"/>
      <c r="L697" s="39"/>
      <c r="M697" s="108"/>
      <c r="N697" s="108"/>
    </row>
    <row r="698">
      <c r="A698" s="39"/>
      <c r="B698" s="39"/>
      <c r="C698" s="39"/>
      <c r="D698" s="113"/>
      <c r="E698" s="113"/>
      <c r="F698" s="39"/>
      <c r="G698" s="39"/>
      <c r="H698" s="39"/>
      <c r="I698" s="39"/>
      <c r="J698" s="108"/>
      <c r="K698" s="108"/>
      <c r="L698" s="39"/>
      <c r="M698" s="108"/>
      <c r="N698" s="108"/>
    </row>
    <row r="699">
      <c r="A699" s="39"/>
      <c r="B699" s="39"/>
      <c r="C699" s="39"/>
      <c r="D699" s="113"/>
      <c r="E699" s="113"/>
      <c r="F699" s="39"/>
      <c r="G699" s="39"/>
      <c r="H699" s="39"/>
      <c r="I699" s="39"/>
      <c r="J699" s="108"/>
      <c r="K699" s="108"/>
      <c r="L699" s="39"/>
      <c r="M699" s="108"/>
      <c r="N699" s="108"/>
    </row>
    <row r="700">
      <c r="A700" s="39"/>
      <c r="B700" s="39"/>
      <c r="C700" s="39"/>
      <c r="D700" s="113"/>
      <c r="E700" s="113"/>
      <c r="F700" s="39"/>
      <c r="G700" s="39"/>
      <c r="H700" s="39"/>
      <c r="I700" s="39"/>
      <c r="J700" s="108"/>
      <c r="K700" s="108"/>
      <c r="L700" s="39"/>
      <c r="M700" s="108"/>
      <c r="N700" s="108"/>
    </row>
    <row r="701">
      <c r="A701" s="39"/>
      <c r="B701" s="39"/>
      <c r="C701" s="39"/>
      <c r="D701" s="113"/>
      <c r="E701" s="113"/>
      <c r="F701" s="39"/>
      <c r="G701" s="39"/>
      <c r="H701" s="39"/>
      <c r="I701" s="39"/>
      <c r="J701" s="108"/>
      <c r="K701" s="108"/>
      <c r="L701" s="39"/>
      <c r="M701" s="108"/>
      <c r="N701" s="108"/>
    </row>
    <row r="702">
      <c r="A702" s="39"/>
      <c r="B702" s="39"/>
      <c r="C702" s="39"/>
      <c r="D702" s="113"/>
      <c r="E702" s="113"/>
      <c r="F702" s="39"/>
      <c r="G702" s="39"/>
      <c r="H702" s="39"/>
      <c r="I702" s="39"/>
      <c r="J702" s="108"/>
      <c r="K702" s="108"/>
      <c r="L702" s="39"/>
      <c r="M702" s="108"/>
      <c r="N702" s="108"/>
    </row>
    <row r="703">
      <c r="A703" s="39"/>
      <c r="B703" s="39"/>
      <c r="C703" s="39"/>
      <c r="D703" s="113"/>
      <c r="E703" s="113"/>
      <c r="F703" s="39"/>
      <c r="G703" s="39"/>
      <c r="H703" s="39"/>
      <c r="I703" s="39"/>
      <c r="J703" s="108"/>
      <c r="K703" s="108"/>
      <c r="L703" s="39"/>
      <c r="M703" s="108"/>
      <c r="N703" s="108"/>
    </row>
    <row r="704">
      <c r="A704" s="39"/>
      <c r="B704" s="39"/>
      <c r="C704" s="39"/>
      <c r="D704" s="113"/>
      <c r="E704" s="113"/>
      <c r="F704" s="39"/>
      <c r="G704" s="39"/>
      <c r="H704" s="39"/>
      <c r="I704" s="39"/>
      <c r="J704" s="108"/>
      <c r="K704" s="108"/>
      <c r="L704" s="39"/>
      <c r="M704" s="108"/>
      <c r="N704" s="108"/>
    </row>
    <row r="705">
      <c r="A705" s="39"/>
      <c r="B705" s="39"/>
      <c r="C705" s="39"/>
      <c r="D705" s="113"/>
      <c r="E705" s="113"/>
      <c r="F705" s="39"/>
      <c r="G705" s="39"/>
      <c r="H705" s="39"/>
      <c r="I705" s="39"/>
      <c r="J705" s="108"/>
      <c r="K705" s="108"/>
      <c r="L705" s="39"/>
      <c r="M705" s="108"/>
      <c r="N705" s="108"/>
    </row>
    <row r="706">
      <c r="A706" s="39"/>
      <c r="B706" s="39"/>
      <c r="C706" s="39"/>
      <c r="D706" s="113"/>
      <c r="E706" s="113"/>
      <c r="F706" s="39"/>
      <c r="G706" s="39"/>
      <c r="H706" s="39"/>
      <c r="I706" s="39"/>
      <c r="J706" s="108"/>
      <c r="K706" s="108"/>
      <c r="L706" s="39"/>
      <c r="M706" s="108"/>
      <c r="N706" s="108"/>
    </row>
    <row r="707">
      <c r="A707" s="39"/>
      <c r="B707" s="39"/>
      <c r="C707" s="39"/>
      <c r="D707" s="113"/>
      <c r="E707" s="113"/>
      <c r="F707" s="39"/>
      <c r="G707" s="39"/>
      <c r="H707" s="39"/>
      <c r="I707" s="39"/>
      <c r="J707" s="108"/>
      <c r="K707" s="108"/>
      <c r="L707" s="39"/>
      <c r="M707" s="108"/>
      <c r="N707" s="108"/>
    </row>
    <row r="708">
      <c r="A708" s="39"/>
      <c r="B708" s="39"/>
      <c r="C708" s="39"/>
      <c r="D708" s="113"/>
      <c r="E708" s="113"/>
      <c r="F708" s="39"/>
      <c r="G708" s="39"/>
      <c r="H708" s="39"/>
      <c r="I708" s="39"/>
      <c r="J708" s="108"/>
      <c r="K708" s="108"/>
      <c r="L708" s="39"/>
      <c r="M708" s="108"/>
      <c r="N708" s="108"/>
    </row>
    <row r="709">
      <c r="A709" s="39"/>
      <c r="B709" s="39"/>
      <c r="C709" s="39"/>
      <c r="D709" s="113"/>
      <c r="E709" s="113"/>
      <c r="F709" s="39"/>
      <c r="G709" s="39"/>
      <c r="H709" s="39"/>
      <c r="I709" s="39"/>
      <c r="J709" s="108"/>
      <c r="K709" s="108"/>
      <c r="L709" s="39"/>
      <c r="M709" s="108"/>
      <c r="N709" s="108"/>
    </row>
    <row r="710">
      <c r="A710" s="39"/>
      <c r="B710" s="39"/>
      <c r="C710" s="39"/>
      <c r="D710" s="113"/>
      <c r="E710" s="113"/>
      <c r="F710" s="39"/>
      <c r="G710" s="39"/>
      <c r="H710" s="39"/>
      <c r="I710" s="39"/>
      <c r="J710" s="108"/>
      <c r="K710" s="108"/>
      <c r="L710" s="39"/>
      <c r="M710" s="108"/>
      <c r="N710" s="108"/>
    </row>
    <row r="711">
      <c r="A711" s="39"/>
      <c r="B711" s="39"/>
      <c r="C711" s="39"/>
      <c r="D711" s="113"/>
      <c r="E711" s="113"/>
      <c r="F711" s="39"/>
      <c r="G711" s="39"/>
      <c r="H711" s="39"/>
      <c r="I711" s="39"/>
      <c r="J711" s="108"/>
      <c r="K711" s="108"/>
      <c r="L711" s="39"/>
      <c r="M711" s="108"/>
      <c r="N711" s="108"/>
    </row>
    <row r="712">
      <c r="A712" s="39"/>
      <c r="B712" s="39"/>
      <c r="C712" s="39"/>
      <c r="D712" s="113"/>
      <c r="E712" s="113"/>
      <c r="F712" s="39"/>
      <c r="G712" s="39"/>
      <c r="H712" s="39"/>
      <c r="I712" s="39"/>
      <c r="J712" s="108"/>
      <c r="K712" s="108"/>
      <c r="L712" s="39"/>
      <c r="M712" s="108"/>
      <c r="N712" s="108"/>
    </row>
    <row r="713">
      <c r="A713" s="39"/>
      <c r="B713" s="39"/>
      <c r="C713" s="39"/>
      <c r="D713" s="113"/>
      <c r="E713" s="113"/>
      <c r="F713" s="39"/>
      <c r="G713" s="39"/>
      <c r="H713" s="39"/>
      <c r="I713" s="39"/>
      <c r="J713" s="108"/>
      <c r="K713" s="108"/>
      <c r="L713" s="39"/>
      <c r="M713" s="108"/>
      <c r="N713" s="108"/>
    </row>
    <row r="714">
      <c r="A714" s="39"/>
      <c r="B714" s="39"/>
      <c r="C714" s="39"/>
      <c r="D714" s="113"/>
      <c r="E714" s="113"/>
      <c r="F714" s="39"/>
      <c r="G714" s="39"/>
      <c r="H714" s="39"/>
      <c r="I714" s="39"/>
      <c r="J714" s="108"/>
      <c r="K714" s="108"/>
      <c r="L714" s="39"/>
      <c r="M714" s="108"/>
      <c r="N714" s="108"/>
    </row>
    <row r="715">
      <c r="A715" s="39"/>
      <c r="B715" s="39"/>
      <c r="C715" s="39"/>
      <c r="D715" s="113"/>
      <c r="E715" s="113"/>
      <c r="F715" s="39"/>
      <c r="G715" s="39"/>
      <c r="H715" s="39"/>
      <c r="I715" s="39"/>
      <c r="J715" s="108"/>
      <c r="K715" s="108"/>
      <c r="L715" s="39"/>
      <c r="M715" s="108"/>
      <c r="N715" s="108"/>
    </row>
    <row r="716">
      <c r="A716" s="39"/>
      <c r="B716" s="39"/>
      <c r="C716" s="39"/>
      <c r="D716" s="113"/>
      <c r="E716" s="113"/>
      <c r="F716" s="39"/>
      <c r="G716" s="39"/>
      <c r="H716" s="39"/>
      <c r="I716" s="39"/>
      <c r="J716" s="108"/>
      <c r="K716" s="108"/>
      <c r="L716" s="39"/>
      <c r="M716" s="108"/>
      <c r="N716" s="108"/>
    </row>
    <row r="717">
      <c r="A717" s="39"/>
      <c r="B717" s="39"/>
      <c r="C717" s="39"/>
      <c r="D717" s="113"/>
      <c r="E717" s="113"/>
      <c r="F717" s="39"/>
      <c r="G717" s="39"/>
      <c r="H717" s="39"/>
      <c r="I717" s="39"/>
      <c r="J717" s="108"/>
      <c r="K717" s="108"/>
      <c r="L717" s="39"/>
      <c r="M717" s="108"/>
      <c r="N717" s="108"/>
    </row>
    <row r="718">
      <c r="A718" s="39"/>
      <c r="B718" s="39"/>
      <c r="C718" s="39"/>
      <c r="D718" s="113"/>
      <c r="E718" s="113"/>
      <c r="F718" s="39"/>
      <c r="G718" s="39"/>
      <c r="H718" s="39"/>
      <c r="I718" s="39"/>
      <c r="J718" s="108"/>
      <c r="K718" s="108"/>
      <c r="L718" s="39"/>
      <c r="M718" s="108"/>
      <c r="N718" s="108"/>
    </row>
    <row r="719">
      <c r="A719" s="39"/>
      <c r="B719" s="39"/>
      <c r="C719" s="39"/>
      <c r="D719" s="113"/>
      <c r="E719" s="113"/>
      <c r="F719" s="39"/>
      <c r="G719" s="39"/>
      <c r="H719" s="39"/>
      <c r="I719" s="39"/>
      <c r="J719" s="108"/>
      <c r="K719" s="108"/>
      <c r="L719" s="39"/>
      <c r="M719" s="108"/>
      <c r="N719" s="108"/>
    </row>
    <row r="720">
      <c r="A720" s="39"/>
      <c r="B720" s="39"/>
      <c r="C720" s="39"/>
      <c r="D720" s="113"/>
      <c r="E720" s="113"/>
      <c r="F720" s="39"/>
      <c r="G720" s="39"/>
      <c r="H720" s="39"/>
      <c r="I720" s="39"/>
      <c r="J720" s="108"/>
      <c r="K720" s="108"/>
      <c r="L720" s="39"/>
      <c r="M720" s="108"/>
      <c r="N720" s="108"/>
    </row>
    <row r="721">
      <c r="A721" s="39"/>
      <c r="B721" s="39"/>
      <c r="C721" s="39"/>
      <c r="D721" s="113"/>
      <c r="E721" s="113"/>
      <c r="F721" s="39"/>
      <c r="G721" s="39"/>
      <c r="H721" s="39"/>
      <c r="I721" s="39"/>
      <c r="J721" s="108"/>
      <c r="K721" s="108"/>
      <c r="L721" s="39"/>
      <c r="M721" s="108"/>
      <c r="N721" s="108"/>
    </row>
    <row r="722">
      <c r="A722" s="39"/>
      <c r="B722" s="39"/>
      <c r="C722" s="39"/>
      <c r="D722" s="113"/>
      <c r="E722" s="113"/>
      <c r="F722" s="39"/>
      <c r="G722" s="39"/>
      <c r="H722" s="39"/>
      <c r="I722" s="39"/>
      <c r="J722" s="108"/>
      <c r="K722" s="108"/>
      <c r="L722" s="39"/>
      <c r="M722" s="108"/>
      <c r="N722" s="108"/>
    </row>
    <row r="723">
      <c r="A723" s="39"/>
      <c r="B723" s="39"/>
      <c r="C723" s="39"/>
      <c r="D723" s="113"/>
      <c r="E723" s="113"/>
      <c r="F723" s="39"/>
      <c r="G723" s="39"/>
      <c r="H723" s="39"/>
      <c r="I723" s="39"/>
      <c r="J723" s="108"/>
      <c r="K723" s="108"/>
      <c r="L723" s="39"/>
      <c r="M723" s="108"/>
      <c r="N723" s="108"/>
    </row>
    <row r="724">
      <c r="A724" s="39"/>
      <c r="B724" s="39"/>
      <c r="C724" s="39"/>
      <c r="D724" s="113"/>
      <c r="E724" s="113"/>
      <c r="F724" s="39"/>
      <c r="G724" s="39"/>
      <c r="H724" s="39"/>
      <c r="I724" s="39"/>
      <c r="J724" s="108"/>
      <c r="K724" s="108"/>
      <c r="L724" s="39"/>
      <c r="M724" s="108"/>
      <c r="N724" s="108"/>
    </row>
    <row r="725">
      <c r="A725" s="39"/>
      <c r="B725" s="39"/>
      <c r="C725" s="39"/>
      <c r="D725" s="113"/>
      <c r="E725" s="113"/>
      <c r="F725" s="39"/>
      <c r="G725" s="39"/>
      <c r="H725" s="39"/>
      <c r="I725" s="39"/>
      <c r="J725" s="108"/>
      <c r="K725" s="108"/>
      <c r="L725" s="39"/>
      <c r="M725" s="108"/>
      <c r="N725" s="108"/>
    </row>
    <row r="726">
      <c r="A726" s="39"/>
      <c r="B726" s="39"/>
      <c r="C726" s="39"/>
      <c r="D726" s="113"/>
      <c r="E726" s="113"/>
      <c r="F726" s="39"/>
      <c r="G726" s="39"/>
      <c r="H726" s="39"/>
      <c r="I726" s="39"/>
      <c r="J726" s="108"/>
      <c r="K726" s="108"/>
      <c r="L726" s="39"/>
      <c r="M726" s="108"/>
      <c r="N726" s="108"/>
    </row>
    <row r="727">
      <c r="A727" s="39"/>
      <c r="B727" s="39"/>
      <c r="C727" s="39"/>
      <c r="D727" s="113"/>
      <c r="E727" s="113"/>
      <c r="F727" s="39"/>
      <c r="G727" s="39"/>
      <c r="H727" s="39"/>
      <c r="I727" s="39"/>
      <c r="J727" s="108"/>
      <c r="K727" s="108"/>
      <c r="L727" s="39"/>
      <c r="M727" s="108"/>
      <c r="N727" s="108"/>
    </row>
    <row r="728">
      <c r="A728" s="39"/>
      <c r="B728" s="39"/>
      <c r="C728" s="39"/>
      <c r="D728" s="113"/>
      <c r="E728" s="113"/>
      <c r="F728" s="39"/>
      <c r="G728" s="39"/>
      <c r="H728" s="39"/>
      <c r="I728" s="39"/>
      <c r="J728" s="108"/>
      <c r="K728" s="108"/>
      <c r="L728" s="39"/>
      <c r="M728" s="108"/>
      <c r="N728" s="108"/>
    </row>
    <row r="729">
      <c r="A729" s="39"/>
      <c r="B729" s="39"/>
      <c r="C729" s="39"/>
      <c r="D729" s="113"/>
      <c r="E729" s="113"/>
      <c r="F729" s="39"/>
      <c r="G729" s="39"/>
      <c r="H729" s="39"/>
      <c r="I729" s="39"/>
      <c r="J729" s="108"/>
      <c r="K729" s="108"/>
      <c r="L729" s="39"/>
      <c r="M729" s="108"/>
      <c r="N729" s="108"/>
    </row>
    <row r="730">
      <c r="A730" s="39"/>
      <c r="B730" s="39"/>
      <c r="C730" s="39"/>
      <c r="D730" s="113"/>
      <c r="E730" s="113"/>
      <c r="F730" s="39"/>
      <c r="G730" s="39"/>
      <c r="H730" s="39"/>
      <c r="I730" s="39"/>
      <c r="J730" s="108"/>
      <c r="K730" s="108"/>
      <c r="L730" s="39"/>
      <c r="M730" s="108"/>
      <c r="N730" s="108"/>
    </row>
    <row r="731">
      <c r="A731" s="39"/>
      <c r="B731" s="39"/>
      <c r="C731" s="39"/>
      <c r="D731" s="113"/>
      <c r="E731" s="113"/>
      <c r="F731" s="39"/>
      <c r="G731" s="39"/>
      <c r="H731" s="39"/>
      <c r="I731" s="39"/>
      <c r="J731" s="108"/>
      <c r="K731" s="108"/>
      <c r="L731" s="39"/>
      <c r="M731" s="108"/>
      <c r="N731" s="108"/>
    </row>
    <row r="732">
      <c r="A732" s="39"/>
      <c r="B732" s="39"/>
      <c r="C732" s="39"/>
      <c r="D732" s="113"/>
      <c r="E732" s="113"/>
      <c r="F732" s="39"/>
      <c r="G732" s="39"/>
      <c r="H732" s="39"/>
      <c r="I732" s="39"/>
      <c r="J732" s="108"/>
      <c r="K732" s="108"/>
      <c r="L732" s="39"/>
      <c r="M732" s="108"/>
      <c r="N732" s="108"/>
    </row>
    <row r="733">
      <c r="A733" s="39"/>
      <c r="B733" s="39"/>
      <c r="C733" s="39"/>
      <c r="D733" s="113"/>
      <c r="E733" s="113"/>
      <c r="F733" s="39"/>
      <c r="G733" s="39"/>
      <c r="H733" s="39"/>
      <c r="I733" s="39"/>
      <c r="J733" s="108"/>
      <c r="K733" s="108"/>
      <c r="L733" s="39"/>
      <c r="M733" s="108"/>
      <c r="N733" s="108"/>
    </row>
    <row r="734">
      <c r="A734" s="39"/>
      <c r="B734" s="39"/>
      <c r="C734" s="39"/>
      <c r="D734" s="113"/>
      <c r="E734" s="113"/>
      <c r="F734" s="39"/>
      <c r="G734" s="39"/>
      <c r="H734" s="39"/>
      <c r="I734" s="39"/>
      <c r="J734" s="108"/>
      <c r="K734" s="108"/>
      <c r="L734" s="39"/>
      <c r="M734" s="108"/>
      <c r="N734" s="108"/>
    </row>
    <row r="735">
      <c r="A735" s="39"/>
      <c r="B735" s="39"/>
      <c r="C735" s="39"/>
      <c r="D735" s="113"/>
      <c r="E735" s="113"/>
      <c r="F735" s="39"/>
      <c r="G735" s="39"/>
      <c r="H735" s="39"/>
      <c r="I735" s="39"/>
      <c r="J735" s="108"/>
      <c r="K735" s="108"/>
      <c r="L735" s="39"/>
      <c r="M735" s="108"/>
      <c r="N735" s="108"/>
    </row>
    <row r="736">
      <c r="A736" s="39"/>
      <c r="B736" s="39"/>
      <c r="C736" s="39"/>
      <c r="D736" s="113"/>
      <c r="E736" s="113"/>
      <c r="F736" s="39"/>
      <c r="G736" s="39"/>
      <c r="H736" s="39"/>
      <c r="I736" s="39"/>
      <c r="J736" s="108"/>
      <c r="K736" s="108"/>
      <c r="L736" s="39"/>
      <c r="M736" s="108"/>
      <c r="N736" s="108"/>
    </row>
    <row r="737">
      <c r="A737" s="39"/>
      <c r="B737" s="39"/>
      <c r="C737" s="39"/>
      <c r="D737" s="113"/>
      <c r="E737" s="113"/>
      <c r="F737" s="39"/>
      <c r="G737" s="39"/>
      <c r="H737" s="39"/>
      <c r="I737" s="39"/>
      <c r="J737" s="108"/>
      <c r="K737" s="108"/>
      <c r="L737" s="39"/>
      <c r="M737" s="108"/>
      <c r="N737" s="108"/>
    </row>
    <row r="738">
      <c r="A738" s="39"/>
      <c r="B738" s="39"/>
      <c r="C738" s="39"/>
      <c r="D738" s="113"/>
      <c r="E738" s="113"/>
      <c r="F738" s="39"/>
      <c r="G738" s="39"/>
      <c r="H738" s="39"/>
      <c r="I738" s="39"/>
      <c r="J738" s="108"/>
      <c r="K738" s="108"/>
      <c r="L738" s="39"/>
      <c r="M738" s="108"/>
      <c r="N738" s="108"/>
    </row>
    <row r="739">
      <c r="A739" s="39"/>
      <c r="B739" s="39"/>
      <c r="C739" s="39"/>
      <c r="D739" s="113"/>
      <c r="E739" s="113"/>
      <c r="F739" s="39"/>
      <c r="G739" s="39"/>
      <c r="H739" s="39"/>
      <c r="I739" s="39"/>
      <c r="J739" s="108"/>
      <c r="K739" s="108"/>
      <c r="L739" s="39"/>
      <c r="M739" s="108"/>
      <c r="N739" s="108"/>
    </row>
    <row r="740">
      <c r="A740" s="39"/>
      <c r="B740" s="39"/>
      <c r="C740" s="39"/>
      <c r="D740" s="113"/>
      <c r="E740" s="113"/>
      <c r="F740" s="39"/>
      <c r="G740" s="39"/>
      <c r="H740" s="39"/>
      <c r="I740" s="39"/>
      <c r="J740" s="108"/>
      <c r="K740" s="108"/>
      <c r="L740" s="39"/>
      <c r="M740" s="108"/>
      <c r="N740" s="108"/>
    </row>
    <row r="741">
      <c r="A741" s="39"/>
      <c r="B741" s="39"/>
      <c r="C741" s="39"/>
      <c r="D741" s="113"/>
      <c r="E741" s="113"/>
      <c r="F741" s="39"/>
      <c r="G741" s="39"/>
      <c r="H741" s="39"/>
      <c r="I741" s="39"/>
      <c r="J741" s="108"/>
      <c r="K741" s="108"/>
      <c r="L741" s="39"/>
      <c r="M741" s="108"/>
      <c r="N741" s="108"/>
    </row>
    <row r="742">
      <c r="A742" s="39"/>
      <c r="B742" s="39"/>
      <c r="C742" s="39"/>
      <c r="D742" s="113"/>
      <c r="E742" s="113"/>
      <c r="F742" s="39"/>
      <c r="G742" s="39"/>
      <c r="H742" s="39"/>
      <c r="I742" s="39"/>
      <c r="J742" s="108"/>
      <c r="K742" s="108"/>
      <c r="L742" s="39"/>
      <c r="M742" s="108"/>
      <c r="N742" s="108"/>
    </row>
    <row r="743">
      <c r="A743" s="39"/>
      <c r="B743" s="39"/>
      <c r="C743" s="39"/>
      <c r="D743" s="113"/>
      <c r="E743" s="113"/>
      <c r="F743" s="39"/>
      <c r="G743" s="39"/>
      <c r="H743" s="39"/>
      <c r="I743" s="39"/>
      <c r="J743" s="108"/>
      <c r="K743" s="108"/>
      <c r="L743" s="39"/>
      <c r="M743" s="108"/>
      <c r="N743" s="108"/>
    </row>
    <row r="744">
      <c r="A744" s="39"/>
      <c r="B744" s="39"/>
      <c r="C744" s="39"/>
      <c r="D744" s="113"/>
      <c r="E744" s="113"/>
      <c r="F744" s="39"/>
      <c r="G744" s="39"/>
      <c r="H744" s="39"/>
      <c r="I744" s="39"/>
      <c r="J744" s="108"/>
      <c r="K744" s="108"/>
      <c r="L744" s="39"/>
      <c r="M744" s="108"/>
      <c r="N744" s="108"/>
    </row>
    <row r="745">
      <c r="A745" s="39"/>
      <c r="B745" s="39"/>
      <c r="C745" s="39"/>
      <c r="D745" s="113"/>
      <c r="E745" s="113"/>
      <c r="F745" s="39"/>
      <c r="G745" s="39"/>
      <c r="H745" s="39"/>
      <c r="I745" s="39"/>
      <c r="J745" s="108"/>
      <c r="K745" s="108"/>
      <c r="L745" s="39"/>
      <c r="M745" s="108"/>
      <c r="N745" s="108"/>
    </row>
    <row r="746">
      <c r="A746" s="39"/>
      <c r="B746" s="39"/>
      <c r="C746" s="39"/>
      <c r="D746" s="113"/>
      <c r="E746" s="113"/>
      <c r="F746" s="39"/>
      <c r="G746" s="39"/>
      <c r="H746" s="39"/>
      <c r="I746" s="39"/>
      <c r="J746" s="108"/>
      <c r="K746" s="108"/>
      <c r="L746" s="39"/>
      <c r="M746" s="108"/>
      <c r="N746" s="108"/>
    </row>
    <row r="747">
      <c r="A747" s="39"/>
      <c r="B747" s="39"/>
      <c r="C747" s="39"/>
      <c r="D747" s="113"/>
      <c r="E747" s="113"/>
      <c r="F747" s="39"/>
      <c r="G747" s="39"/>
      <c r="H747" s="39"/>
      <c r="I747" s="39"/>
      <c r="J747" s="108"/>
      <c r="K747" s="108"/>
      <c r="L747" s="39"/>
      <c r="M747" s="108"/>
      <c r="N747" s="108"/>
    </row>
    <row r="748">
      <c r="A748" s="39"/>
      <c r="B748" s="39"/>
      <c r="C748" s="39"/>
      <c r="D748" s="113"/>
      <c r="E748" s="113"/>
      <c r="F748" s="39"/>
      <c r="G748" s="39"/>
      <c r="H748" s="39"/>
      <c r="I748" s="39"/>
      <c r="J748" s="108"/>
      <c r="K748" s="108"/>
      <c r="L748" s="39"/>
      <c r="M748" s="108"/>
      <c r="N748" s="108"/>
    </row>
    <row r="749">
      <c r="A749" s="39"/>
      <c r="B749" s="39"/>
      <c r="C749" s="39"/>
      <c r="D749" s="113"/>
      <c r="E749" s="113"/>
      <c r="F749" s="39"/>
      <c r="G749" s="39"/>
      <c r="H749" s="39"/>
      <c r="I749" s="39"/>
      <c r="J749" s="108"/>
      <c r="K749" s="108"/>
      <c r="L749" s="39"/>
      <c r="M749" s="108"/>
      <c r="N749" s="108"/>
    </row>
    <row r="750">
      <c r="A750" s="39"/>
      <c r="B750" s="39"/>
      <c r="C750" s="39"/>
      <c r="D750" s="113"/>
      <c r="E750" s="113"/>
      <c r="F750" s="39"/>
      <c r="G750" s="39"/>
      <c r="H750" s="39"/>
      <c r="I750" s="39"/>
      <c r="J750" s="108"/>
      <c r="K750" s="108"/>
      <c r="L750" s="39"/>
      <c r="M750" s="108"/>
      <c r="N750" s="108"/>
    </row>
    <row r="751">
      <c r="A751" s="39"/>
      <c r="B751" s="39"/>
      <c r="C751" s="39"/>
      <c r="D751" s="113"/>
      <c r="E751" s="113"/>
      <c r="F751" s="39"/>
      <c r="G751" s="39"/>
      <c r="H751" s="39"/>
      <c r="I751" s="39"/>
      <c r="J751" s="108"/>
      <c r="K751" s="108"/>
      <c r="L751" s="39"/>
      <c r="M751" s="108"/>
      <c r="N751" s="108"/>
    </row>
    <row r="752">
      <c r="A752" s="39"/>
      <c r="B752" s="39"/>
      <c r="C752" s="39"/>
      <c r="D752" s="113"/>
      <c r="E752" s="113"/>
      <c r="F752" s="39"/>
      <c r="G752" s="39"/>
      <c r="H752" s="39"/>
      <c r="I752" s="39"/>
      <c r="J752" s="108"/>
      <c r="K752" s="108"/>
      <c r="L752" s="39"/>
      <c r="M752" s="108"/>
      <c r="N752" s="108"/>
    </row>
    <row r="753">
      <c r="A753" s="39"/>
      <c r="B753" s="39"/>
      <c r="C753" s="39"/>
      <c r="D753" s="113"/>
      <c r="E753" s="113"/>
      <c r="F753" s="39"/>
      <c r="G753" s="39"/>
      <c r="H753" s="39"/>
      <c r="I753" s="39"/>
      <c r="J753" s="108"/>
      <c r="K753" s="108"/>
      <c r="L753" s="39"/>
      <c r="M753" s="108"/>
      <c r="N753" s="108"/>
    </row>
    <row r="754">
      <c r="A754" s="39"/>
      <c r="B754" s="39"/>
      <c r="C754" s="39"/>
      <c r="D754" s="113"/>
      <c r="E754" s="113"/>
      <c r="F754" s="39"/>
      <c r="G754" s="39"/>
      <c r="H754" s="39"/>
      <c r="I754" s="39"/>
      <c r="J754" s="108"/>
      <c r="K754" s="108"/>
      <c r="L754" s="39"/>
      <c r="M754" s="108"/>
      <c r="N754" s="108"/>
    </row>
    <row r="755">
      <c r="A755" s="39"/>
      <c r="B755" s="39"/>
      <c r="C755" s="39"/>
      <c r="D755" s="113"/>
      <c r="E755" s="113"/>
      <c r="F755" s="39"/>
      <c r="G755" s="39"/>
      <c r="H755" s="39"/>
      <c r="I755" s="39"/>
      <c r="J755" s="108"/>
      <c r="K755" s="108"/>
      <c r="L755" s="39"/>
      <c r="M755" s="108"/>
      <c r="N755" s="108"/>
    </row>
    <row r="756">
      <c r="A756" s="39"/>
      <c r="B756" s="39"/>
      <c r="C756" s="39"/>
      <c r="D756" s="113"/>
      <c r="E756" s="113"/>
      <c r="F756" s="39"/>
      <c r="G756" s="39"/>
      <c r="H756" s="39"/>
      <c r="I756" s="39"/>
      <c r="J756" s="108"/>
      <c r="K756" s="108"/>
      <c r="L756" s="39"/>
      <c r="M756" s="108"/>
      <c r="N756" s="108"/>
    </row>
    <row r="757">
      <c r="A757" s="39"/>
      <c r="B757" s="39"/>
      <c r="C757" s="39"/>
      <c r="D757" s="113"/>
      <c r="E757" s="113"/>
      <c r="F757" s="39"/>
      <c r="G757" s="39"/>
      <c r="H757" s="39"/>
      <c r="I757" s="39"/>
      <c r="J757" s="108"/>
      <c r="K757" s="108"/>
      <c r="L757" s="39"/>
      <c r="M757" s="108"/>
      <c r="N757" s="108"/>
    </row>
    <row r="758">
      <c r="A758" s="39"/>
      <c r="B758" s="39"/>
      <c r="C758" s="39"/>
      <c r="D758" s="113"/>
      <c r="E758" s="113"/>
      <c r="F758" s="39"/>
      <c r="G758" s="39"/>
      <c r="H758" s="39"/>
      <c r="I758" s="39"/>
      <c r="J758" s="108"/>
      <c r="K758" s="108"/>
      <c r="L758" s="39"/>
      <c r="M758" s="108"/>
      <c r="N758" s="108"/>
    </row>
    <row r="759">
      <c r="A759" s="39"/>
      <c r="B759" s="39"/>
      <c r="C759" s="39"/>
      <c r="D759" s="113"/>
      <c r="E759" s="113"/>
      <c r="F759" s="39"/>
      <c r="G759" s="39"/>
      <c r="H759" s="39"/>
      <c r="I759" s="39"/>
      <c r="J759" s="108"/>
      <c r="K759" s="108"/>
      <c r="L759" s="39"/>
      <c r="M759" s="108"/>
      <c r="N759" s="108"/>
    </row>
    <row r="760">
      <c r="A760" s="39"/>
      <c r="B760" s="39"/>
      <c r="C760" s="39"/>
      <c r="D760" s="113"/>
      <c r="E760" s="113"/>
      <c r="F760" s="39"/>
      <c r="G760" s="39"/>
      <c r="H760" s="39"/>
      <c r="I760" s="39"/>
      <c r="J760" s="108"/>
      <c r="K760" s="108"/>
      <c r="L760" s="39"/>
      <c r="M760" s="108"/>
      <c r="N760" s="108"/>
    </row>
    <row r="761">
      <c r="A761" s="39"/>
      <c r="B761" s="39"/>
      <c r="C761" s="39"/>
      <c r="D761" s="113"/>
      <c r="E761" s="113"/>
      <c r="F761" s="39"/>
      <c r="G761" s="39"/>
      <c r="H761" s="39"/>
      <c r="I761" s="39"/>
      <c r="J761" s="108"/>
      <c r="K761" s="108"/>
      <c r="L761" s="39"/>
      <c r="M761" s="108"/>
      <c r="N761" s="108"/>
    </row>
    <row r="762">
      <c r="A762" s="39"/>
      <c r="B762" s="39"/>
      <c r="C762" s="39"/>
      <c r="D762" s="113"/>
      <c r="E762" s="113"/>
      <c r="F762" s="39"/>
      <c r="G762" s="39"/>
      <c r="H762" s="39"/>
      <c r="I762" s="39"/>
      <c r="J762" s="108"/>
      <c r="K762" s="108"/>
      <c r="L762" s="39"/>
      <c r="M762" s="108"/>
      <c r="N762" s="108"/>
    </row>
    <row r="763">
      <c r="A763" s="39"/>
      <c r="B763" s="39"/>
      <c r="C763" s="39"/>
      <c r="D763" s="113"/>
      <c r="E763" s="113"/>
      <c r="F763" s="39"/>
      <c r="G763" s="39"/>
      <c r="H763" s="39"/>
      <c r="I763" s="39"/>
      <c r="J763" s="108"/>
      <c r="K763" s="108"/>
      <c r="L763" s="39"/>
      <c r="M763" s="108"/>
      <c r="N763" s="108"/>
    </row>
    <row r="764">
      <c r="A764" s="39"/>
      <c r="B764" s="39"/>
      <c r="C764" s="39"/>
      <c r="D764" s="113"/>
      <c r="E764" s="113"/>
      <c r="F764" s="39"/>
      <c r="G764" s="39"/>
      <c r="H764" s="39"/>
      <c r="I764" s="39"/>
      <c r="J764" s="108"/>
      <c r="K764" s="108"/>
      <c r="L764" s="39"/>
      <c r="M764" s="108"/>
      <c r="N764" s="108"/>
    </row>
    <row r="765">
      <c r="A765" s="39"/>
      <c r="B765" s="39"/>
      <c r="C765" s="39"/>
      <c r="D765" s="113"/>
      <c r="E765" s="113"/>
      <c r="F765" s="39"/>
      <c r="G765" s="39"/>
      <c r="H765" s="39"/>
      <c r="I765" s="39"/>
      <c r="J765" s="108"/>
      <c r="K765" s="108"/>
      <c r="L765" s="39"/>
      <c r="M765" s="108"/>
      <c r="N765" s="108"/>
    </row>
    <row r="766">
      <c r="A766" s="39"/>
      <c r="B766" s="39"/>
      <c r="C766" s="39"/>
      <c r="D766" s="113"/>
      <c r="E766" s="113"/>
      <c r="F766" s="39"/>
      <c r="G766" s="39"/>
      <c r="H766" s="39"/>
      <c r="I766" s="39"/>
      <c r="J766" s="108"/>
      <c r="K766" s="108"/>
      <c r="L766" s="39"/>
      <c r="M766" s="108"/>
      <c r="N766" s="108"/>
    </row>
    <row r="767">
      <c r="A767" s="39"/>
      <c r="B767" s="39"/>
      <c r="C767" s="39"/>
      <c r="D767" s="113"/>
      <c r="E767" s="113"/>
      <c r="F767" s="39"/>
      <c r="G767" s="39"/>
      <c r="H767" s="39"/>
      <c r="I767" s="39"/>
      <c r="J767" s="108"/>
      <c r="K767" s="108"/>
      <c r="L767" s="39"/>
      <c r="M767" s="108"/>
      <c r="N767" s="108"/>
    </row>
    <row r="768">
      <c r="A768" s="39"/>
      <c r="B768" s="39"/>
      <c r="C768" s="39"/>
      <c r="D768" s="113"/>
      <c r="E768" s="113"/>
      <c r="F768" s="39"/>
      <c r="G768" s="39"/>
      <c r="H768" s="39"/>
      <c r="I768" s="39"/>
      <c r="J768" s="108"/>
      <c r="K768" s="108"/>
      <c r="L768" s="39"/>
      <c r="M768" s="108"/>
      <c r="N768" s="108"/>
    </row>
    <row r="769">
      <c r="A769" s="39"/>
      <c r="B769" s="39"/>
      <c r="C769" s="39"/>
      <c r="D769" s="113"/>
      <c r="E769" s="113"/>
      <c r="F769" s="39"/>
      <c r="G769" s="39"/>
      <c r="H769" s="39"/>
      <c r="I769" s="39"/>
      <c r="J769" s="108"/>
      <c r="K769" s="108"/>
      <c r="L769" s="39"/>
      <c r="M769" s="108"/>
      <c r="N769" s="108"/>
    </row>
    <row r="770">
      <c r="A770" s="39"/>
      <c r="B770" s="39"/>
      <c r="C770" s="39"/>
      <c r="D770" s="113"/>
      <c r="E770" s="113"/>
      <c r="F770" s="39"/>
      <c r="G770" s="39"/>
      <c r="H770" s="39"/>
      <c r="I770" s="39"/>
      <c r="J770" s="108"/>
      <c r="K770" s="108"/>
      <c r="L770" s="39"/>
      <c r="M770" s="108"/>
      <c r="N770" s="108"/>
    </row>
    <row r="771">
      <c r="A771" s="39"/>
      <c r="B771" s="39"/>
      <c r="C771" s="39"/>
      <c r="D771" s="113"/>
      <c r="E771" s="113"/>
      <c r="F771" s="39"/>
      <c r="G771" s="39"/>
      <c r="H771" s="39"/>
      <c r="I771" s="39"/>
      <c r="J771" s="108"/>
      <c r="K771" s="108"/>
      <c r="L771" s="39"/>
      <c r="M771" s="108"/>
      <c r="N771" s="108"/>
    </row>
    <row r="772">
      <c r="A772" s="39"/>
      <c r="B772" s="39"/>
      <c r="C772" s="39"/>
      <c r="D772" s="113"/>
      <c r="E772" s="113"/>
      <c r="F772" s="39"/>
      <c r="G772" s="39"/>
      <c r="H772" s="39"/>
      <c r="I772" s="39"/>
      <c r="J772" s="108"/>
      <c r="K772" s="108"/>
      <c r="L772" s="39"/>
      <c r="M772" s="108"/>
      <c r="N772" s="108"/>
    </row>
    <row r="773">
      <c r="A773" s="39"/>
      <c r="B773" s="39"/>
      <c r="C773" s="39"/>
      <c r="D773" s="113"/>
      <c r="E773" s="113"/>
      <c r="F773" s="39"/>
      <c r="G773" s="39"/>
      <c r="H773" s="39"/>
      <c r="I773" s="39"/>
      <c r="J773" s="108"/>
      <c r="K773" s="108"/>
      <c r="L773" s="39"/>
      <c r="M773" s="108"/>
      <c r="N773" s="108"/>
    </row>
    <row r="774">
      <c r="A774" s="39"/>
      <c r="B774" s="39"/>
      <c r="C774" s="39"/>
      <c r="D774" s="113"/>
      <c r="E774" s="113"/>
      <c r="F774" s="39"/>
      <c r="G774" s="39"/>
      <c r="H774" s="39"/>
      <c r="I774" s="39"/>
      <c r="J774" s="108"/>
      <c r="K774" s="108"/>
      <c r="L774" s="39"/>
      <c r="M774" s="108"/>
      <c r="N774" s="108"/>
    </row>
    <row r="775">
      <c r="A775" s="39"/>
      <c r="B775" s="39"/>
      <c r="C775" s="39"/>
      <c r="D775" s="113"/>
      <c r="E775" s="113"/>
      <c r="F775" s="39"/>
      <c r="G775" s="39"/>
      <c r="H775" s="39"/>
      <c r="I775" s="39"/>
      <c r="J775" s="108"/>
      <c r="K775" s="108"/>
      <c r="L775" s="39"/>
      <c r="M775" s="108"/>
      <c r="N775" s="108"/>
    </row>
    <row r="776">
      <c r="A776" s="39"/>
      <c r="B776" s="39"/>
      <c r="C776" s="39"/>
      <c r="D776" s="113"/>
      <c r="E776" s="113"/>
      <c r="F776" s="39"/>
      <c r="G776" s="39"/>
      <c r="H776" s="39"/>
      <c r="I776" s="39"/>
      <c r="J776" s="108"/>
      <c r="K776" s="108"/>
      <c r="L776" s="39"/>
      <c r="M776" s="108"/>
      <c r="N776" s="108"/>
    </row>
    <row r="777">
      <c r="A777" s="39"/>
      <c r="B777" s="39"/>
      <c r="C777" s="39"/>
      <c r="D777" s="113"/>
      <c r="E777" s="113"/>
      <c r="F777" s="39"/>
      <c r="G777" s="39"/>
      <c r="H777" s="39"/>
      <c r="I777" s="39"/>
      <c r="J777" s="108"/>
      <c r="K777" s="108"/>
      <c r="L777" s="39"/>
      <c r="M777" s="108"/>
      <c r="N777" s="108"/>
    </row>
    <row r="778">
      <c r="A778" s="39"/>
      <c r="B778" s="39"/>
      <c r="C778" s="39"/>
      <c r="D778" s="113"/>
      <c r="E778" s="113"/>
      <c r="F778" s="39"/>
      <c r="G778" s="39"/>
      <c r="H778" s="39"/>
      <c r="I778" s="39"/>
      <c r="J778" s="108"/>
      <c r="K778" s="108"/>
      <c r="L778" s="39"/>
      <c r="M778" s="108"/>
      <c r="N778" s="108"/>
    </row>
    <row r="779">
      <c r="A779" s="39"/>
      <c r="B779" s="39"/>
      <c r="C779" s="39"/>
      <c r="D779" s="113"/>
      <c r="E779" s="113"/>
      <c r="F779" s="39"/>
      <c r="G779" s="39"/>
      <c r="H779" s="39"/>
      <c r="I779" s="39"/>
      <c r="J779" s="108"/>
      <c r="K779" s="108"/>
      <c r="L779" s="39"/>
      <c r="M779" s="108"/>
      <c r="N779" s="108"/>
    </row>
    <row r="780">
      <c r="A780" s="39"/>
      <c r="B780" s="39"/>
      <c r="C780" s="39"/>
      <c r="D780" s="113"/>
      <c r="E780" s="113"/>
      <c r="F780" s="39"/>
      <c r="G780" s="39"/>
      <c r="H780" s="39"/>
      <c r="I780" s="39"/>
      <c r="J780" s="108"/>
      <c r="K780" s="108"/>
      <c r="L780" s="39"/>
      <c r="M780" s="108"/>
      <c r="N780" s="108"/>
    </row>
    <row r="781">
      <c r="A781" s="39"/>
      <c r="B781" s="39"/>
      <c r="C781" s="39"/>
      <c r="D781" s="113"/>
      <c r="E781" s="113"/>
      <c r="F781" s="39"/>
      <c r="G781" s="39"/>
      <c r="H781" s="39"/>
      <c r="I781" s="39"/>
      <c r="J781" s="108"/>
      <c r="K781" s="108"/>
      <c r="L781" s="39"/>
      <c r="M781" s="108"/>
      <c r="N781" s="108"/>
    </row>
    <row r="782">
      <c r="A782" s="39"/>
      <c r="B782" s="39"/>
      <c r="C782" s="39"/>
      <c r="D782" s="113"/>
      <c r="E782" s="113"/>
      <c r="F782" s="39"/>
      <c r="G782" s="39"/>
      <c r="H782" s="39"/>
      <c r="I782" s="39"/>
      <c r="J782" s="108"/>
      <c r="K782" s="108"/>
      <c r="L782" s="39"/>
      <c r="M782" s="108"/>
      <c r="N782" s="108"/>
    </row>
    <row r="783">
      <c r="A783" s="39"/>
      <c r="B783" s="39"/>
      <c r="C783" s="39"/>
      <c r="D783" s="113"/>
      <c r="E783" s="113"/>
      <c r="F783" s="39"/>
      <c r="G783" s="39"/>
      <c r="H783" s="39"/>
      <c r="I783" s="39"/>
      <c r="J783" s="108"/>
      <c r="K783" s="108"/>
      <c r="L783" s="39"/>
      <c r="M783" s="108"/>
      <c r="N783" s="108"/>
    </row>
    <row r="784">
      <c r="A784" s="39"/>
      <c r="B784" s="39"/>
      <c r="C784" s="39"/>
      <c r="D784" s="113"/>
      <c r="E784" s="113"/>
      <c r="F784" s="39"/>
      <c r="G784" s="39"/>
      <c r="H784" s="39"/>
      <c r="I784" s="39"/>
      <c r="J784" s="108"/>
      <c r="K784" s="108"/>
      <c r="L784" s="39"/>
      <c r="M784" s="108"/>
      <c r="N784" s="108"/>
    </row>
    <row r="785">
      <c r="A785" s="39"/>
      <c r="B785" s="39"/>
      <c r="C785" s="39"/>
      <c r="D785" s="113"/>
      <c r="E785" s="113"/>
      <c r="F785" s="39"/>
      <c r="G785" s="39"/>
      <c r="H785" s="39"/>
      <c r="I785" s="39"/>
      <c r="J785" s="108"/>
      <c r="K785" s="108"/>
      <c r="L785" s="39"/>
      <c r="M785" s="108"/>
      <c r="N785" s="108"/>
    </row>
    <row r="786">
      <c r="A786" s="39"/>
      <c r="B786" s="39"/>
      <c r="C786" s="39"/>
      <c r="D786" s="113"/>
      <c r="E786" s="113"/>
      <c r="F786" s="39"/>
      <c r="G786" s="39"/>
      <c r="H786" s="39"/>
      <c r="I786" s="39"/>
      <c r="J786" s="108"/>
      <c r="K786" s="108"/>
      <c r="L786" s="39"/>
      <c r="M786" s="108"/>
      <c r="N786" s="108"/>
    </row>
    <row r="787">
      <c r="A787" s="39"/>
      <c r="B787" s="39"/>
      <c r="C787" s="39"/>
      <c r="D787" s="113"/>
      <c r="E787" s="113"/>
      <c r="F787" s="39"/>
      <c r="G787" s="39"/>
      <c r="H787" s="39"/>
      <c r="I787" s="39"/>
      <c r="J787" s="108"/>
      <c r="K787" s="108"/>
      <c r="L787" s="39"/>
      <c r="M787" s="108"/>
      <c r="N787" s="108"/>
    </row>
    <row r="788">
      <c r="A788" s="39"/>
      <c r="B788" s="39"/>
      <c r="C788" s="39"/>
      <c r="D788" s="113"/>
      <c r="E788" s="113"/>
      <c r="F788" s="39"/>
      <c r="G788" s="39"/>
      <c r="H788" s="39"/>
      <c r="I788" s="39"/>
      <c r="J788" s="108"/>
      <c r="K788" s="108"/>
      <c r="L788" s="39"/>
      <c r="M788" s="108"/>
      <c r="N788" s="108"/>
    </row>
    <row r="789">
      <c r="A789" s="39"/>
      <c r="B789" s="39"/>
      <c r="C789" s="39"/>
      <c r="D789" s="113"/>
      <c r="E789" s="113"/>
      <c r="F789" s="39"/>
      <c r="G789" s="39"/>
      <c r="H789" s="39"/>
      <c r="I789" s="39"/>
      <c r="J789" s="108"/>
      <c r="K789" s="108"/>
      <c r="L789" s="39"/>
      <c r="M789" s="108"/>
      <c r="N789" s="108"/>
    </row>
    <row r="790">
      <c r="A790" s="39"/>
      <c r="B790" s="39"/>
      <c r="C790" s="39"/>
      <c r="D790" s="113"/>
      <c r="E790" s="113"/>
      <c r="F790" s="39"/>
      <c r="G790" s="39"/>
      <c r="H790" s="39"/>
      <c r="I790" s="39"/>
      <c r="J790" s="108"/>
      <c r="K790" s="108"/>
      <c r="L790" s="39"/>
      <c r="M790" s="108"/>
      <c r="N790" s="108"/>
    </row>
    <row r="791">
      <c r="A791" s="39"/>
      <c r="B791" s="39"/>
      <c r="C791" s="39"/>
      <c r="D791" s="113"/>
      <c r="E791" s="113"/>
      <c r="F791" s="39"/>
      <c r="G791" s="39"/>
      <c r="H791" s="39"/>
      <c r="I791" s="39"/>
      <c r="J791" s="108"/>
      <c r="K791" s="108"/>
      <c r="L791" s="39"/>
      <c r="M791" s="108"/>
      <c r="N791" s="108"/>
    </row>
    <row r="792">
      <c r="A792" s="39"/>
      <c r="B792" s="39"/>
      <c r="C792" s="39"/>
      <c r="D792" s="113"/>
      <c r="E792" s="113"/>
      <c r="F792" s="39"/>
      <c r="G792" s="39"/>
      <c r="H792" s="39"/>
      <c r="I792" s="39"/>
      <c r="J792" s="108"/>
      <c r="K792" s="108"/>
      <c r="L792" s="39"/>
      <c r="M792" s="108"/>
      <c r="N792" s="108"/>
    </row>
    <row r="793">
      <c r="A793" s="39"/>
      <c r="B793" s="39"/>
      <c r="C793" s="39"/>
      <c r="D793" s="113"/>
      <c r="E793" s="113"/>
      <c r="F793" s="39"/>
      <c r="G793" s="39"/>
      <c r="H793" s="39"/>
      <c r="I793" s="39"/>
      <c r="J793" s="108"/>
      <c r="K793" s="108"/>
      <c r="L793" s="39"/>
      <c r="M793" s="108"/>
      <c r="N793" s="108"/>
    </row>
    <row r="794">
      <c r="A794" s="39"/>
      <c r="B794" s="39"/>
      <c r="C794" s="39"/>
      <c r="D794" s="113"/>
      <c r="E794" s="113"/>
      <c r="F794" s="39"/>
      <c r="G794" s="39"/>
      <c r="H794" s="39"/>
      <c r="I794" s="39"/>
      <c r="J794" s="108"/>
      <c r="K794" s="108"/>
      <c r="L794" s="39"/>
      <c r="M794" s="108"/>
      <c r="N794" s="108"/>
    </row>
    <row r="795">
      <c r="A795" s="39"/>
      <c r="B795" s="39"/>
      <c r="C795" s="39"/>
      <c r="D795" s="113"/>
      <c r="E795" s="113"/>
      <c r="F795" s="39"/>
      <c r="G795" s="39"/>
      <c r="H795" s="39"/>
      <c r="I795" s="39"/>
      <c r="J795" s="108"/>
      <c r="K795" s="108"/>
      <c r="L795" s="39"/>
      <c r="M795" s="108"/>
      <c r="N795" s="108"/>
    </row>
    <row r="796">
      <c r="A796" s="39"/>
      <c r="B796" s="39"/>
      <c r="C796" s="39"/>
      <c r="D796" s="113"/>
      <c r="E796" s="113"/>
      <c r="F796" s="39"/>
      <c r="G796" s="39"/>
      <c r="H796" s="39"/>
      <c r="I796" s="39"/>
      <c r="J796" s="108"/>
      <c r="K796" s="108"/>
      <c r="L796" s="39"/>
      <c r="M796" s="108"/>
      <c r="N796" s="108"/>
    </row>
    <row r="797">
      <c r="A797" s="39"/>
      <c r="B797" s="39"/>
      <c r="C797" s="39"/>
      <c r="D797" s="113"/>
      <c r="E797" s="113"/>
      <c r="F797" s="39"/>
      <c r="G797" s="39"/>
      <c r="H797" s="39"/>
      <c r="I797" s="39"/>
      <c r="J797" s="108"/>
      <c r="K797" s="108"/>
      <c r="L797" s="39"/>
      <c r="M797" s="108"/>
      <c r="N797" s="108"/>
    </row>
    <row r="798">
      <c r="A798" s="39"/>
      <c r="B798" s="39"/>
      <c r="C798" s="39"/>
      <c r="D798" s="113"/>
      <c r="E798" s="113"/>
      <c r="F798" s="39"/>
      <c r="G798" s="39"/>
      <c r="H798" s="39"/>
      <c r="I798" s="39"/>
      <c r="J798" s="108"/>
      <c r="K798" s="108"/>
      <c r="L798" s="39"/>
      <c r="M798" s="108"/>
      <c r="N798" s="108"/>
    </row>
    <row r="799">
      <c r="A799" s="39"/>
      <c r="B799" s="39"/>
      <c r="C799" s="39"/>
      <c r="D799" s="113"/>
      <c r="E799" s="113"/>
      <c r="F799" s="39"/>
      <c r="G799" s="39"/>
      <c r="H799" s="39"/>
      <c r="I799" s="39"/>
      <c r="J799" s="108"/>
      <c r="K799" s="108"/>
      <c r="L799" s="39"/>
      <c r="M799" s="108"/>
      <c r="N799" s="108"/>
    </row>
    <row r="800">
      <c r="A800" s="39"/>
      <c r="B800" s="39"/>
      <c r="C800" s="39"/>
      <c r="D800" s="113"/>
      <c r="E800" s="113"/>
      <c r="F800" s="39"/>
      <c r="G800" s="39"/>
      <c r="H800" s="39"/>
      <c r="I800" s="39"/>
      <c r="J800" s="108"/>
      <c r="K800" s="108"/>
      <c r="L800" s="39"/>
      <c r="M800" s="108"/>
      <c r="N800" s="108"/>
    </row>
    <row r="801">
      <c r="A801" s="39"/>
      <c r="B801" s="39"/>
      <c r="C801" s="39"/>
      <c r="D801" s="113"/>
      <c r="E801" s="113"/>
      <c r="F801" s="39"/>
      <c r="G801" s="39"/>
      <c r="H801" s="39"/>
      <c r="I801" s="39"/>
      <c r="J801" s="108"/>
      <c r="K801" s="108"/>
      <c r="L801" s="39"/>
      <c r="M801" s="108"/>
      <c r="N801" s="108"/>
    </row>
    <row r="802">
      <c r="A802" s="39"/>
      <c r="B802" s="39"/>
      <c r="C802" s="39"/>
      <c r="D802" s="113"/>
      <c r="E802" s="113"/>
      <c r="F802" s="39"/>
      <c r="G802" s="39"/>
      <c r="H802" s="39"/>
      <c r="I802" s="39"/>
      <c r="J802" s="108"/>
      <c r="K802" s="108"/>
      <c r="L802" s="39"/>
      <c r="M802" s="108"/>
      <c r="N802" s="108"/>
    </row>
    <row r="803">
      <c r="A803" s="39"/>
      <c r="B803" s="39"/>
      <c r="C803" s="39"/>
      <c r="D803" s="113"/>
      <c r="E803" s="113"/>
      <c r="F803" s="39"/>
      <c r="G803" s="39"/>
      <c r="H803" s="39"/>
      <c r="I803" s="39"/>
      <c r="J803" s="108"/>
      <c r="K803" s="108"/>
      <c r="L803" s="39"/>
      <c r="M803" s="108"/>
      <c r="N803" s="108"/>
    </row>
    <row r="804">
      <c r="A804" s="39"/>
      <c r="B804" s="39"/>
      <c r="C804" s="39"/>
      <c r="D804" s="113"/>
      <c r="E804" s="113"/>
      <c r="F804" s="39"/>
      <c r="G804" s="39"/>
      <c r="H804" s="39"/>
      <c r="I804" s="39"/>
      <c r="J804" s="108"/>
      <c r="K804" s="108"/>
      <c r="L804" s="39"/>
      <c r="M804" s="108"/>
      <c r="N804" s="108"/>
    </row>
    <row r="805">
      <c r="A805" s="39"/>
      <c r="B805" s="39"/>
      <c r="C805" s="39"/>
      <c r="D805" s="113"/>
      <c r="E805" s="113"/>
      <c r="F805" s="39"/>
      <c r="G805" s="39"/>
      <c r="H805" s="39"/>
      <c r="I805" s="39"/>
      <c r="J805" s="108"/>
      <c r="K805" s="108"/>
      <c r="L805" s="39"/>
      <c r="M805" s="108"/>
      <c r="N805" s="108"/>
    </row>
    <row r="806">
      <c r="A806" s="39"/>
      <c r="B806" s="39"/>
      <c r="C806" s="39"/>
      <c r="D806" s="113"/>
      <c r="E806" s="113"/>
      <c r="F806" s="39"/>
      <c r="G806" s="39"/>
      <c r="H806" s="39"/>
      <c r="I806" s="39"/>
      <c r="J806" s="108"/>
      <c r="K806" s="108"/>
      <c r="L806" s="39"/>
      <c r="M806" s="108"/>
      <c r="N806" s="108"/>
    </row>
    <row r="807">
      <c r="A807" s="39"/>
      <c r="B807" s="39"/>
      <c r="C807" s="39"/>
      <c r="D807" s="113"/>
      <c r="E807" s="113"/>
      <c r="F807" s="39"/>
      <c r="G807" s="39"/>
      <c r="H807" s="39"/>
      <c r="I807" s="39"/>
      <c r="J807" s="108"/>
      <c r="K807" s="108"/>
      <c r="L807" s="39"/>
      <c r="M807" s="108"/>
      <c r="N807" s="108"/>
    </row>
    <row r="808">
      <c r="A808" s="39"/>
      <c r="B808" s="39"/>
      <c r="C808" s="39"/>
      <c r="D808" s="113"/>
      <c r="E808" s="113"/>
      <c r="F808" s="39"/>
      <c r="G808" s="39"/>
      <c r="H808" s="39"/>
      <c r="I808" s="39"/>
      <c r="J808" s="108"/>
      <c r="K808" s="108"/>
      <c r="L808" s="39"/>
      <c r="M808" s="108"/>
      <c r="N808" s="108"/>
    </row>
    <row r="809">
      <c r="A809" s="39"/>
      <c r="B809" s="39"/>
      <c r="C809" s="39"/>
      <c r="D809" s="113"/>
      <c r="E809" s="113"/>
      <c r="F809" s="39"/>
      <c r="G809" s="39"/>
      <c r="H809" s="39"/>
      <c r="I809" s="39"/>
      <c r="J809" s="108"/>
      <c r="K809" s="108"/>
      <c r="L809" s="39"/>
      <c r="M809" s="108"/>
      <c r="N809" s="108"/>
    </row>
    <row r="810">
      <c r="A810" s="39"/>
      <c r="B810" s="39"/>
      <c r="C810" s="39"/>
      <c r="D810" s="113"/>
      <c r="E810" s="113"/>
      <c r="F810" s="39"/>
      <c r="G810" s="39"/>
      <c r="H810" s="39"/>
      <c r="I810" s="39"/>
      <c r="J810" s="108"/>
      <c r="K810" s="108"/>
      <c r="L810" s="39"/>
      <c r="M810" s="108"/>
      <c r="N810" s="108"/>
    </row>
    <row r="811">
      <c r="A811" s="39"/>
      <c r="B811" s="39"/>
      <c r="C811" s="39"/>
      <c r="D811" s="113"/>
      <c r="E811" s="113"/>
      <c r="F811" s="39"/>
      <c r="G811" s="39"/>
      <c r="H811" s="39"/>
      <c r="I811" s="39"/>
      <c r="J811" s="108"/>
      <c r="K811" s="108"/>
      <c r="L811" s="39"/>
      <c r="M811" s="108"/>
      <c r="N811" s="108"/>
    </row>
    <row r="812">
      <c r="A812" s="39"/>
      <c r="B812" s="39"/>
      <c r="C812" s="39"/>
      <c r="D812" s="113"/>
      <c r="E812" s="113"/>
      <c r="F812" s="39"/>
      <c r="G812" s="39"/>
      <c r="H812" s="39"/>
      <c r="I812" s="39"/>
      <c r="J812" s="108"/>
      <c r="K812" s="108"/>
      <c r="L812" s="39"/>
      <c r="M812" s="108"/>
      <c r="N812" s="108"/>
    </row>
    <row r="813">
      <c r="A813" s="39"/>
      <c r="B813" s="39"/>
      <c r="C813" s="39"/>
      <c r="D813" s="113"/>
      <c r="E813" s="113"/>
      <c r="F813" s="39"/>
      <c r="G813" s="39"/>
      <c r="H813" s="39"/>
      <c r="I813" s="39"/>
      <c r="J813" s="108"/>
      <c r="K813" s="108"/>
      <c r="L813" s="39"/>
      <c r="M813" s="108"/>
      <c r="N813" s="108"/>
    </row>
    <row r="814">
      <c r="A814" s="39"/>
      <c r="B814" s="39"/>
      <c r="C814" s="39"/>
      <c r="D814" s="113"/>
      <c r="E814" s="113"/>
      <c r="F814" s="39"/>
      <c r="G814" s="39"/>
      <c r="H814" s="39"/>
      <c r="I814" s="39"/>
      <c r="J814" s="108"/>
      <c r="K814" s="108"/>
      <c r="L814" s="39"/>
      <c r="M814" s="108"/>
      <c r="N814" s="108"/>
    </row>
    <row r="815">
      <c r="A815" s="39"/>
      <c r="B815" s="39"/>
      <c r="C815" s="39"/>
      <c r="D815" s="113"/>
      <c r="E815" s="113"/>
      <c r="F815" s="39"/>
      <c r="G815" s="39"/>
      <c r="H815" s="39"/>
      <c r="I815" s="39"/>
      <c r="J815" s="108"/>
      <c r="K815" s="108"/>
      <c r="L815" s="39"/>
      <c r="M815" s="108"/>
      <c r="N815" s="108"/>
    </row>
    <row r="816">
      <c r="A816" s="39"/>
      <c r="B816" s="39"/>
      <c r="C816" s="39"/>
      <c r="D816" s="113"/>
      <c r="E816" s="113"/>
      <c r="F816" s="39"/>
      <c r="G816" s="39"/>
      <c r="H816" s="39"/>
      <c r="I816" s="39"/>
      <c r="J816" s="108"/>
      <c r="K816" s="108"/>
      <c r="L816" s="39"/>
      <c r="M816" s="108"/>
      <c r="N816" s="108"/>
    </row>
    <row r="817">
      <c r="A817" s="39"/>
      <c r="B817" s="39"/>
      <c r="C817" s="39"/>
      <c r="D817" s="113"/>
      <c r="E817" s="113"/>
      <c r="F817" s="39"/>
      <c r="G817" s="39"/>
      <c r="H817" s="39"/>
      <c r="I817" s="39"/>
      <c r="J817" s="108"/>
      <c r="K817" s="108"/>
      <c r="L817" s="39"/>
      <c r="M817" s="108"/>
      <c r="N817" s="108"/>
    </row>
    <row r="818">
      <c r="A818" s="39"/>
      <c r="B818" s="39"/>
      <c r="C818" s="39"/>
      <c r="D818" s="113"/>
      <c r="E818" s="113"/>
      <c r="F818" s="39"/>
      <c r="G818" s="39"/>
      <c r="H818" s="39"/>
      <c r="I818" s="39"/>
      <c r="J818" s="108"/>
      <c r="K818" s="108"/>
      <c r="L818" s="39"/>
      <c r="M818" s="108"/>
      <c r="N818" s="108"/>
    </row>
    <row r="819">
      <c r="A819" s="39"/>
      <c r="B819" s="39"/>
      <c r="C819" s="39"/>
      <c r="D819" s="113"/>
      <c r="E819" s="113"/>
      <c r="F819" s="39"/>
      <c r="G819" s="39"/>
      <c r="H819" s="39"/>
      <c r="I819" s="39"/>
      <c r="J819" s="108"/>
      <c r="K819" s="108"/>
      <c r="L819" s="39"/>
      <c r="M819" s="108"/>
      <c r="N819" s="108"/>
    </row>
    <row r="820">
      <c r="A820" s="39"/>
      <c r="B820" s="39"/>
      <c r="C820" s="39"/>
      <c r="D820" s="113"/>
      <c r="E820" s="113"/>
      <c r="F820" s="39"/>
      <c r="G820" s="39"/>
      <c r="H820" s="39"/>
      <c r="I820" s="39"/>
      <c r="J820" s="108"/>
      <c r="K820" s="108"/>
      <c r="L820" s="39"/>
      <c r="M820" s="108"/>
      <c r="N820" s="108"/>
    </row>
    <row r="821">
      <c r="A821" s="39"/>
      <c r="B821" s="39"/>
      <c r="C821" s="39"/>
      <c r="D821" s="113"/>
      <c r="E821" s="113"/>
      <c r="F821" s="39"/>
      <c r="G821" s="39"/>
      <c r="H821" s="39"/>
      <c r="I821" s="39"/>
      <c r="J821" s="108"/>
      <c r="K821" s="108"/>
      <c r="L821" s="39"/>
      <c r="M821" s="108"/>
      <c r="N821" s="108"/>
    </row>
    <row r="822">
      <c r="A822" s="39"/>
      <c r="B822" s="39"/>
      <c r="C822" s="39"/>
      <c r="D822" s="113"/>
      <c r="E822" s="113"/>
      <c r="F822" s="39"/>
      <c r="G822" s="39"/>
      <c r="H822" s="39"/>
      <c r="I822" s="39"/>
      <c r="J822" s="108"/>
      <c r="K822" s="108"/>
      <c r="L822" s="39"/>
      <c r="M822" s="108"/>
      <c r="N822" s="108"/>
    </row>
    <row r="823">
      <c r="A823" s="39"/>
      <c r="B823" s="39"/>
      <c r="C823" s="39"/>
      <c r="D823" s="113"/>
      <c r="E823" s="113"/>
      <c r="F823" s="39"/>
      <c r="G823" s="39"/>
      <c r="H823" s="39"/>
      <c r="I823" s="39"/>
      <c r="J823" s="108"/>
      <c r="K823" s="108"/>
      <c r="L823" s="39"/>
      <c r="M823" s="108"/>
      <c r="N823" s="108"/>
    </row>
    <row r="824">
      <c r="A824" s="39"/>
      <c r="B824" s="39"/>
      <c r="C824" s="39"/>
      <c r="D824" s="113"/>
      <c r="E824" s="113"/>
      <c r="F824" s="39"/>
      <c r="G824" s="39"/>
      <c r="H824" s="39"/>
      <c r="I824" s="39"/>
      <c r="J824" s="108"/>
      <c r="K824" s="108"/>
      <c r="L824" s="39"/>
      <c r="M824" s="108"/>
      <c r="N824" s="108"/>
    </row>
    <row r="825">
      <c r="A825" s="39"/>
      <c r="B825" s="39"/>
      <c r="C825" s="39"/>
      <c r="D825" s="113"/>
      <c r="E825" s="113"/>
      <c r="F825" s="39"/>
      <c r="G825" s="39"/>
      <c r="H825" s="39"/>
      <c r="I825" s="39"/>
      <c r="J825" s="108"/>
      <c r="K825" s="108"/>
      <c r="L825" s="39"/>
      <c r="M825" s="108"/>
      <c r="N825" s="108"/>
    </row>
    <row r="826">
      <c r="A826" s="39"/>
      <c r="B826" s="39"/>
      <c r="C826" s="39"/>
      <c r="D826" s="113"/>
      <c r="E826" s="113"/>
      <c r="F826" s="39"/>
      <c r="G826" s="39"/>
      <c r="H826" s="39"/>
      <c r="I826" s="39"/>
      <c r="J826" s="108"/>
      <c r="K826" s="108"/>
      <c r="L826" s="39"/>
      <c r="M826" s="108"/>
      <c r="N826" s="108"/>
    </row>
    <row r="827">
      <c r="A827" s="39"/>
      <c r="B827" s="39"/>
      <c r="C827" s="39"/>
      <c r="D827" s="113"/>
      <c r="E827" s="113"/>
      <c r="F827" s="39"/>
      <c r="G827" s="39"/>
      <c r="H827" s="39"/>
      <c r="I827" s="39"/>
      <c r="J827" s="108"/>
      <c r="K827" s="108"/>
      <c r="L827" s="39"/>
      <c r="M827" s="108"/>
      <c r="N827" s="108"/>
    </row>
    <row r="828">
      <c r="A828" s="39"/>
      <c r="B828" s="39"/>
      <c r="C828" s="39"/>
      <c r="D828" s="113"/>
      <c r="E828" s="113"/>
      <c r="F828" s="39"/>
      <c r="G828" s="39"/>
      <c r="H828" s="39"/>
      <c r="I828" s="39"/>
      <c r="J828" s="108"/>
      <c r="K828" s="108"/>
      <c r="L828" s="39"/>
      <c r="M828" s="108"/>
      <c r="N828" s="108"/>
    </row>
    <row r="829">
      <c r="A829" s="39"/>
      <c r="B829" s="39"/>
      <c r="C829" s="39"/>
      <c r="D829" s="113"/>
      <c r="E829" s="113"/>
      <c r="F829" s="39"/>
      <c r="G829" s="39"/>
      <c r="H829" s="39"/>
      <c r="I829" s="39"/>
      <c r="J829" s="108"/>
      <c r="K829" s="108"/>
      <c r="L829" s="39"/>
      <c r="M829" s="108"/>
      <c r="N829" s="108"/>
    </row>
    <row r="830">
      <c r="A830" s="39"/>
      <c r="B830" s="39"/>
      <c r="C830" s="39"/>
      <c r="D830" s="113"/>
      <c r="E830" s="113"/>
      <c r="F830" s="39"/>
      <c r="G830" s="39"/>
      <c r="H830" s="39"/>
      <c r="I830" s="39"/>
      <c r="J830" s="108"/>
      <c r="K830" s="108"/>
      <c r="L830" s="39"/>
      <c r="M830" s="108"/>
      <c r="N830" s="108"/>
    </row>
    <row r="831">
      <c r="A831" s="39"/>
      <c r="B831" s="39"/>
      <c r="C831" s="39"/>
      <c r="D831" s="113"/>
      <c r="E831" s="113"/>
      <c r="F831" s="39"/>
      <c r="G831" s="39"/>
      <c r="H831" s="39"/>
      <c r="I831" s="39"/>
      <c r="J831" s="108"/>
      <c r="K831" s="108"/>
      <c r="L831" s="39"/>
      <c r="M831" s="108"/>
      <c r="N831" s="108"/>
    </row>
    <row r="832">
      <c r="A832" s="39"/>
      <c r="B832" s="39"/>
      <c r="C832" s="39"/>
      <c r="D832" s="113"/>
      <c r="E832" s="113"/>
      <c r="F832" s="39"/>
      <c r="G832" s="39"/>
      <c r="H832" s="39"/>
      <c r="I832" s="39"/>
      <c r="J832" s="108"/>
      <c r="K832" s="108"/>
      <c r="L832" s="39"/>
      <c r="M832" s="108"/>
      <c r="N832" s="108"/>
    </row>
    <row r="833">
      <c r="A833" s="39"/>
      <c r="B833" s="39"/>
      <c r="C833" s="39"/>
      <c r="D833" s="113"/>
      <c r="E833" s="113"/>
      <c r="F833" s="39"/>
      <c r="G833" s="39"/>
      <c r="H833" s="39"/>
      <c r="I833" s="39"/>
      <c r="J833" s="108"/>
      <c r="K833" s="108"/>
      <c r="L833" s="39"/>
      <c r="M833" s="108"/>
      <c r="N833" s="108"/>
    </row>
    <row r="834">
      <c r="A834" s="39"/>
      <c r="B834" s="39"/>
      <c r="C834" s="39"/>
      <c r="D834" s="113"/>
      <c r="E834" s="113"/>
      <c r="F834" s="39"/>
      <c r="G834" s="39"/>
      <c r="H834" s="39"/>
      <c r="I834" s="39"/>
      <c r="J834" s="108"/>
      <c r="K834" s="108"/>
      <c r="L834" s="39"/>
      <c r="M834" s="108"/>
      <c r="N834" s="108"/>
    </row>
    <row r="835">
      <c r="A835" s="39"/>
      <c r="B835" s="39"/>
      <c r="C835" s="39"/>
      <c r="D835" s="113"/>
      <c r="E835" s="113"/>
      <c r="F835" s="39"/>
      <c r="G835" s="39"/>
      <c r="H835" s="39"/>
      <c r="I835" s="39"/>
      <c r="J835" s="108"/>
      <c r="K835" s="108"/>
      <c r="L835" s="39"/>
      <c r="M835" s="108"/>
      <c r="N835" s="108"/>
    </row>
    <row r="836">
      <c r="A836" s="39"/>
      <c r="B836" s="39"/>
      <c r="C836" s="39"/>
      <c r="D836" s="113"/>
      <c r="E836" s="113"/>
      <c r="F836" s="39"/>
      <c r="G836" s="39"/>
      <c r="H836" s="39"/>
      <c r="I836" s="39"/>
      <c r="J836" s="108"/>
      <c r="K836" s="108"/>
      <c r="L836" s="39"/>
      <c r="M836" s="108"/>
      <c r="N836" s="108"/>
    </row>
    <row r="837">
      <c r="A837" s="39"/>
      <c r="B837" s="39"/>
      <c r="C837" s="39"/>
      <c r="D837" s="113"/>
      <c r="E837" s="113"/>
      <c r="F837" s="39"/>
      <c r="G837" s="39"/>
      <c r="H837" s="39"/>
      <c r="I837" s="39"/>
      <c r="J837" s="108"/>
      <c r="K837" s="108"/>
      <c r="L837" s="39"/>
      <c r="M837" s="108"/>
      <c r="N837" s="108"/>
    </row>
    <row r="838">
      <c r="A838" s="39"/>
      <c r="B838" s="39"/>
      <c r="C838" s="39"/>
      <c r="D838" s="113"/>
      <c r="E838" s="113"/>
      <c r="F838" s="39"/>
      <c r="G838" s="39"/>
      <c r="H838" s="39"/>
      <c r="I838" s="39"/>
      <c r="J838" s="108"/>
      <c r="K838" s="108"/>
      <c r="L838" s="39"/>
      <c r="M838" s="108"/>
      <c r="N838" s="108"/>
    </row>
    <row r="839">
      <c r="A839" s="39"/>
      <c r="B839" s="39"/>
      <c r="C839" s="39"/>
      <c r="D839" s="113"/>
      <c r="E839" s="113"/>
      <c r="F839" s="39"/>
      <c r="G839" s="39"/>
      <c r="H839" s="39"/>
      <c r="I839" s="39"/>
      <c r="J839" s="108"/>
      <c r="K839" s="108"/>
      <c r="L839" s="39"/>
      <c r="M839" s="108"/>
      <c r="N839" s="108"/>
    </row>
    <row r="840">
      <c r="A840" s="39"/>
      <c r="B840" s="39"/>
      <c r="C840" s="39"/>
      <c r="D840" s="113"/>
      <c r="E840" s="113"/>
      <c r="F840" s="39"/>
      <c r="G840" s="39"/>
      <c r="H840" s="39"/>
      <c r="I840" s="39"/>
      <c r="J840" s="108"/>
      <c r="K840" s="108"/>
      <c r="L840" s="39"/>
      <c r="M840" s="108"/>
      <c r="N840" s="108"/>
    </row>
    <row r="841">
      <c r="A841" s="39"/>
      <c r="B841" s="39"/>
      <c r="C841" s="39"/>
      <c r="D841" s="113"/>
      <c r="E841" s="113"/>
      <c r="F841" s="39"/>
      <c r="G841" s="39"/>
      <c r="H841" s="39"/>
      <c r="I841" s="39"/>
      <c r="J841" s="108"/>
      <c r="K841" s="108"/>
      <c r="L841" s="39"/>
      <c r="M841" s="108"/>
      <c r="N841" s="108"/>
    </row>
    <row r="842">
      <c r="A842" s="39"/>
      <c r="B842" s="39"/>
      <c r="C842" s="39"/>
      <c r="D842" s="113"/>
      <c r="E842" s="113"/>
      <c r="F842" s="39"/>
      <c r="G842" s="39"/>
      <c r="H842" s="39"/>
      <c r="I842" s="39"/>
      <c r="J842" s="108"/>
      <c r="K842" s="108"/>
      <c r="L842" s="39"/>
      <c r="M842" s="108"/>
      <c r="N842" s="108"/>
    </row>
    <row r="843">
      <c r="A843" s="39"/>
      <c r="B843" s="39"/>
      <c r="C843" s="39"/>
      <c r="D843" s="113"/>
      <c r="E843" s="113"/>
      <c r="F843" s="39"/>
      <c r="G843" s="39"/>
      <c r="H843" s="39"/>
      <c r="I843" s="39"/>
      <c r="J843" s="108"/>
      <c r="K843" s="108"/>
      <c r="L843" s="39"/>
      <c r="M843" s="108"/>
      <c r="N843" s="108"/>
    </row>
    <row r="844">
      <c r="A844" s="39"/>
      <c r="B844" s="39"/>
      <c r="C844" s="39"/>
      <c r="D844" s="113"/>
      <c r="E844" s="113"/>
      <c r="F844" s="39"/>
      <c r="G844" s="39"/>
      <c r="H844" s="39"/>
      <c r="I844" s="39"/>
      <c r="J844" s="108"/>
      <c r="K844" s="108"/>
      <c r="L844" s="39"/>
      <c r="M844" s="108"/>
      <c r="N844" s="108"/>
    </row>
    <row r="845">
      <c r="A845" s="39"/>
      <c r="B845" s="39"/>
      <c r="C845" s="39"/>
      <c r="D845" s="113"/>
      <c r="E845" s="113"/>
      <c r="F845" s="39"/>
      <c r="G845" s="39"/>
      <c r="H845" s="39"/>
      <c r="I845" s="39"/>
      <c r="J845" s="108"/>
      <c r="K845" s="108"/>
      <c r="L845" s="39"/>
      <c r="M845" s="108"/>
      <c r="N845" s="108"/>
    </row>
    <row r="846">
      <c r="A846" s="39"/>
      <c r="B846" s="39"/>
      <c r="C846" s="39"/>
      <c r="D846" s="113"/>
      <c r="E846" s="113"/>
      <c r="F846" s="39"/>
      <c r="G846" s="39"/>
      <c r="H846" s="39"/>
      <c r="I846" s="39"/>
      <c r="J846" s="108"/>
      <c r="K846" s="108"/>
      <c r="L846" s="39"/>
      <c r="M846" s="108"/>
      <c r="N846" s="108"/>
    </row>
    <row r="847">
      <c r="A847" s="39"/>
      <c r="B847" s="39"/>
      <c r="C847" s="39"/>
      <c r="D847" s="113"/>
      <c r="E847" s="113"/>
      <c r="F847" s="39"/>
      <c r="G847" s="39"/>
      <c r="H847" s="39"/>
      <c r="I847" s="39"/>
      <c r="J847" s="108"/>
      <c r="K847" s="108"/>
      <c r="L847" s="39"/>
      <c r="M847" s="108"/>
      <c r="N847" s="108"/>
    </row>
    <row r="848">
      <c r="A848" s="39"/>
      <c r="B848" s="39"/>
      <c r="C848" s="39"/>
      <c r="D848" s="113"/>
      <c r="E848" s="113"/>
      <c r="F848" s="39"/>
      <c r="G848" s="39"/>
      <c r="H848" s="39"/>
      <c r="I848" s="39"/>
      <c r="J848" s="108"/>
      <c r="K848" s="108"/>
      <c r="L848" s="39"/>
      <c r="M848" s="108"/>
      <c r="N848" s="108"/>
    </row>
    <row r="849">
      <c r="A849" s="39"/>
      <c r="B849" s="39"/>
      <c r="C849" s="39"/>
      <c r="D849" s="113"/>
      <c r="E849" s="113"/>
      <c r="F849" s="39"/>
      <c r="G849" s="39"/>
      <c r="H849" s="39"/>
      <c r="I849" s="39"/>
      <c r="J849" s="108"/>
      <c r="K849" s="108"/>
      <c r="L849" s="39"/>
      <c r="M849" s="108"/>
      <c r="N849" s="108"/>
    </row>
    <row r="850">
      <c r="A850" s="39"/>
      <c r="B850" s="39"/>
      <c r="C850" s="39"/>
      <c r="D850" s="113"/>
      <c r="E850" s="113"/>
      <c r="F850" s="39"/>
      <c r="G850" s="39"/>
      <c r="H850" s="39"/>
      <c r="I850" s="39"/>
      <c r="J850" s="108"/>
      <c r="K850" s="108"/>
      <c r="L850" s="39"/>
      <c r="M850" s="108"/>
      <c r="N850" s="108"/>
    </row>
    <row r="851">
      <c r="A851" s="39"/>
      <c r="B851" s="39"/>
      <c r="C851" s="39"/>
      <c r="D851" s="113"/>
      <c r="E851" s="113"/>
      <c r="F851" s="39"/>
      <c r="G851" s="39"/>
      <c r="H851" s="39"/>
      <c r="I851" s="39"/>
      <c r="J851" s="108"/>
      <c r="K851" s="108"/>
      <c r="L851" s="39"/>
      <c r="M851" s="108"/>
      <c r="N851" s="108"/>
    </row>
    <row r="852">
      <c r="A852" s="39"/>
      <c r="B852" s="39"/>
      <c r="C852" s="39"/>
      <c r="D852" s="113"/>
      <c r="E852" s="113"/>
      <c r="F852" s="39"/>
      <c r="G852" s="39"/>
      <c r="H852" s="39"/>
      <c r="I852" s="39"/>
      <c r="J852" s="108"/>
      <c r="K852" s="108"/>
      <c r="L852" s="39"/>
      <c r="M852" s="108"/>
      <c r="N852" s="108"/>
    </row>
    <row r="853">
      <c r="A853" s="39"/>
      <c r="B853" s="39"/>
      <c r="C853" s="39"/>
      <c r="D853" s="113"/>
      <c r="E853" s="113"/>
      <c r="F853" s="39"/>
      <c r="G853" s="39"/>
      <c r="H853" s="39"/>
      <c r="I853" s="39"/>
      <c r="J853" s="108"/>
      <c r="K853" s="108"/>
      <c r="L853" s="39"/>
      <c r="M853" s="108"/>
      <c r="N853" s="108"/>
    </row>
    <row r="854">
      <c r="A854" s="39"/>
      <c r="B854" s="39"/>
      <c r="C854" s="39"/>
      <c r="D854" s="113"/>
      <c r="E854" s="113"/>
      <c r="F854" s="39"/>
      <c r="G854" s="39"/>
      <c r="H854" s="39"/>
      <c r="I854" s="39"/>
      <c r="J854" s="108"/>
      <c r="K854" s="108"/>
      <c r="L854" s="39"/>
      <c r="M854" s="108"/>
      <c r="N854" s="108"/>
    </row>
    <row r="855">
      <c r="A855" s="39"/>
      <c r="B855" s="39"/>
      <c r="C855" s="39"/>
      <c r="D855" s="113"/>
      <c r="E855" s="113"/>
      <c r="F855" s="39"/>
      <c r="G855" s="39"/>
      <c r="H855" s="39"/>
      <c r="I855" s="39"/>
      <c r="J855" s="108"/>
      <c r="K855" s="108"/>
      <c r="L855" s="39"/>
      <c r="M855" s="108"/>
      <c r="N855" s="108"/>
    </row>
    <row r="856">
      <c r="A856" s="39"/>
      <c r="B856" s="39"/>
      <c r="C856" s="39"/>
      <c r="D856" s="113"/>
      <c r="E856" s="113"/>
      <c r="F856" s="39"/>
      <c r="G856" s="39"/>
      <c r="H856" s="39"/>
      <c r="I856" s="39"/>
      <c r="J856" s="108"/>
      <c r="K856" s="108"/>
      <c r="L856" s="39"/>
      <c r="M856" s="108"/>
      <c r="N856" s="108"/>
    </row>
    <row r="857">
      <c r="A857" s="39"/>
      <c r="B857" s="39"/>
      <c r="C857" s="39"/>
      <c r="D857" s="113"/>
      <c r="E857" s="113"/>
      <c r="F857" s="39"/>
      <c r="G857" s="39"/>
      <c r="H857" s="39"/>
      <c r="I857" s="39"/>
      <c r="J857" s="108"/>
      <c r="K857" s="108"/>
      <c r="L857" s="39"/>
      <c r="M857" s="108"/>
      <c r="N857" s="108"/>
    </row>
    <row r="858">
      <c r="A858" s="39"/>
      <c r="B858" s="39"/>
      <c r="C858" s="39"/>
      <c r="D858" s="113"/>
      <c r="E858" s="113"/>
      <c r="F858" s="39"/>
      <c r="G858" s="39"/>
      <c r="H858" s="39"/>
      <c r="I858" s="39"/>
      <c r="J858" s="108"/>
      <c r="K858" s="108"/>
      <c r="L858" s="39"/>
      <c r="M858" s="108"/>
      <c r="N858" s="108"/>
    </row>
    <row r="859">
      <c r="A859" s="39"/>
      <c r="B859" s="39"/>
      <c r="C859" s="39"/>
      <c r="D859" s="113"/>
      <c r="E859" s="113"/>
      <c r="F859" s="39"/>
      <c r="G859" s="39"/>
      <c r="H859" s="39"/>
      <c r="I859" s="39"/>
      <c r="J859" s="108"/>
      <c r="K859" s="108"/>
      <c r="L859" s="39"/>
      <c r="M859" s="108"/>
      <c r="N859" s="108"/>
    </row>
    <row r="860">
      <c r="A860" s="39"/>
      <c r="B860" s="39"/>
      <c r="C860" s="39"/>
      <c r="D860" s="113"/>
      <c r="E860" s="113"/>
      <c r="F860" s="39"/>
      <c r="G860" s="39"/>
      <c r="H860" s="39"/>
      <c r="I860" s="39"/>
      <c r="J860" s="108"/>
      <c r="K860" s="108"/>
      <c r="L860" s="39"/>
      <c r="M860" s="108"/>
      <c r="N860" s="108"/>
    </row>
    <row r="861">
      <c r="A861" s="39"/>
      <c r="B861" s="39"/>
      <c r="C861" s="39"/>
      <c r="D861" s="113"/>
      <c r="E861" s="113"/>
      <c r="F861" s="39"/>
      <c r="G861" s="39"/>
      <c r="H861" s="39"/>
      <c r="I861" s="39"/>
      <c r="J861" s="108"/>
      <c r="K861" s="108"/>
      <c r="L861" s="39"/>
      <c r="M861" s="108"/>
      <c r="N861" s="108"/>
    </row>
    <row r="862">
      <c r="A862" s="39"/>
      <c r="B862" s="39"/>
      <c r="C862" s="39"/>
      <c r="D862" s="113"/>
      <c r="E862" s="113"/>
      <c r="F862" s="39"/>
      <c r="G862" s="39"/>
      <c r="H862" s="39"/>
      <c r="I862" s="39"/>
      <c r="J862" s="108"/>
      <c r="K862" s="108"/>
      <c r="L862" s="39"/>
      <c r="M862" s="108"/>
      <c r="N862" s="108"/>
    </row>
    <row r="863">
      <c r="A863" s="39"/>
      <c r="B863" s="39"/>
      <c r="C863" s="39"/>
      <c r="D863" s="113"/>
      <c r="E863" s="113"/>
      <c r="F863" s="39"/>
      <c r="G863" s="39"/>
      <c r="H863" s="39"/>
      <c r="I863" s="39"/>
      <c r="J863" s="108"/>
      <c r="K863" s="108"/>
      <c r="L863" s="39"/>
      <c r="M863" s="108"/>
      <c r="N863" s="108"/>
    </row>
    <row r="864">
      <c r="A864" s="39"/>
      <c r="B864" s="39"/>
      <c r="C864" s="39"/>
      <c r="D864" s="113"/>
      <c r="E864" s="113"/>
      <c r="F864" s="39"/>
      <c r="G864" s="39"/>
      <c r="H864" s="39"/>
      <c r="I864" s="39"/>
      <c r="J864" s="108"/>
      <c r="K864" s="108"/>
      <c r="L864" s="39"/>
      <c r="M864" s="108"/>
      <c r="N864" s="108"/>
    </row>
    <row r="865">
      <c r="A865" s="39"/>
      <c r="B865" s="39"/>
      <c r="C865" s="39"/>
      <c r="D865" s="113"/>
      <c r="E865" s="113"/>
      <c r="F865" s="39"/>
      <c r="G865" s="39"/>
      <c r="H865" s="39"/>
      <c r="I865" s="39"/>
      <c r="J865" s="108"/>
      <c r="K865" s="108"/>
      <c r="L865" s="39"/>
      <c r="M865" s="108"/>
      <c r="N865" s="108"/>
    </row>
  </sheetData>
  <conditionalFormatting sqref="A2:M150 N2:N427">
    <cfRule type="expression" dxfId="3" priority="1">
      <formula>IF($A$2="No deploys to verify at this time",TRUE,FALSE)</formula>
    </cfRule>
  </conditionalFormatting>
  <conditionalFormatting sqref="A2:M150 N2:N427">
    <cfRule type="expression" dxfId="4" priority="2">
      <formula>IF(AND($A2&lt;&gt;"",$A2&lt;&gt;"No deploys to verify at this time",$I2=""),TRUE,FALSE)</formula>
    </cfRule>
  </conditionalFormatting>
  <conditionalFormatting sqref="A2:M150 N2:N427">
    <cfRule type="expression" dxfId="5" priority="3">
      <formula>IF(AND($A2&lt;&gt;"",$A2&lt;&gt;"No deploys to verify at this time"),TRUE,FALSE)</formula>
    </cfRule>
  </conditionalFormatting>
  <drawing r:id="rId1"/>
</worksheet>
</file>