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H_FCSP" sheetId="1" r:id="rId3"/>
    <sheet state="visible" name="Contributors" sheetId="2" r:id="rId4"/>
  </sheets>
  <definedNames/>
  <calcPr/>
</workbook>
</file>

<file path=xl/sharedStrings.xml><?xml version="1.0" encoding="utf-8"?>
<sst xmlns="http://schemas.openxmlformats.org/spreadsheetml/2006/main" count="10135" uniqueCount="1154">
  <si>
    <t>PLEASE NOTE, ANY OF THE CROSSBOW CAN BE SUBSTITUTED FOR CATAPULT !</t>
  </si>
  <si>
    <t>THANK YOU FOR YOUR DEPLOYS!</t>
  </si>
  <si>
    <t>Spreadsheet:</t>
  </si>
  <si>
    <t>https://docs.google.com/spreadsheets/d/1pUhAyQh_NdF81ylJuyMYgHmKZORgNwpZfp-bEI6W3Rw/</t>
  </si>
  <si>
    <t>location:</t>
  </si>
  <si>
    <t>https://www.munzee.com/map/u1x076nmm/15.2</t>
  </si>
  <si>
    <t>Percent complete:</t>
  </si>
  <si>
    <t>Places Filled:</t>
  </si>
  <si>
    <t>50' ERRORs</t>
  </si>
  <si>
    <t>Total Virtuals:</t>
  </si>
  <si>
    <t>Free places:</t>
  </si>
  <si>
    <t>Color</t>
  </si>
  <si>
    <t>Total</t>
  </si>
  <si>
    <t>Remaining</t>
  </si>
  <si>
    <t>white</t>
  </si>
  <si>
    <t>Crossbow/Catapult</t>
  </si>
  <si>
    <t>FC St Pauli is a German sports club based in the St. Pauli quarter of Hamburg. FC St Pauli has a cross-city rivalry with Hamburger SV. Supporters adopted the skull and crossbones as their own unofficial emblem. The club is widely recognised for its distinctive social culture and has a large popular following as one of the country's "Kult" clubs, which has now developed beyond Germany. The men's professional football team plays in the German Soccer Leage.</t>
  </si>
  <si>
    <t>Column</t>
  </si>
  <si>
    <t>Latitude</t>
  </si>
  <si>
    <t>Longitude</t>
  </si>
  <si>
    <t>Munzee</t>
  </si>
  <si>
    <t>Username</t>
  </si>
  <si>
    <t>URL</t>
  </si>
  <si>
    <t>Comments</t>
  </si>
  <si>
    <t>deploys</t>
  </si>
  <si>
    <t>Virtual</t>
  </si>
  <si>
    <t>Elli</t>
  </si>
  <si>
    <t>DarkHaribo</t>
  </si>
  <si>
    <t>dreiengel</t>
  </si>
  <si>
    <t>InaausWien</t>
  </si>
  <si>
    <t>SachensucherHB</t>
  </si>
  <si>
    <t>FeuerBrake</t>
  </si>
  <si>
    <t>Lewini</t>
  </si>
  <si>
    <t>q22q17</t>
  </si>
  <si>
    <t>SLAUGY</t>
  </si>
  <si>
    <t>bslaugh</t>
  </si>
  <si>
    <t>TheJenks7</t>
  </si>
  <si>
    <t>Ansofin</t>
  </si>
  <si>
    <t>Lanyasummer</t>
  </si>
  <si>
    <t>MS1721</t>
  </si>
  <si>
    <t>csThanner</t>
  </si>
  <si>
    <t>cvdchiller</t>
  </si>
  <si>
    <t>Soitenlysue</t>
  </si>
  <si>
    <t>Mariabettina</t>
  </si>
  <si>
    <t>https://www.munzee.com/m/Mariabettina/2246/</t>
  </si>
  <si>
    <t>ageta</t>
  </si>
  <si>
    <t>paulus2012</t>
  </si>
  <si>
    <t>Dad35</t>
  </si>
  <si>
    <t>Herbie</t>
  </si>
  <si>
    <t>geckofreund</t>
  </si>
  <si>
    <t>Syrtene</t>
  </si>
  <si>
    <t>silversurfer47</t>
  </si>
  <si>
    <t>marleyfanct</t>
  </si>
  <si>
    <t>EagleDadandXenia</t>
  </si>
  <si>
    <t>malof</t>
  </si>
  <si>
    <t>boerse82</t>
  </si>
  <si>
    <t>Flattermaus</t>
  </si>
  <si>
    <t>Steerzer</t>
  </si>
  <si>
    <t>Engel19</t>
  </si>
  <si>
    <t>https://www.munzee.com/m/Engel19/7698/</t>
  </si>
  <si>
    <t>Teamkiwii</t>
  </si>
  <si>
    <t>https://www.munzee.com/m/teamkiwii/8109/</t>
  </si>
  <si>
    <t>Mierischclan</t>
  </si>
  <si>
    <t>https://www.munzee.com/m/mierischclan/2751</t>
  </si>
  <si>
    <t>TK79</t>
  </si>
  <si>
    <t>https://www.munzee.com/m/tk79/8669/</t>
  </si>
  <si>
    <t>Coconut99</t>
  </si>
  <si>
    <t>https://www.munzee.com/m/Coconut99/317/</t>
  </si>
  <si>
    <t>https://www.munzee.com/m/teamkiwii/8102/</t>
  </si>
  <si>
    <t>https://www.munzee.com/m/Mariabettina/2267/</t>
  </si>
  <si>
    <t>https://www.munzee.com/m/teamkiwii/8097/</t>
  </si>
  <si>
    <t>Ncc1701e</t>
  </si>
  <si>
    <t>https://www.munzee.com/m/ncc1701e/3878</t>
  </si>
  <si>
    <t>https://www.munzee.com/m/teamkiwii/8079/</t>
  </si>
  <si>
    <t>Ankie249</t>
  </si>
  <si>
    <t>https://www.munzee.com/m/ankie249/3804/</t>
  </si>
  <si>
    <t>amigoth2de</t>
  </si>
  <si>
    <t>https://www.munzee.com/m/amigoth2de/1598/</t>
  </si>
  <si>
    <t>https://www.munzee.com/m/ankie249/3799/</t>
  </si>
  <si>
    <t>seal</t>
  </si>
  <si>
    <t>https://www.munzee.com/m/seal/4321</t>
  </si>
  <si>
    <t>https://www.munzee.com/m/ankie249/3789/</t>
  </si>
  <si>
    <t>https://www.munzee.com/m/seal/4322</t>
  </si>
  <si>
    <t>https://www.munzee.com/m/ankie249/3783/</t>
  </si>
  <si>
    <t>https://www.munzee.com/m/seal/4328</t>
  </si>
  <si>
    <t xml:space="preserve">teach217 </t>
  </si>
  <si>
    <t>https://www.munzee.com/m/teach217/458/</t>
  </si>
  <si>
    <t>https://www.munzee.com/m/ncc1701e/3876</t>
  </si>
  <si>
    <t>RoversEnd</t>
  </si>
  <si>
    <t>KaraReke</t>
  </si>
  <si>
    <t>stitcher42455</t>
  </si>
  <si>
    <t>https://www.munzee.com/m/stitcher42455/2243</t>
  </si>
  <si>
    <t>EmeraldAngel</t>
  </si>
  <si>
    <t>https://www.munzee.com/m/EmeraldAngel/2163</t>
  </si>
  <si>
    <t>3Tiger</t>
  </si>
  <si>
    <t>https://www.munzee.com/m/3Tiger/6422</t>
  </si>
  <si>
    <t>Tabata2</t>
  </si>
  <si>
    <t>https://www.munzee.com/m/Tabata2/8361</t>
  </si>
  <si>
    <t>https://www.munzee.com/m/EmeraldAngel/2131</t>
  </si>
  <si>
    <t>https://www.munzee.com/m/3Tiger/6419/</t>
  </si>
  <si>
    <t>atrots</t>
  </si>
  <si>
    <t>https://www.munzee.com/m/Atrots/2646</t>
  </si>
  <si>
    <t>ARENDT</t>
  </si>
  <si>
    <t>https://www.munzee.com/m/Arendt/2252/</t>
  </si>
  <si>
    <t>Sivontim</t>
  </si>
  <si>
    <t>Sivontim/11616</t>
  </si>
  <si>
    <t>heinbloed</t>
  </si>
  <si>
    <t>https://www.munzee.com/m/heinbloed/1876/map/</t>
  </si>
  <si>
    <t>https://www.munzee.com/m/3Tiger/6400/</t>
  </si>
  <si>
    <t>Cinnamons</t>
  </si>
  <si>
    <t>https://www.munzee.com/m/Cinnamons/2614/</t>
  </si>
  <si>
    <t>LailaBP</t>
  </si>
  <si>
    <t>https://www.munzee.com/m/LailaBP/2398/</t>
  </si>
  <si>
    <t>https://www.munzee.com/m/3Tiger/6393/</t>
  </si>
  <si>
    <t>https://www.munzee.com/m/heinbloed/1857/map/</t>
  </si>
  <si>
    <t>https://www.munzee.com/m/3Tiger/6389/</t>
  </si>
  <si>
    <t>https://www.munzee.com/m/LailaBP/2411/</t>
  </si>
  <si>
    <t>https://www.munzee.com/m/3Tiger/6388</t>
  </si>
  <si>
    <t>Sjael</t>
  </si>
  <si>
    <t>https://www.munzee.com/m/Sjael/1655/</t>
  </si>
  <si>
    <t>Lyal</t>
  </si>
  <si>
    <t>https://www.munzee.com/m/Lyal/481/</t>
  </si>
  <si>
    <t>https://www.munzee.com/m/3Tiger/6387</t>
  </si>
  <si>
    <t>12gove</t>
  </si>
  <si>
    <t>https://www.munzee.com/m/12gove/1337/</t>
  </si>
  <si>
    <t>Trunte2002</t>
  </si>
  <si>
    <t>https://www.munzee.com/m/Trunte2002/2115/</t>
  </si>
  <si>
    <t>https://www.munzee.com/m/3Tiger/6385/</t>
  </si>
  <si>
    <t>https://www.munzee.com/m/12gove/1345/</t>
  </si>
  <si>
    <t>https://www.munzee.com/m/Trunte2002/2121/</t>
  </si>
  <si>
    <t>HansaRostock</t>
  </si>
  <si>
    <t>https://www.munzee.com/m/HansaRostock/1940/</t>
  </si>
  <si>
    <t>Mamuti</t>
  </si>
  <si>
    <t>https://www.munzee.com/m/Mamuti/473</t>
  </si>
  <si>
    <t>Finnleo</t>
  </si>
  <si>
    <t>https://www.munzee.com/m/Finnleo/2204/</t>
  </si>
  <si>
    <t>https://www.munzee.com/m/Cinnamons/2612/</t>
  </si>
  <si>
    <t>https://www.munzee.com/m/Mamuti/386/</t>
  </si>
  <si>
    <t>IggiePiggie</t>
  </si>
  <si>
    <t>https://www.munzee.com/m/IggiePiggie/4226/</t>
  </si>
  <si>
    <t>https://www.munzee.com/m/Finnleo/2211/</t>
  </si>
  <si>
    <t>Boerse82</t>
  </si>
  <si>
    <t>https://www.munzee.com/m/boerse82/6095/</t>
  </si>
  <si>
    <t>HtV</t>
  </si>
  <si>
    <t>https://www.munzee.com/m/HtV/9069/</t>
  </si>
  <si>
    <t>BestNighty</t>
  </si>
  <si>
    <t>Inspector1</t>
  </si>
  <si>
    <t>https://www.munzee.com/m/Inspector1/109/</t>
  </si>
  <si>
    <t>https://www.munzee.com/m/HtV/9081/</t>
  </si>
  <si>
    <t>Felice01</t>
  </si>
  <si>
    <t>https://www.munzee.com/m/Felice01/139/</t>
  </si>
  <si>
    <t>https://www.munzee.com/m/BestNighty/801/</t>
  </si>
  <si>
    <t>https://www.munzee.com/m/HtV/9082/</t>
  </si>
  <si>
    <t>https://www.munzee.com/m/Felice01/137/</t>
  </si>
  <si>
    <t>https://www.munzee.com/m/BestNighty/800/</t>
  </si>
  <si>
    <t>https://www.munzee.com/m/HtV/9084/</t>
  </si>
  <si>
    <t>https://www.munzee.com/m/Felice01/133/</t>
  </si>
  <si>
    <t>https://www.munzee.com/m/BestNighty/799/</t>
  </si>
  <si>
    <t>https://www.munzee.com/m/HtV/9085/</t>
  </si>
  <si>
    <t>https://www.munzee.com/m/Felice01/136/</t>
  </si>
  <si>
    <t>https://www.munzee.com/m/BestNighty/294/</t>
  </si>
  <si>
    <t>https://www.munzee.com/m/Coconut99/164/</t>
  </si>
  <si>
    <t>https://www.munzee.com/m/Felice01/119/</t>
  </si>
  <si>
    <t>https://www.munzee.com/m/BestNighty/293/</t>
  </si>
  <si>
    <t>tk79</t>
  </si>
  <si>
    <t>https://www.munzee.com/m/tk79/8448/</t>
  </si>
  <si>
    <t>rabe85</t>
  </si>
  <si>
    <t>https://www.munzee.com/m/BestNighty/271/</t>
  </si>
  <si>
    <t>catapult/crossbow</t>
  </si>
  <si>
    <t>Muecke10</t>
  </si>
  <si>
    <t>ekageo</t>
  </si>
  <si>
    <t>https://www.munzee.com/m/ekageo/1446/</t>
  </si>
  <si>
    <t>JRdaBoss</t>
  </si>
  <si>
    <t>Dazzaf</t>
  </si>
  <si>
    <t>TheJump</t>
  </si>
  <si>
    <t>markcase</t>
  </si>
  <si>
    <t>Bisquick2</t>
  </si>
  <si>
    <t>TecmjrB</t>
  </si>
  <si>
    <t>taska1981</t>
  </si>
  <si>
    <t>123xilef</t>
  </si>
  <si>
    <t>Bungi</t>
  </si>
  <si>
    <t>Derlame</t>
  </si>
  <si>
    <t>dwyers5</t>
  </si>
  <si>
    <t>BonnieB1</t>
  </si>
  <si>
    <t>Peter1980</t>
  </si>
  <si>
    <t>https://www.munzee.com/m/Lewini/2135/</t>
  </si>
  <si>
    <t>halizwein</t>
  </si>
  <si>
    <t>MiniKara</t>
  </si>
  <si>
    <t>jokerFG</t>
  </si>
  <si>
    <t>kwd</t>
  </si>
  <si>
    <t>hunniees</t>
  </si>
  <si>
    <t>driver582</t>
  </si>
  <si>
    <t>mandello</t>
  </si>
  <si>
    <t>jldh</t>
  </si>
  <si>
    <t>munz619</t>
  </si>
  <si>
    <t>JackSparrow</t>
  </si>
  <si>
    <t>mrvolkswagen</t>
  </si>
  <si>
    <t>teamsturms</t>
  </si>
  <si>
    <t>92Supercoupe</t>
  </si>
  <si>
    <t>elisoft</t>
  </si>
  <si>
    <t>dt07751</t>
  </si>
  <si>
    <t>GrimyMitts</t>
  </si>
  <si>
    <t>PelicanRouge</t>
  </si>
  <si>
    <t>Savardfamily</t>
  </si>
  <si>
    <t>Lehmis</t>
  </si>
  <si>
    <t>Attis</t>
  </si>
  <si>
    <t>cuztedbop</t>
  </si>
  <si>
    <t>annabanana</t>
  </si>
  <si>
    <t>fezzman</t>
  </si>
  <si>
    <t>oesel123</t>
  </si>
  <si>
    <t>https://www.munzee.com/m/oesel123/3313/</t>
  </si>
  <si>
    <t>res2100</t>
  </si>
  <si>
    <t>Captainwilly</t>
  </si>
  <si>
    <t>delaner46</t>
  </si>
  <si>
    <t>90mile</t>
  </si>
  <si>
    <t>amadoreugen</t>
  </si>
  <si>
    <t>edwin21</t>
  </si>
  <si>
    <t>Ellesche</t>
  </si>
  <si>
    <t>Kiitokurre</t>
  </si>
  <si>
    <t>Drazoria</t>
  </si>
  <si>
    <t>Tinake1309</t>
  </si>
  <si>
    <t>Berg14</t>
  </si>
  <si>
    <t>Niks13</t>
  </si>
  <si>
    <t>https://www.munzee.com/m/boerse82/5324/</t>
  </si>
  <si>
    <t>Bungle</t>
  </si>
  <si>
    <t>tomtom71</t>
  </si>
  <si>
    <t>NoahCache</t>
  </si>
  <si>
    <t>https://www.munzee.com/m/3Tiger/6496/</t>
  </si>
  <si>
    <t>https://www.munzee.com/m/SachensucherHB/1608/</t>
  </si>
  <si>
    <t>kohalas</t>
  </si>
  <si>
    <t>denali0407</t>
  </si>
  <si>
    <t>MSgtUSMC</t>
  </si>
  <si>
    <t>https://www.munzee.com/m/3Tiger/6384/</t>
  </si>
  <si>
    <t>Jafo43</t>
  </si>
  <si>
    <t>volki2000</t>
  </si>
  <si>
    <t>https://www.munzee.com/m/Flattermaus/3968/</t>
  </si>
  <si>
    <t>https://www.munzee.com/m/SLAUGY/8587</t>
  </si>
  <si>
    <t>https://www.munzee.com/m/bslaugh/7230/</t>
  </si>
  <si>
    <t>ddcards</t>
  </si>
  <si>
    <t>https://www.munzee.com/m/ddcards/4251</t>
  </si>
  <si>
    <t>shrlock</t>
  </si>
  <si>
    <t>https://www.munzee.com/m/Shrlock/3576/</t>
  </si>
  <si>
    <t>https://www.munzee.com/m/BestNighty/39/</t>
  </si>
  <si>
    <t>https://www.munzee.com/m/Coconut99/165/</t>
  </si>
  <si>
    <t>https://www.munzee.com/m/Shrlock/3258</t>
  </si>
  <si>
    <t>https://www.munzee.com/m/ddcards/4256/</t>
  </si>
  <si>
    <t>Muskratmarie</t>
  </si>
  <si>
    <t>https://www.munzee.com/m/dreiengel/8129/</t>
  </si>
  <si>
    <t>Keni</t>
  </si>
  <si>
    <t>https://www.munzee.com/m/oesel123/3329/</t>
  </si>
  <si>
    <t>Arendsoog</t>
  </si>
  <si>
    <t>rgforsythe</t>
  </si>
  <si>
    <t>Teambobcats</t>
  </si>
  <si>
    <t>https://www.munzee.com/m/BestNighty/41/</t>
  </si>
  <si>
    <t>Calvertcachers</t>
  </si>
  <si>
    <t>LilCrab</t>
  </si>
  <si>
    <t>PrincessMeli</t>
  </si>
  <si>
    <t>Westies</t>
  </si>
  <si>
    <t>sickman</t>
  </si>
  <si>
    <t>FindersGirl</t>
  </si>
  <si>
    <t>MetteS</t>
  </si>
  <si>
    <t>BoMS</t>
  </si>
  <si>
    <t>https://www.munzee.com/m/SachensucherHB/1745/</t>
  </si>
  <si>
    <t>https://www.munzee.com/m/Coconut99/159/</t>
  </si>
  <si>
    <t>https://www.munzee.com/m/Inspector1/147/</t>
  </si>
  <si>
    <t>https://www.munzee.com/m/BestNighty/239/</t>
  </si>
  <si>
    <t>https://www.munzee.com/m/Coconut99/130/</t>
  </si>
  <si>
    <t>https://www.munzee.com/m/DarkHaribo/</t>
  </si>
  <si>
    <t>soule122</t>
  </si>
  <si>
    <t>soule122/1455</t>
  </si>
  <si>
    <t>https://www.munzee.com/m/tk79/1184/</t>
  </si>
  <si>
    <t>https://www.munzee.com/m/DarkHaribo/13743/</t>
  </si>
  <si>
    <t>Bugama</t>
  </si>
  <si>
    <t>https://www.munzee.com/m/Bugama/315/</t>
  </si>
  <si>
    <t>https://www.munzee.com/m/BestNighty/956/</t>
  </si>
  <si>
    <t>https://www.munzee.com/m/Felice01/152/</t>
  </si>
  <si>
    <t>https://www.munzee.com/m/DarkHaribo/13748/</t>
  </si>
  <si>
    <t>https://www.munzee.com/m/BestNighty/258/</t>
  </si>
  <si>
    <t>https://www.munzee.com/m/Felice01/153/</t>
  </si>
  <si>
    <t>meka</t>
  </si>
  <si>
    <t>habu</t>
  </si>
  <si>
    <t>mrsg9064</t>
  </si>
  <si>
    <t>webeon2it</t>
  </si>
  <si>
    <t>https://www.munzee.com/m/BestNighty/255/</t>
  </si>
  <si>
    <t>hz</t>
  </si>
  <si>
    <t>fyrsel</t>
  </si>
  <si>
    <t>MariaBr</t>
  </si>
  <si>
    <t>RafMar78</t>
  </si>
  <si>
    <t>Ladyl89</t>
  </si>
  <si>
    <t>Faby</t>
  </si>
  <si>
    <t>Kyrandia</t>
  </si>
  <si>
    <t>https://www.munzee.com/m/BestNighty/261/</t>
  </si>
  <si>
    <t>https://www.munzee.com/m/DarkHaribo/13752/</t>
  </si>
  <si>
    <t>https://www.munzee.com/m/tk79/1185/</t>
  </si>
  <si>
    <t>Zwirk</t>
  </si>
  <si>
    <t>https://www.munzee.com/m/zwirk/381/</t>
  </si>
  <si>
    <t>https://www.munzee.com/m/Felice01/344/</t>
  </si>
  <si>
    <t>https://www.munzee.com/m/Inspector1/301/</t>
  </si>
  <si>
    <t>Sweety25</t>
  </si>
  <si>
    <t>https://www.munzee.com/m/Sweety25/284/</t>
  </si>
  <si>
    <t>Malik44</t>
  </si>
  <si>
    <t>https://www.munzee.com/m/Malik44/309/</t>
  </si>
  <si>
    <t>https://www.munzee.com/m/tk79/1186/</t>
  </si>
  <si>
    <t>https://www.munzee.com/m/Sweety25/256/</t>
  </si>
  <si>
    <t>https://www.munzee.com/m/tk79/1188/</t>
  </si>
  <si>
    <t>https://www.munzee.com/m/Malik44/310/</t>
  </si>
  <si>
    <t>WE4NCS</t>
  </si>
  <si>
    <t>easterb</t>
  </si>
  <si>
    <t>munzeeprof</t>
  </si>
  <si>
    <t>CrazyLadyLisa</t>
  </si>
  <si>
    <t>mihul</t>
  </si>
  <si>
    <t>szakica</t>
  </si>
  <si>
    <t>marc7</t>
  </si>
  <si>
    <t>Cidinho</t>
  </si>
  <si>
    <t>SAVVY18</t>
  </si>
  <si>
    <t>HabakukTibatong</t>
  </si>
  <si>
    <t>Gamsci</t>
  </si>
  <si>
    <t>ivwarrior</t>
  </si>
  <si>
    <t>paupau</t>
  </si>
  <si>
    <t>https://www.munzee.com/m/BestNighty/964/</t>
  </si>
  <si>
    <t>janzattic</t>
  </si>
  <si>
    <t>https://www.munzee.com/m/tk79/8760/</t>
  </si>
  <si>
    <t>Wonderworld</t>
  </si>
  <si>
    <t>https://www.munzee.com/m/Wonderworld/331/</t>
  </si>
  <si>
    <t>Trinktroll</t>
  </si>
  <si>
    <t>https://www.munzee.com/m/Trinktroll/291/</t>
  </si>
  <si>
    <t>DonkoGu</t>
  </si>
  <si>
    <t>https://www.munzee.com/m/DonkoGu/262/</t>
  </si>
  <si>
    <t>Scanmaster</t>
  </si>
  <si>
    <t>https://www.munzee.com/m/Scanmaster/300/</t>
  </si>
  <si>
    <t>https://www.munzee.com/m/Bugama/312/</t>
  </si>
  <si>
    <t>https://www.munzee.com/m/Scanmaster/296/</t>
  </si>
  <si>
    <t>https://www.munzee.com/m/zwirk/383/</t>
  </si>
  <si>
    <t>https://www.munzee.com/m/Inspector1/300/</t>
  </si>
  <si>
    <t>https://www.munzee.com/m/Wonderworld/332/</t>
  </si>
  <si>
    <t>https://www.munzee.com/m/Trinktroll/294/</t>
  </si>
  <si>
    <t>https://www.munzee.com/m/Sweety25/283/</t>
  </si>
  <si>
    <t>Hummechen</t>
  </si>
  <si>
    <t>Team-MTB-OC</t>
  </si>
  <si>
    <t>PeeBee</t>
  </si>
  <si>
    <t>iScreamBIue</t>
  </si>
  <si>
    <t>c-bn</t>
  </si>
  <si>
    <t>https://www.munzee.com/m/3Tiger/6492</t>
  </si>
  <si>
    <t>https://www.munzee.com/m/SachensucherHB/1593/</t>
  </si>
  <si>
    <t>https://www.munzee.com/m/tk79/1189/</t>
  </si>
  <si>
    <t>https://www.munzee.com/m/Coconut99/346/</t>
  </si>
  <si>
    <t>Sivontim/11981/</t>
  </si>
  <si>
    <t>https://www.munzee.com/m/3Tiger/6488/</t>
  </si>
  <si>
    <t>https://www.munzee.com/m/SachensucherHB/1594/</t>
  </si>
  <si>
    <t>https://www.munzee.com/m/Felice01/345/</t>
  </si>
  <si>
    <t>https://www.munzee.com/m/SachensucherHB/1600/</t>
  </si>
  <si>
    <t>https://www.munzee.com/m/BestNighty/979/</t>
  </si>
  <si>
    <t>https://www.munzee.com/m/SachensucherHB/1602/</t>
  </si>
  <si>
    <t>https://www.munzee.com/m/BestNighty/978/</t>
  </si>
  <si>
    <t>https://www.munzee.com/m/DonkoGu/259/</t>
  </si>
  <si>
    <t>https://www.munzee.com/m/SachensucherHB/1604/</t>
  </si>
  <si>
    <t>https://www.munzee.com/m/BestNighty/977/</t>
  </si>
  <si>
    <t>https://www.munzee.com/m/BestNighty/976/</t>
  </si>
  <si>
    <t>https://www.munzee.com/m/BestNighty/965/</t>
  </si>
  <si>
    <t>radschlaeger</t>
  </si>
  <si>
    <t>raunas</t>
  </si>
  <si>
    <t>MrsPommelhorst</t>
  </si>
  <si>
    <t>elefantoduck</t>
  </si>
  <si>
    <t>https://www.munzee.com/m/3Tiger/6477/</t>
  </si>
  <si>
    <t>einkilorind</t>
  </si>
  <si>
    <t>Chivasloyal</t>
  </si>
  <si>
    <t>3goonies</t>
  </si>
  <si>
    <t>FredVomJupiter</t>
  </si>
  <si>
    <t>kiwipanther</t>
  </si>
  <si>
    <t>https://www.munzee.com/m/BestNighty/1016/</t>
  </si>
  <si>
    <t>https://www.munzee.com/m/BestNighty/1017/</t>
  </si>
  <si>
    <t>https://www.munzee.com/m/tk79/8759/</t>
  </si>
  <si>
    <t>https://www.munzee.com/m/tk79/8756/</t>
  </si>
  <si>
    <t>https://www.munzee.com/m/tk79/8745/</t>
  </si>
  <si>
    <t>https://www.munzee.com/m/tk79/8700/</t>
  </si>
  <si>
    <t>https://www.munzee.com/m/tk79/8699/</t>
  </si>
  <si>
    <t>https://www.munzee.com/m/tk79/8695/</t>
  </si>
  <si>
    <t>yoloerik</t>
  </si>
  <si>
    <t>https://www.munzee.com/m/3Tiger/6460</t>
  </si>
  <si>
    <t>https://www.munzee.com/m/BestNighty/1041/</t>
  </si>
  <si>
    <t>https://www.munzee.com/m/3Tiger/6458/</t>
  </si>
  <si>
    <t>https://www.munzee.com/m/3Tiger/6447/</t>
  </si>
  <si>
    <t>RobieSterling</t>
  </si>
  <si>
    <t>https://www.munzee.com/m/BestNighty/1042/</t>
  </si>
  <si>
    <t>technical13</t>
  </si>
  <si>
    <t>https://www.munzee.com/m/mihul/3530/</t>
  </si>
  <si>
    <t>https://www.munzee.com/m/tk79/1986/</t>
  </si>
  <si>
    <t>🇩🇪 Hamburg | 🏊🏻 Schwimmhalle Inselpark</t>
  </si>
  <si>
    <t>https://www.munzee.com/m/tk79/8206/</t>
  </si>
  <si>
    <t>https://www.munzee.com/m/mihul/3469/</t>
  </si>
  <si>
    <t>mik007</t>
  </si>
  <si>
    <t>https://www.munzee.com/m/mik007/3309/</t>
  </si>
  <si>
    <t>https://www.munzee.com/m/BestNighty/1056/</t>
  </si>
  <si>
    <t>VLoopSouth</t>
  </si>
  <si>
    <t>https://www.munzee.com/m/BestNighty/1069/</t>
  </si>
  <si>
    <t>https://www.munzee.com/m/BestNighty/1059/</t>
  </si>
  <si>
    <t>https://www.munzee.com/m/BestNighty/1058/</t>
  </si>
  <si>
    <t>https://www.munzee.com/m/BestNighty/1044/</t>
  </si>
  <si>
    <t>https://www.munzee.com/m/BestNighty/1142/</t>
  </si>
  <si>
    <t>https://www.munzee.com/m/mihul/3419</t>
  </si>
  <si>
    <t>KeddyKids</t>
  </si>
  <si>
    <t>keddykids/155</t>
  </si>
  <si>
    <t>https://www.munzee.com/m/mihul/3304/</t>
  </si>
  <si>
    <t>ArchieRuby</t>
  </si>
  <si>
    <t>https://www.munzee.com/m/ArchieRuby/440/</t>
  </si>
  <si>
    <t>BituX</t>
  </si>
  <si>
    <t>https://www.munzee.com/m/tk79/8694/</t>
  </si>
  <si>
    <t>https://www.munzee.com/m/mihul/3302</t>
  </si>
  <si>
    <t>wally62</t>
  </si>
  <si>
    <t>https://www.munzee.com/m/heinbloed/1888/</t>
  </si>
  <si>
    <t>deploy 23.11.</t>
  </si>
  <si>
    <t>https://www.munzee.com/m/HabakukTibatong/1278/</t>
  </si>
  <si>
    <t>https://www.munzee.com/m/heinbloed/1885/map/</t>
  </si>
  <si>
    <t>https://www.munzee.com/m/HabakukTibatong/1250/</t>
  </si>
  <si>
    <t>https://www.munzee.com/m/Elli/6661/</t>
  </si>
  <si>
    <t>https://www.munzee.com/m/HabakukTibatong/1274/</t>
  </si>
  <si>
    <t>https://www.munzee.com/m/Keni/1140/</t>
  </si>
  <si>
    <t>https://www.munzee.com/m/3Tiger/6310/</t>
  </si>
  <si>
    <t>OHail</t>
  </si>
  <si>
    <t>https://www.munzee.com/m/OHail/16637/</t>
  </si>
  <si>
    <t>https://www.munzee.com/m/90mile/1011/</t>
  </si>
  <si>
    <t>https://www.munzee.com/m/HabakukTibatong/1268/</t>
  </si>
  <si>
    <t>https://www.munzee.com/m/OHail/14070/</t>
  </si>
  <si>
    <t>https://www.munzee.com/m/boerse82/6123/</t>
  </si>
  <si>
    <t>https://www.munzee.com/m/BestNighty/1070/</t>
  </si>
  <si>
    <t>https://www.munzee.com/m/boerse82/6119/</t>
  </si>
  <si>
    <t>https://www.munzee.com/m/tk79/8207/</t>
  </si>
  <si>
    <t>https://www.munzee.com/m/tk79/8604/</t>
  </si>
  <si>
    <t>https://www.munzee.com/m/BestNighty/1071/</t>
  </si>
  <si>
    <t>https://www.munzee.com/m/OHail/14107/</t>
  </si>
  <si>
    <t>https://www.munzee.com/m/BestNighty/1077/</t>
  </si>
  <si>
    <t>https://www.munzee.com/m/tk79/8621/</t>
  </si>
  <si>
    <t>https://www.munzee.com/m/BestNighty/1078/</t>
  </si>
  <si>
    <t>https://www.munzee.com/m/tk79/8631/</t>
  </si>
  <si>
    <t>https://www.munzee.com/m/tk79/8632/</t>
  </si>
  <si>
    <t>https://www.munzee.com/m/tk79/8634/</t>
  </si>
  <si>
    <t>https://www.munzee.com/m/Elli/7511/</t>
  </si>
  <si>
    <t>https://www.munzee.com/m/tk79/8693/</t>
  </si>
  <si>
    <t>https://www.munzee.com/m/tk79/8858/</t>
  </si>
  <si>
    <t>https://www.munzee.com/m/tk79/8866/</t>
  </si>
  <si>
    <t>OldFruits</t>
  </si>
  <si>
    <t>https://www.munzee.com/m/OldFruits/5993/</t>
  </si>
  <si>
    <t>Naturelover</t>
  </si>
  <si>
    <t>https://www.munzee.com/m/naturelover/5858/</t>
  </si>
  <si>
    <t>Heathcote07</t>
  </si>
  <si>
    <t>https://www.munzee.com/m/heathcote07/2920/</t>
  </si>
  <si>
    <t>Bambi5</t>
  </si>
  <si>
    <t>https://www.munzee.com/m/bambi5/1791/</t>
  </si>
  <si>
    <t>humbird7</t>
  </si>
  <si>
    <t>https://www.munzee.com/m/humbird7/17133/</t>
  </si>
  <si>
    <t>https://www.munzee.com/m/Sjael/1612/</t>
  </si>
  <si>
    <t>https://www.munzee.com/m/tk79/8867/</t>
  </si>
  <si>
    <t>https://www.munzee.com/m/Elli/7510/</t>
  </si>
  <si>
    <t>https://www.munzee.com/m/BestNighty/1084/</t>
  </si>
  <si>
    <t>https://www.munzee.com/m/tk79/8979/</t>
  </si>
  <si>
    <t>https://www.munzee.com/m/BestNighty/1082/</t>
  </si>
  <si>
    <t>https://www.munzee.com/m/tk79/8980/</t>
  </si>
  <si>
    <t>https://www.munzee.com/m/90mile/1156/</t>
  </si>
  <si>
    <t>https://www.munzee.com/m/humbird7/14144/</t>
  </si>
  <si>
    <t>https://www.munzee.com/m/heinbloed/1842/</t>
  </si>
  <si>
    <t>https://www.munzee.com/m/tk79/8473/</t>
  </si>
  <si>
    <t>https://www.munzee.com/m/humbird7/14416/</t>
  </si>
  <si>
    <t>NYBOSS</t>
  </si>
  <si>
    <t>https://www.munzee.com/m/nyboss/7160/</t>
  </si>
  <si>
    <t>https://www.munzee.com/m/Elli/7623/</t>
  </si>
  <si>
    <t>https://www.munzee.com/m/Elli/7593/</t>
  </si>
  <si>
    <t>https://www.munzee.com/m/EmeraldAngel/2189</t>
  </si>
  <si>
    <t>https://www.munzee.com/m/Dad35/11032/</t>
  </si>
  <si>
    <t>https://www.munzee.com/m/Elli/6853/</t>
  </si>
  <si>
    <t>https://www.munzee.com/m/HabakukTibatong/1232/</t>
  </si>
  <si>
    <t>https://www.munzee.com/m/Elli/7592/</t>
  </si>
  <si>
    <t>https://www.munzee.com/m/Elli/6882/</t>
  </si>
  <si>
    <t>https://www.munzee.com/m/humbird7/17048/</t>
  </si>
  <si>
    <t>https://www.munzee.com/m/Elli/7940/</t>
  </si>
  <si>
    <t>https://www.munzee.com/m/Elli/8156/</t>
  </si>
  <si>
    <t>https://www.munzee.com/m/Elli/6881/</t>
  </si>
  <si>
    <t>https://www.munzee.com/m/HabakukTibatong/1254/</t>
  </si>
  <si>
    <t>https://www.munzee.com/m/3Tiger/6304/</t>
  </si>
  <si>
    <t>https://www.munzee.com/m/OHail/16854/</t>
  </si>
  <si>
    <t>https://www.munzee.com/m/Keni/1138/</t>
  </si>
  <si>
    <t>https://www.munzee.com/m/HabakukTibatong/1248/</t>
  </si>
  <si>
    <t>https://www.munzee.com/m/OHail/14103/</t>
  </si>
  <si>
    <t>https://www.munzee.com/m/tk79/8202/</t>
  </si>
  <si>
    <t>https://www.munzee.com/m/tk79/8205/</t>
  </si>
  <si>
    <t>https://www.munzee.com/m/Elli/6855/</t>
  </si>
  <si>
    <t>https://www.munzee.com/m/humbird7/17041/</t>
  </si>
  <si>
    <t>https://www.munzee.com/m/heinbloed/1865/</t>
  </si>
  <si>
    <t>https://www.munzee.com/m/Elli/6903/</t>
  </si>
  <si>
    <t>https://www.munzee.com/m/tk79/8135/</t>
  </si>
  <si>
    <t>https://www.munzee.com/m/tk79/8131/</t>
  </si>
  <si>
    <t>https://www.munzee.com/m/tk79/8130/</t>
  </si>
  <si>
    <t>https://www.munzee.com/m/tk79/8132</t>
  </si>
  <si>
    <t>https://www.munzee.com/m/Elli/6901/</t>
  </si>
  <si>
    <t>https://www.munzee.com/m/boerse82/5660/</t>
  </si>
  <si>
    <t>https://www.munzee.com/m/heinbloed/1880/</t>
  </si>
  <si>
    <t>https://www.munzee.com/m/HabakukTibatong/1246/</t>
  </si>
  <si>
    <t>https://www.munzee.com/m/tk79/8114/</t>
  </si>
  <si>
    <t>hulapalu</t>
  </si>
  <si>
    <t>https://www.munzee.com/m/boerse82/5657/</t>
  </si>
  <si>
    <t>https://www.munzee.com/m/tk79/8113/</t>
  </si>
  <si>
    <t>https://www.munzee.com/m/boerse82/5653/</t>
  </si>
  <si>
    <t>https://www.munzee.com/m/MetteS/6266/</t>
  </si>
  <si>
    <t>https://www.munzee.com/m/BoMS/7698/</t>
  </si>
  <si>
    <t>https://www.munzee.com/m/boerse82/5670/</t>
  </si>
  <si>
    <t>https://www.munzee.com/m/MetteS/6263/</t>
  </si>
  <si>
    <t>https://www.munzee.com/m/BoMS/7695/</t>
  </si>
  <si>
    <t>https://www.munzee.com/m/boerse82/5644/</t>
  </si>
  <si>
    <t>https://www.munzee.com/m/MetteS/6255/</t>
  </si>
  <si>
    <t>https://www.munzee.com/m/BoMS/7688/</t>
  </si>
  <si>
    <t>https://www.munzee.com/m/Flattermaus/3594/</t>
  </si>
  <si>
    <t>https://www.munzee.com/m/Dad35/11044/</t>
  </si>
  <si>
    <t>https://www.munzee.com/m/MetteS/6239/</t>
  </si>
  <si>
    <t>https://www.munzee.com/m/BoMS/7670/</t>
  </si>
  <si>
    <t>https://www.munzee.com/m/MetteS/6207/</t>
  </si>
  <si>
    <t>https://www.munzee.com/m/BoMS/7641/</t>
  </si>
  <si>
    <t>https://www.munzee.com/m/Flattermaus/3571/</t>
  </si>
  <si>
    <t>Smith2190</t>
  </si>
  <si>
    <t>https://www.munzee.com/m/Smith2190/860</t>
  </si>
  <si>
    <t>https://www.munzee.com/m/Flattermaus/3530/</t>
  </si>
  <si>
    <t>https://www.munzee.com/m/kwd/6883</t>
  </si>
  <si>
    <t>https://www.munzee.com/m/Flattermaus/3128/</t>
  </si>
  <si>
    <t>https://www.munzee.com/m/kwd/6833/</t>
  </si>
  <si>
    <t>Matiee</t>
  </si>
  <si>
    <t>https://www.munzee.com/m/kwd/6795</t>
  </si>
  <si>
    <t>https://www.munzee.com/m/EmeraldAngel/2183</t>
  </si>
  <si>
    <t>https://www.munzee.com/m/kwd/6794</t>
  </si>
  <si>
    <t>5Star</t>
  </si>
  <si>
    <t>https://www.munzee.com/m/heinbloed/1879/</t>
  </si>
  <si>
    <t>https://www.munzee.com/m/kwd/6742</t>
  </si>
  <si>
    <t>https://www.munzee.com/m/EmeraldAngel/2178/</t>
  </si>
  <si>
    <t>https://www.munzee.com/m/EmeraldAngel/2160</t>
  </si>
  <si>
    <t>https://www.munzee.com/m/kwd/6740</t>
  </si>
  <si>
    <t>mtbiker64</t>
  </si>
  <si>
    <t>https://www.munzee.com/m/mtbiker64/6883/</t>
  </si>
  <si>
    <t>FINDER400</t>
  </si>
  <si>
    <t>https://www.munzee.com/m/FINDER400/4992</t>
  </si>
  <si>
    <t>https://www.munzee.com/m/kwd/6731/</t>
  </si>
  <si>
    <t>https://www.munzee.com/m/mtbiker64/6882/</t>
  </si>
  <si>
    <t>https://www.munzee.com/m/EmeraldAngel/2172</t>
  </si>
  <si>
    <t>https://www.munzee.com/m/kwd/6492</t>
  </si>
  <si>
    <t>https://www.munzee.com/m/mtbiker64/6881/</t>
  </si>
  <si>
    <t>https://www.munzee.com/m/EmeraldAngel/2169</t>
  </si>
  <si>
    <t>https://www.munzee.com/m/kwd/6344/</t>
  </si>
  <si>
    <t>https://www.munzee.com/m/mtbiker64/6878/</t>
  </si>
  <si>
    <t>https://www.munzee.com/m/EmeraldAngel/2161</t>
  </si>
  <si>
    <t>barbie657</t>
  </si>
  <si>
    <t>https://www.munzee.com/m/barbie657/1509/</t>
  </si>
  <si>
    <t>https://www.munzee.com/m/kwd/6342</t>
  </si>
  <si>
    <t>https://www.munzee.com/m/janzattic/6493</t>
  </si>
  <si>
    <t>https://www.munzee.com/m/3Tiger/6486/</t>
  </si>
  <si>
    <t>https://www.munzee.com/m/kwd/6340</t>
  </si>
  <si>
    <t>dazzaf</t>
  </si>
  <si>
    <t>https://www.munzee.com/m/Dazzaf/3885/</t>
  </si>
  <si>
    <t>https://www.munzee.com/m/3Tiger/6480/</t>
  </si>
  <si>
    <t>https://www.munzee.com/m/kwd/6281</t>
  </si>
  <si>
    <t>https://www.munzee.com/m/barbie657/1816</t>
  </si>
  <si>
    <t>https://www.munzee.com/m/3Tiger/6479</t>
  </si>
  <si>
    <t>https://www.munzee.com/m/kwd/6280/</t>
  </si>
  <si>
    <t>https://www.munzee.com/m/barbie657/1813/</t>
  </si>
  <si>
    <t>https://www.munzee.com/m/3Tiger/6475/</t>
  </si>
  <si>
    <t>ASHtheGeoGenius</t>
  </si>
  <si>
    <t>https://www.munzee.com/m/ashthegeogenius/423/</t>
  </si>
  <si>
    <t>https://www.munzee.com/m/barbie657/1810</t>
  </si>
  <si>
    <t>https://www.munzee.com/m/3Tiger/6464/</t>
  </si>
  <si>
    <t>https://www.munzee.com/m/barbie657/1487</t>
  </si>
  <si>
    <t>https://www.munzee.com/m/barbie657/1507</t>
  </si>
  <si>
    <t>https://www.munzee.com/m/3Tiger/6461/</t>
  </si>
  <si>
    <t>https://www.munzee.com/m/barbie657/1796</t>
  </si>
  <si>
    <t>granitente</t>
  </si>
  <si>
    <t>https://www.munzee.com/m/granitente/4558/</t>
  </si>
  <si>
    <t>https://www.munzee.com/m/3Tiger/6457/</t>
  </si>
  <si>
    <t>https://www.munzee.com/m/barbie657/1794</t>
  </si>
  <si>
    <t>https://www.munzee.com/m/tk79/8597/</t>
  </si>
  <si>
    <t>https://www.munzee.com/m/barbie657/1477</t>
  </si>
  <si>
    <t>https://www.munzee.com/m/OHail/16893/</t>
  </si>
  <si>
    <t>https://www.munzee.com/m/3Tiger/6446</t>
  </si>
  <si>
    <t>https://www.munzee.com/m/OHail/16884/</t>
  </si>
  <si>
    <t>https://www.munzee.com/m/3Tiger/6443/</t>
  </si>
  <si>
    <t>https://www.munzee.com/m/barbie657/1401</t>
  </si>
  <si>
    <t>https://www.munzee.com/m/3Tiger/6424/</t>
  </si>
  <si>
    <t>https://www.munzee.com/m/barbie657/1788/</t>
  </si>
  <si>
    <t>https://www.munzee.com/m/Flattermaus/3647/</t>
  </si>
  <si>
    <t>https://www.munzee.com/m/3Tiger/6415</t>
  </si>
  <si>
    <t>https://www.munzee.com/m/barbie657/1780/</t>
  </si>
  <si>
    <t>https://www.munzee.com/m/Flattermaus/3640/</t>
  </si>
  <si>
    <t>https://www.munzee.com/m/3Tiger/6391</t>
  </si>
  <si>
    <t>https://www.munzee.com/m/granitente/deploys/</t>
  </si>
  <si>
    <t>https://www.munzee.com/m/Flattermaus/3639/</t>
  </si>
  <si>
    <t>https://www.munzee.com/m/3Tiger/6376</t>
  </si>
  <si>
    <t>Schlappentiger</t>
  </si>
  <si>
    <t>https://www.munzee.com/m/Schlappentiger/2338/</t>
  </si>
  <si>
    <t>Reart</t>
  </si>
  <si>
    <t>https://www.munzee.com/m/Reart/401/</t>
  </si>
  <si>
    <t>https://www.munzee.com/m/3Tiger/6371</t>
  </si>
  <si>
    <t>https://www.munzee.com/m/tk79/8472/</t>
  </si>
  <si>
    <t>https://www.munzee.com/m/Flattermaus/3638/</t>
  </si>
  <si>
    <t>https://www.munzee.com/m/elefantoduck/1112/</t>
  </si>
  <si>
    <t>https://www.munzee.com/m/granitente/4531/</t>
  </si>
  <si>
    <t>WVKiwi</t>
  </si>
  <si>
    <t>https://www.munzee.com/m/wvkiwi/6628</t>
  </si>
  <si>
    <t>https://www.munzee.com/m/mierischclan/2752</t>
  </si>
  <si>
    <t>https://www.munzee.com/m/boerse82/5783/</t>
  </si>
  <si>
    <t>https://www.munzee.com/m/elefantoduck/1228/</t>
  </si>
  <si>
    <t>https://www.munzee.com/m/soule122/1462/</t>
  </si>
  <si>
    <t>https://www.munzee.com/m/boerse82/5773/</t>
  </si>
  <si>
    <t>https://www.munzee.com/m/elefantoduck/1222/</t>
  </si>
  <si>
    <t>https://www.munzee.com/m/VLoopSouth/789/</t>
  </si>
  <si>
    <t>https://www.munzee.com/m/boerse82/5719/</t>
  </si>
  <si>
    <t>https://www.munzee.com/m/elefantoduck/1217/</t>
  </si>
  <si>
    <t>https://www.munzee.com/m/granitente/4520/</t>
  </si>
  <si>
    <t>https://www.munzee.com/m/boerse82/5706/</t>
  </si>
  <si>
    <t>https://www.munzee.com/m/elefantoduck/1216/</t>
  </si>
  <si>
    <t>https://www.munzee.com/m/Flattermaus/3634/</t>
  </si>
  <si>
    <t>https://www.munzee.com/m/HansaRostock/1939/</t>
  </si>
  <si>
    <t>MrIVV</t>
  </si>
  <si>
    <t>https://www.munzee.com/m/MrIVV/3016/</t>
  </si>
  <si>
    <t>https://www.munzee.com/m/Flattermaus/3633/</t>
  </si>
  <si>
    <t>https://www.munzee.com/m/Flattermaus/3630/</t>
  </si>
  <si>
    <t>https://www.munzee.com/m/boerse82/5697/</t>
  </si>
  <si>
    <t>RNils</t>
  </si>
  <si>
    <t>https://www.munzee.com/m/RNils02/2046</t>
  </si>
  <si>
    <t>https://www.munzee.com/m/Flattermaus/3619/</t>
  </si>
  <si>
    <t>https://www.munzee.com/m/boerse82/5491/</t>
  </si>
  <si>
    <t>https://www.munzee.com/m/SachensucherHB/1580/</t>
  </si>
  <si>
    <t>IanZ</t>
  </si>
  <si>
    <t>https://www.munzee.com/m/IanZ/7347/</t>
  </si>
  <si>
    <t>AbelianGrape</t>
  </si>
  <si>
    <t>https://www.munzee.com/m/AbelianGrape/79/</t>
  </si>
  <si>
    <t>https://www.munzee.com/m/SachensucherHB/1581/</t>
  </si>
  <si>
    <t>Takenbychance</t>
  </si>
  <si>
    <t>https://www.munzee.com/m/Takenbychance/372/</t>
  </si>
  <si>
    <t>Kumadog</t>
  </si>
  <si>
    <t>https://www.munzee.com/m/Kumadog/688/</t>
  </si>
  <si>
    <t>https://www.munzee.com/m/HansaRostock/1935/</t>
  </si>
  <si>
    <t>https://www.munzee.com/m/soule122/1453/</t>
  </si>
  <si>
    <t>https://www.munzee.com/m/AbelianGrape/17/</t>
  </si>
  <si>
    <t>Queenlynz</t>
  </si>
  <si>
    <t>https://www.munzee.com/m/Queenlynz/1480/</t>
  </si>
  <si>
    <t>https://www.munzee.com/m/Bungle/2891</t>
  </si>
  <si>
    <t>https://www.munzee.com/m/mandello/7161/</t>
  </si>
  <si>
    <t>https://www.munzee.com/m/tomtom71/5905/</t>
  </si>
  <si>
    <t>https://www.munzee.com/m/Sjael/1642/</t>
  </si>
  <si>
    <t>https://www.munzee.com/m/Sjael/1545/</t>
  </si>
  <si>
    <t>ol0n0lo</t>
  </si>
  <si>
    <t>https://www.munzee.com/m/ol0n0lo/761/</t>
  </si>
  <si>
    <t>https://www.munzee.com/m/SachensucherHB/1670/</t>
  </si>
  <si>
    <t>https://www.munzee.com/m/Takenbychance/391/</t>
  </si>
  <si>
    <t>valsey</t>
  </si>
  <si>
    <t>https://www.munzee.com/m/valsey/4575/</t>
  </si>
  <si>
    <t>https://www.munzee.com/m/Flattermaus/3614/</t>
  </si>
  <si>
    <t>https://www.munzee.com/m/Dad35/10505/</t>
  </si>
  <si>
    <t>https://www.munzee.com/m/valsey/4486/</t>
  </si>
  <si>
    <t>https://www.munzee.com/m/Kumadog/660/</t>
  </si>
  <si>
    <t>https://www.munzee.com/m/Dad35/10506/</t>
  </si>
  <si>
    <t>https://www.munzee.com/m/valsey/4747/</t>
  </si>
  <si>
    <t>https://www.munzee.com/m/Takenbychance/393/</t>
  </si>
  <si>
    <t>https://www.munzee.com/m/Dad35/10508/</t>
  </si>
  <si>
    <t>https://www.munzee.com/m/valsey/4745/</t>
  </si>
  <si>
    <t>https://www.munzee.com/m/ol0n0lo/770/</t>
  </si>
  <si>
    <t>https://www.munzee.com/m/Dad35/10510/</t>
  </si>
  <si>
    <t>https://www.munzee.com/m/Flattermaus/3673/</t>
  </si>
  <si>
    <t>https://www.munzee.com/m/Takenbychance/388/</t>
  </si>
  <si>
    <t>https://www.munzee.com/m/csThanner/1973/</t>
  </si>
  <si>
    <t>Caribus</t>
  </si>
  <si>
    <t>https://www.munzee.com/m/caribus/285/</t>
  </si>
  <si>
    <t>https://www.munzee.com/m/soule122/1463/</t>
  </si>
  <si>
    <t>https://www.munzee.com/m/Takenbychance/397/</t>
  </si>
  <si>
    <t>https://www.munzee.com/m/csThanner/1975/</t>
  </si>
  <si>
    <t>Majsan</t>
  </si>
  <si>
    <t>https://www.munzee.com/m/Majsan/5437/</t>
  </si>
  <si>
    <t>https://www.munzee.com/m/csThanner/1981/</t>
  </si>
  <si>
    <t>https://www.munzee.com/m/Majsan/5180/</t>
  </si>
  <si>
    <t>https://www.munzee.com/m/csThanner/1982/</t>
  </si>
  <si>
    <t>https://www.munzee.com/m/Arendt/2942/</t>
  </si>
  <si>
    <t>https://www.munzee.com/m/csThanner/1984/</t>
  </si>
  <si>
    <t>https://www.munzee.com/m/Dad35/11049/</t>
  </si>
  <si>
    <t>https://www.munzee.com/m/kwd/6277</t>
  </si>
  <si>
    <t>https://www.munzee.com/m/3Tiger/6363/</t>
  </si>
  <si>
    <t>https://www.munzee.com/m/kwd/6267</t>
  </si>
  <si>
    <t>https://www.munzee.com/m/3Tiger/6359/</t>
  </si>
  <si>
    <t>https://www.munzee.com/m/csThanner/1986/</t>
  </si>
  <si>
    <t>https://www.munzee.com/m/kwd/6263</t>
  </si>
  <si>
    <t>https://www.munzee.com/m/3Tiger/6358/</t>
  </si>
  <si>
    <t>https://www.munzee.com/m/csThanner/1994/</t>
  </si>
  <si>
    <t>https://www.munzee.com/m/kwd/6132/</t>
  </si>
  <si>
    <t xml:space="preserve">Centern </t>
  </si>
  <si>
    <t>https://www.munzee.com/m/Centern/4609/</t>
  </si>
  <si>
    <t>https://www.munzee.com/m/csThanner/1996/</t>
  </si>
  <si>
    <t>https://www.munzee.com/m/kwd/6121/</t>
  </si>
  <si>
    <t>Centern</t>
  </si>
  <si>
    <t>https://www.munzee.com/m/Centern/4378/</t>
  </si>
  <si>
    <t>https://www.munzee.com/m/csThanner/2015/</t>
  </si>
  <si>
    <t>https://www.munzee.com/m/kwd/6043</t>
  </si>
  <si>
    <t>https://www.munzee.com/m/Arendt/2868/</t>
  </si>
  <si>
    <t>https://www.munzee.com/m/csThanner/2016/</t>
  </si>
  <si>
    <t>https://www.munzee.com/m/kwd/6040</t>
  </si>
  <si>
    <t>https://www.munzee.com/m/csThanner/2022/</t>
  </si>
  <si>
    <t>https://www.munzee.com/m/kwd/6039/</t>
  </si>
  <si>
    <t>https://www.munzee.com/m/Flattermaus/3970/</t>
  </si>
  <si>
    <t>einkilorind/3361/</t>
  </si>
  <si>
    <t>https://www.munzee.com/m/kwd/6031</t>
  </si>
  <si>
    <t>https://www.munzee.com/m/Arendt/2913/</t>
  </si>
  <si>
    <t>tlmeadowlark</t>
  </si>
  <si>
    <t>https://www.munzee.com/m/tlmeadowlark/4748/</t>
  </si>
  <si>
    <t>https://www.munzee.com/m/kwd/6029/</t>
  </si>
  <si>
    <t>https://www.munzee.com/m/Flattermaus/3969/</t>
  </si>
  <si>
    <t>https://www.munzee.com/m/Elli/7864/</t>
  </si>
  <si>
    <t>https://www.munzee.com/m/kwd/6012</t>
  </si>
  <si>
    <t>https://www.munzee.com/m/Arendt/2864/</t>
  </si>
  <si>
    <t>https://www.munzee.com/m/Bungle/2896</t>
  </si>
  <si>
    <t>https://www.munzee.com/m/kwd/5973</t>
  </si>
  <si>
    <t>https://www.munzee.com/m/Arendt/2785/</t>
  </si>
  <si>
    <t>https://www.munzee.com/m/Elli/7802/</t>
  </si>
  <si>
    <t>https://www.munzee.com/m/kwd/5966</t>
  </si>
  <si>
    <t>https://www.munzee.com/m/Tinake1309/239/</t>
  </si>
  <si>
    <t>https://www.munzee.com/m/Elli/7939/</t>
  </si>
  <si>
    <t>https://www.munzee.com/m/kwd/5923/</t>
  </si>
  <si>
    <t>https://www.munzee.com/m/3Tiger/6343</t>
  </si>
  <si>
    <t>https://www.munzee.com/m/elefantoduck/1215/</t>
  </si>
  <si>
    <t>https://www.munzee.com/m/Elli/7907/</t>
  </si>
  <si>
    <t>https://www.munzee.com/m/IggiePiggie/2004/</t>
  </si>
  <si>
    <t>https://www.munzee.com/m/elefantoduck/1207/</t>
  </si>
  <si>
    <t>Boston2005</t>
  </si>
  <si>
    <t>https://www.munzee.com/m/Boston2005/7623/</t>
  </si>
  <si>
    <t>Loewenjaeger</t>
  </si>
  <si>
    <t>https://www.munzee.com/m/Loewenjaeger/870/</t>
  </si>
  <si>
    <t>https://www.munzee.com/m/elefantoduck/1200/</t>
  </si>
  <si>
    <t>https://www.munzee.com/m/Boston2005/7614/</t>
  </si>
  <si>
    <t>Bluelady77</t>
  </si>
  <si>
    <t>https://www.munzee.com/m/Bluelady77/812/</t>
  </si>
  <si>
    <t>https://www.munzee.com/m/elefantoduck/1198/</t>
  </si>
  <si>
    <t>https://www.munzee.com/m/Boston2005/7608/</t>
  </si>
  <si>
    <t>https://www.munzee.com/m/tlmeadowlark/3575/</t>
  </si>
  <si>
    <t>https://www.munzee.com/m/elefantoduck/1196/</t>
  </si>
  <si>
    <t>https://www.munzee.com/m/Elli/7814/</t>
  </si>
  <si>
    <t>https://www.munzee.com/m/Boston2005/7570/</t>
  </si>
  <si>
    <t>https://www.munzee.com/m/tlmeadowlark/3580/</t>
  </si>
  <si>
    <t>https://www.munzee.com/m/Elli/7978/</t>
  </si>
  <si>
    <t>https://www.munzee.com/m/Boston2005/7553/</t>
  </si>
  <si>
    <t>https://www.munzee.com/m/Boston2005/7824/</t>
  </si>
  <si>
    <t>Maxi72</t>
  </si>
  <si>
    <t>https://www.munzee.com/m/Maxi72/1179</t>
  </si>
  <si>
    <t>https://www.munzee.com/m/Loewenjaeger/901/</t>
  </si>
  <si>
    <t>https://www.munzee.com/m/Bluelady77/1980/</t>
  </si>
  <si>
    <t>https://www.munzee.com/m/Cidinho/2258/</t>
  </si>
  <si>
    <t>https://www.munzee.com/m/csThanner/2023/</t>
  </si>
  <si>
    <t>ibike4m</t>
  </si>
  <si>
    <t>https://www.munzee.com/m/ibike4m/1297/</t>
  </si>
  <si>
    <t>Hogglespike</t>
  </si>
  <si>
    <t>https://www.munzee.com/m/Hogglespike/5742</t>
  </si>
  <si>
    <t>darrenjones</t>
  </si>
  <si>
    <t>https://www.munzee.com/m/darrenjones/5418</t>
  </si>
  <si>
    <t>Cadonkey</t>
  </si>
  <si>
    <t>https://www.munzee.com/m/Cadonkey/1623</t>
  </si>
  <si>
    <t>https://www.munzee.com/m/Loewenjaeger/902/</t>
  </si>
  <si>
    <t>https://www.munzee.com/m/Bluelady77/814/</t>
  </si>
  <si>
    <t>Newbee</t>
  </si>
  <si>
    <t>https://www.munzee.com/m/newbee/7480</t>
  </si>
  <si>
    <t>Shrekmiester</t>
  </si>
  <si>
    <t>https://www.munzee.com/m/shrekmiester/7306</t>
  </si>
  <si>
    <t>Newfruit</t>
  </si>
  <si>
    <t>https://www.munzee.com/m/Newfruit/6730</t>
  </si>
  <si>
    <t>https://www.munzee.com/m/naturelover/7814</t>
  </si>
  <si>
    <t>https://www.munzee.com/m/heathcote07/4610/</t>
  </si>
  <si>
    <t>Boesj01</t>
  </si>
  <si>
    <t>https://www.munzee.com/m/Boesj01/2681/</t>
  </si>
  <si>
    <t>https://www.munzee.com/m/HtV/7538/</t>
  </si>
  <si>
    <t>Wullewutsch</t>
  </si>
  <si>
    <t>https://www.munzee.com/m/HtV/7669/</t>
  </si>
  <si>
    <t>https://www.munzee.com/m/tlmeadowlark/3585/</t>
  </si>
  <si>
    <t>https://www.munzee.com/m/tk79/8469/</t>
  </si>
  <si>
    <t>TFAL</t>
  </si>
  <si>
    <t>https://www.munzee.com/m/TFAL/3307/</t>
  </si>
  <si>
    <t>https://www.munzee.com/m/Loewenjaeger/906/</t>
  </si>
  <si>
    <t>https://www.munzee.com/m/Bluelady77/815</t>
  </si>
  <si>
    <t>https://www.munzee.com/m/TFAL/3324/</t>
  </si>
  <si>
    <t>Nenuorama</t>
  </si>
  <si>
    <t>https://www.munzee.com/m/Nenuorama/2701/</t>
  </si>
  <si>
    <t>https://www.munzee.com/m/Boesj01/2685/</t>
  </si>
  <si>
    <t>https://www.munzee.com/m/TFAL/3325/</t>
  </si>
  <si>
    <t>https://www.munzee.com/m/Nenuorama/2695/</t>
  </si>
  <si>
    <t>https://www.munzee.com/m/Boesj01/2684/</t>
  </si>
  <si>
    <t>https://www.munzee.com/m/TFAL/3365/</t>
  </si>
  <si>
    <t>https://www.munzee.com/m/Loewenjaeger/931</t>
  </si>
  <si>
    <t>https://www.munzee.com/m/Bluelady77/819/</t>
  </si>
  <si>
    <t>https://www.munzee.com/m/TFAL/2979/</t>
  </si>
  <si>
    <t>https://www.munzee.com/m/Nenuorama/2688/</t>
  </si>
  <si>
    <t>https://www.munzee.com/m/TFAL/3098/</t>
  </si>
  <si>
    <t>https://www.munzee.com/m/Nenuorama/2657/</t>
  </si>
  <si>
    <t>https://www.munzee.com/m/TFAL/3414/</t>
  </si>
  <si>
    <t>https://www.munzee.com/m/Arendt/2665/</t>
  </si>
  <si>
    <t>https://www.munzee.com/m/Nenuorama/2650/</t>
  </si>
  <si>
    <t>https://www.munzee.com/m/tk79/8464/</t>
  </si>
  <si>
    <t>https://www.munzee.com/m/Arendt/2659/</t>
  </si>
  <si>
    <t>CarlisleCachers</t>
  </si>
  <si>
    <t>https://www.munzee.com/m/Loewenjaeger/932/</t>
  </si>
  <si>
    <t>https://www.munzee.com/m/Bluelady77/823/</t>
  </si>
  <si>
    <t>https://www.munzee.com/m/Nenuorama/2629/</t>
  </si>
  <si>
    <t>https://www.munzee.com/m/Boesj01/2683/</t>
  </si>
  <si>
    <t>https://www.munzee.com/m/HtV/7685/</t>
  </si>
  <si>
    <t>https://www.munzee.com/m/Nenuorama/2616/</t>
  </si>
  <si>
    <t>LVBuccsFan</t>
  </si>
  <si>
    <t>https://www.munzee.com/m/LVBuccsFan/631</t>
  </si>
  <si>
    <t>https://www.munzee.com/m/HtV/7712/</t>
  </si>
  <si>
    <t>https://www.munzee.com/m/tk79/7610/</t>
  </si>
  <si>
    <t>https://www.munzee.com/m/tk79/7609/</t>
  </si>
  <si>
    <t>https://www.munzee.com/m/tk79/9054/</t>
  </si>
  <si>
    <t>https://www.munzee.com/m/Dad35/11035/</t>
  </si>
  <si>
    <t>https://www.munzee.com/m/Dad35/11059/</t>
  </si>
  <si>
    <t>https://www.munzee.com/m/csThanner/2025/</t>
  </si>
  <si>
    <t>https://www.munzee.com/m/RNils02/2042/</t>
  </si>
  <si>
    <t>https://www.munzee.com/m/HtV/7861/</t>
  </si>
  <si>
    <t>https://www.munzee.com/m/csThanner/2029/</t>
  </si>
  <si>
    <t>https://www.munzee.com/m/RNils02/2049/</t>
  </si>
  <si>
    <t>jinta29</t>
  </si>
  <si>
    <t>https://www.munzee.com/m/jinta29/608/</t>
  </si>
  <si>
    <t>https://www.munzee.com/m/csThanner/2198/</t>
  </si>
  <si>
    <t>https://www.munzee.com/m/RNils02/2052/</t>
  </si>
  <si>
    <t>https://www.munzee.com/m/tk79/8826/</t>
  </si>
  <si>
    <t>https://www.munzee.com/m/csThanner/2200/</t>
  </si>
  <si>
    <t>https://www.munzee.com/m/tk79/8825/</t>
  </si>
  <si>
    <t>https://www.munzee.com/m/csThanner/2218/</t>
  </si>
  <si>
    <t>https://www.munzee.com/m/tk79/8824/</t>
  </si>
  <si>
    <t>https://www.munzee.com/m/csThanner/2219/</t>
  </si>
  <si>
    <t>https://www.munzee.com/m/tk79/8823/</t>
  </si>
  <si>
    <t>https://www.munzee.com/m/csThanner/2223/</t>
  </si>
  <si>
    <t>https://www.munzee.com/m/kwd/7147</t>
  </si>
  <si>
    <t>ozarkcheryl</t>
  </si>
  <si>
    <t>https://www.munzee.com/m/ozarkcheryl/2791/</t>
  </si>
  <si>
    <t>https://www.munzee.com/m/jinta29/672/</t>
  </si>
  <si>
    <t>https://www.munzee.com/m/kwd/7091</t>
  </si>
  <si>
    <t>https://www.munzee.com/m/Finnleo/1769/</t>
  </si>
  <si>
    <t>https://www.munzee.com/m/Lyal/390/</t>
  </si>
  <si>
    <t>https://www.munzee.com/m/kwd/7089</t>
  </si>
  <si>
    <t>https://www.munzee.com/m/Finnleo/1609/</t>
  </si>
  <si>
    <t>https://www.munzee.com/m/Trunte2002/1968/</t>
  </si>
  <si>
    <t>https://www.munzee.com/m/Mariabettina/1782/</t>
  </si>
  <si>
    <t>https://www.munzee.com/m/12gove/1384/</t>
  </si>
  <si>
    <t>https://www.munzee.com/m/LailaBP/2317/</t>
  </si>
  <si>
    <t>https://www.munzee.com/m/ozarkcheryl/2848/</t>
  </si>
  <si>
    <t>https://www.munzee.com/m/Finnleo/1574/admin/</t>
  </si>
  <si>
    <t>https://www.munzee.com/m/Trunte2002/1932/</t>
  </si>
  <si>
    <t>https://www.munzee.com/m/Mariabettina/1966/</t>
  </si>
  <si>
    <t>https://www.munzee.com/m/12gove/1351/</t>
  </si>
  <si>
    <t>https://www.munzee.com/m/LailaBP/2327/</t>
  </si>
  <si>
    <t>https://www.munzee.com/m/Lyal/426/</t>
  </si>
  <si>
    <t>https://www.munzee.com/m/HansaRostock/1929/</t>
  </si>
  <si>
    <t>https://www.munzee.com/m/3Tiger/4407/</t>
  </si>
  <si>
    <t>https://www.munzee.com/m/90mile/1076/</t>
  </si>
  <si>
    <t>https://www.munzee.com/m/boerse82/6093/</t>
  </si>
  <si>
    <t>https://www.munzee.com/m/LailaBP/2367/</t>
  </si>
  <si>
    <t>https://www.munzee.com/m/90mile/589/</t>
  </si>
  <si>
    <t>https://www.munzee.com/m/Lyal/448/</t>
  </si>
  <si>
    <t>https://www.munzee.com/m/12gove/1309/</t>
  </si>
  <si>
    <t>https://www.munzee.com/m/90mile/603/</t>
  </si>
  <si>
    <t>https://www.munzee.com/m/Mariabettina/1768/</t>
  </si>
  <si>
    <t>https://www.munzee.com/m/Trunte2002/1957/</t>
  </si>
  <si>
    <t>https://www.munzee.com/m/90mile/605/</t>
  </si>
  <si>
    <t>https://www.munzee.com/m/SachensucherHB/1743/</t>
  </si>
  <si>
    <t>volatile</t>
  </si>
  <si>
    <t>https://www.munzee.com/m/volatile/343/</t>
  </si>
  <si>
    <t>https://www.munzee.com/m/SachensucherHB/1760/</t>
  </si>
  <si>
    <t>https://www.munzee.com/m/SachensucherHB/1761/</t>
  </si>
  <si>
    <t>https://www.munzee.com/m/Bluelady77/1981/</t>
  </si>
  <si>
    <t>https://www.munzee.com/m/Loewenjaeger/962/</t>
  </si>
  <si>
    <t>https://www.munzee.com/m/csThanner/2004/</t>
  </si>
  <si>
    <t>https://www.munzee.com/m/SachensucherHB/1765/</t>
  </si>
  <si>
    <t>erictheump</t>
  </si>
  <si>
    <t>https://www.munzee.com/m/erictheump/1493/</t>
  </si>
  <si>
    <t>https://www.munzee.com/m/csThanner/2005/</t>
  </si>
  <si>
    <t>https://www.munzee.com/m/SachensucherHB/1775/</t>
  </si>
  <si>
    <t>https://www.munzee.com/m/erictheump/1492/</t>
  </si>
  <si>
    <t>https://www.munzee.com/m/csThanner/2224/</t>
  </si>
  <si>
    <t>https://www.munzee.com/m/SachensucherHB/1776/</t>
  </si>
  <si>
    <t>https://www.munzee.com/m/erictheump/1490/</t>
  </si>
  <si>
    <t>https://www.munzee.com/m/csThanner/2226/</t>
  </si>
  <si>
    <t>https://www.munzee.com/m/SachensucherHB/1777/</t>
  </si>
  <si>
    <t>https://www.munzee.com/m/erictheump/1491/</t>
  </si>
  <si>
    <t>https://www.munzee.com/m/csThanner/2068/</t>
  </si>
  <si>
    <t>https://www.munzee.com/m/SachensucherHB/1786/</t>
  </si>
  <si>
    <t>https://www.munzee.com/m/erictheump/1502/</t>
  </si>
  <si>
    <t>https://www.munzee.com/m/csThanner/2233/</t>
  </si>
  <si>
    <t>https://www.munzee.com/m/csThanner/2237/</t>
  </si>
  <si>
    <t>Hansa65</t>
  </si>
  <si>
    <t>https://www.munzee.com/m/Hansa65/2016/</t>
  </si>
  <si>
    <t>https://www.munzee.com/m/tk79/1191/</t>
  </si>
  <si>
    <t>https://www.munzee.com/m/Boston2005/7655/</t>
  </si>
  <si>
    <t>https://www.munzee.com/m/Boston2005/7810/</t>
  </si>
  <si>
    <t>https://www.munzee.com/m/SachensucherHB/1744/</t>
  </si>
  <si>
    <t>Traycee</t>
  </si>
  <si>
    <t>https://www.munzee.com/m/Traycee/8175/</t>
  </si>
  <si>
    <t>https://www.munzee.com/m/Boston2005/7183/</t>
  </si>
  <si>
    <t>https://www.munzee.com/m/Boston2005/7232/</t>
  </si>
  <si>
    <t>https://www.munzee.com/m/Boston2005/7264/</t>
  </si>
  <si>
    <t>https://www.munzee.com/m/Boston2005/7395/</t>
  </si>
  <si>
    <t>https://www.munzee.com/m/Boston2005/7826/</t>
  </si>
  <si>
    <t>https://www.munzee.com/m/Boston2005/7838/</t>
  </si>
  <si>
    <t>https://www.munzee.com/m/Boston2005/7848/</t>
  </si>
  <si>
    <t>https://www.munzee.com/m/Boston2005/7850/</t>
  </si>
  <si>
    <t>https://www.munzee.com/m/Boston2005/8051/</t>
  </si>
  <si>
    <t>https://www.munzee.com/m/Boston2005/12121/</t>
  </si>
  <si>
    <t>https://www.munzee.com/m/Boston2005/12123/</t>
  </si>
  <si>
    <t>biggoalie31</t>
  </si>
  <si>
    <t>https://www.munzee.com/m/biggoalie31/2183/</t>
  </si>
  <si>
    <t>https://www.munzee.com/m/Loewenjaeger/934/</t>
  </si>
  <si>
    <t>https://www.munzee.com/m/Bluelady77/828/</t>
  </si>
  <si>
    <t>https://www.munzee.com/m/biggoalie31/2173/</t>
  </si>
  <si>
    <t>deploy 1/12</t>
  </si>
  <si>
    <t>https://www.munzee.com/m/Boston2005/7486/</t>
  </si>
  <si>
    <t>https://www.munzee.com/m/Boston2005/7609/</t>
  </si>
  <si>
    <t>https://www.munzee.com/m/Boston2005/7539/</t>
  </si>
  <si>
    <t>https://www.munzee.com/m/Boston2005/7827/</t>
  </si>
  <si>
    <t>TheEvilPoles</t>
  </si>
  <si>
    <t>https://www.munzee.com/m/Dad35/11000</t>
  </si>
  <si>
    <t>https://www.munzee.com/m/tk79/8822</t>
  </si>
  <si>
    <t>einkilorind/3393/</t>
  </si>
  <si>
    <t>https://www.munzee.com/m/Loewenjaeger/978/</t>
  </si>
  <si>
    <t>https://www.munzee.com/m/Bluelady77/835</t>
  </si>
  <si>
    <t>https://www.munzee.com/m/tk79/8821/</t>
  </si>
  <si>
    <t>einkilorind/3392/</t>
  </si>
  <si>
    <t>https://www.munzee.com/m/tk79/8820/</t>
  </si>
  <si>
    <t>einkilorind/3380/</t>
  </si>
  <si>
    <t>https://www.munzee.com/m/tk79/8819</t>
  </si>
  <si>
    <t>einkilorind/3520/</t>
  </si>
  <si>
    <t>https://www.munzee.com/m/tk79/8818/</t>
  </si>
  <si>
    <t>https://www.munzee.com/m/ol0n0lo/771/</t>
  </si>
  <si>
    <t>https://www.munzee.com/m/Loewenjaeger/933</t>
  </si>
  <si>
    <t>https://www.munzee.com/m/Bluelady77/827</t>
  </si>
  <si>
    <t>https://www.munzee.com/m/tk79/8817/</t>
  </si>
  <si>
    <t>https://www.munzee.com/m/tk79/8816/</t>
  </si>
  <si>
    <t>https://www.munzee.com/m/tk79/8815/</t>
  </si>
  <si>
    <t>Joroma80</t>
  </si>
  <si>
    <t>https://www.munzee.com/m/joroma80/4164</t>
  </si>
  <si>
    <t>July CW '22</t>
  </si>
  <si>
    <t>https://www.munzee.com/m/3Tiger/4410/</t>
  </si>
  <si>
    <t>https://www.munzee.com/m/Loewenjaeger/935</t>
  </si>
  <si>
    <t>https://www.munzee.com/m/Bluelady77/833/</t>
  </si>
  <si>
    <t>FRLK</t>
  </si>
  <si>
    <t>https://www.munzee.com/m/FRLK/22862/</t>
  </si>
  <si>
    <t>https://www.munzee.com/m/csThanner/1956/</t>
  </si>
  <si>
    <t>https://www.munzee.com/m/csThanner/1957/</t>
  </si>
  <si>
    <t>https://www.munzee.com/m/csThanner/1964/</t>
  </si>
  <si>
    <t>https://www.munzee.com/m/csThanner/1970/</t>
  </si>
  <si>
    <t>https://www.munzee.com/m/csThanner/1972/</t>
  </si>
  <si>
    <t>https://www.munzee.com/m/tk79/1190/</t>
  </si>
  <si>
    <t>https://www.munzee.com/m/Boston2005/8180/</t>
  </si>
  <si>
    <t>https://www.munzee.com/m/SachensucherHB/1758/</t>
  </si>
  <si>
    <t>https://www.munzee.com/m/Boston2005/8173/</t>
  </si>
  <si>
    <t>https://www.munzee.com/m/Boston2005/8169/</t>
  </si>
  <si>
    <t>https://www.munzee.com/m/Boston2005/9795/</t>
  </si>
  <si>
    <t>https://www.munzee.com/m/Boston2005/10873/</t>
  </si>
  <si>
    <t>https://www.munzee.com/m/Boston2005/11050/</t>
  </si>
  <si>
    <t>https://www.munzee.com/m/Boston2005/12085/</t>
  </si>
  <si>
    <t>https://www.munzee.com/m/Boston2005/10776/</t>
  </si>
  <si>
    <t>https://www.munzee.com/m/Boston2005/10777/</t>
  </si>
  <si>
    <t>https://www.munzee.com/m/Boston2005/12399/</t>
  </si>
  <si>
    <t>https://www.munzee.com/m/Boston2005/12443/</t>
  </si>
  <si>
    <t>https://www.munzee.com/m/ekageo/1459/</t>
  </si>
  <si>
    <t xml:space="preserve">WangoTango </t>
  </si>
  <si>
    <t>https://www.munzee.com/m/Wangotango/1794</t>
  </si>
  <si>
    <t>einkilorind/3407/</t>
  </si>
  <si>
    <t>https://www.munzee.com/m/tk79/8814/</t>
  </si>
  <si>
    <t>einkilorind/3437/</t>
  </si>
  <si>
    <t>einkilorind/3464/</t>
  </si>
  <si>
    <t>https://www.munzee.com/m/tk79/8813/</t>
  </si>
  <si>
    <t>https://www.munzee.com/m/tk79/8812/</t>
  </si>
  <si>
    <t>https://www.munzee.com/m/tk79/8811/</t>
  </si>
  <si>
    <t>einkilorind/3465/</t>
  </si>
  <si>
    <t>einkilorind/3433/</t>
  </si>
  <si>
    <t>https://www.munzee.com/m/tk79/8810/</t>
  </si>
  <si>
    <t>einkilorind/3539/</t>
  </si>
  <si>
    <t>https://www.munzee.com/m/3Tiger/4547/</t>
  </si>
  <si>
    <t>https://www.munzee.com/m/Mamuti/473/</t>
  </si>
  <si>
    <t>https://www.munzee.com/m/ekageo/1479/admin/</t>
  </si>
  <si>
    <t>https://www.munzee.com/m/Mamuti/386</t>
  </si>
  <si>
    <t>https://www.munzee.com/m/tk79/1192/</t>
  </si>
  <si>
    <t>einkilorind/3890/</t>
  </si>
  <si>
    <t>https://www.munzee.com/m/tk79/8809/</t>
  </si>
  <si>
    <t>https://www.munzee.com/m/tk79/8757/</t>
  </si>
  <si>
    <t>https://www.munzee.com/m/tk79/9057/</t>
  </si>
  <si>
    <t>https://www.munzee.com/m/tk79/8857/</t>
  </si>
  <si>
    <t>https://www.munzee.com/m/tk79/8992/</t>
  </si>
  <si>
    <t>https://www.munzee.com/m/tk79/8988/</t>
  </si>
  <si>
    <t>https://www.munzee.com/m/tk79/9066/</t>
  </si>
  <si>
    <t>https://www.munzee.com/m/tk79/9070/</t>
  </si>
  <si>
    <t>https://www.munzee.com/m/tk79/9069/</t>
  </si>
  <si>
    <t>https://www.munzee.com/m/tk79/9068/</t>
  </si>
  <si>
    <t>https://www.munzee.com/m/tk79/9067/</t>
  </si>
  <si>
    <t>https://www.munzee.com/m/tk79/9071/</t>
  </si>
  <si>
    <t>https://www.munzee.com/m/3Tiger/4548</t>
  </si>
  <si>
    <t>https://www.munzee.com/m/csThanner/2239/</t>
  </si>
  <si>
    <t>https://www.munzee.com/m/Loewenjaeger/1001/</t>
  </si>
  <si>
    <t>https://www.munzee.com/m/Bluelady77/837/</t>
  </si>
  <si>
    <t>https://www.munzee.com/m/csThanner/2241/</t>
  </si>
  <si>
    <t>https://www.munzee.com/m/csThanner/2248/</t>
  </si>
  <si>
    <t>https://www.munzee.com/m/csThanner/2263/</t>
  </si>
  <si>
    <t>https://www.munzee.com/m/csThanner/2264/</t>
  </si>
  <si>
    <t>https://www.munzee.com/m/tk79/1193/</t>
  </si>
  <si>
    <t>https://www.munzee.com/m/tk79/9094/</t>
  </si>
  <si>
    <t>https://www.munzee.com/m/tk79/9109/</t>
  </si>
  <si>
    <t>https://www.munzee.com/m/tk79/9089/</t>
  </si>
  <si>
    <t>https://www.munzee.com/m/tk79/9093/</t>
  </si>
  <si>
    <t>https://www.munzee.com/m/tk79/9091/</t>
  </si>
  <si>
    <t>https://www.munzee.com/m/tk79/9090/</t>
  </si>
  <si>
    <t>https://www.munzee.com/m/3Tiger/4660</t>
  </si>
  <si>
    <t>destolkjes4ever</t>
  </si>
  <si>
    <t>https://www.munzee.com/m/destolkjes4ever/1615/</t>
  </si>
  <si>
    <t>https://www.munzee.com/m/tk79/1194/</t>
  </si>
  <si>
    <t>JaroslavKaas</t>
  </si>
  <si>
    <t>https://www.munzee.com/m/tk79/9065/</t>
  </si>
  <si>
    <t>https://www.munzee.com/m/3Tiger/4664</t>
  </si>
  <si>
    <t>https://www.munzee.com/m/destolkjes4ever/1613/</t>
  </si>
  <si>
    <t>https://www.munzee.com/m/Dad35/11027</t>
  </si>
  <si>
    <t>https://www.munzee.com/m/Dad35/10686/</t>
  </si>
  <si>
    <t>Frikandelbroodjes</t>
  </si>
  <si>
    <t>https://www.munzee.com/m/Hansa65/2015/</t>
  </si>
  <si>
    <t>HansaRostockFans</t>
  </si>
  <si>
    <t>https://www.munzee.com/m/HansaRostockFans/1765/</t>
  </si>
  <si>
    <t>TheLabGuys</t>
  </si>
  <si>
    <t>https://www.munzee.com/m/tk79/1195/</t>
  </si>
  <si>
    <t>https://www.munzee.com/m/tk79/1196/</t>
  </si>
  <si>
    <t>BennyKjeldEgon</t>
  </si>
  <si>
    <t>struwel</t>
  </si>
  <si>
    <t>https://www.munzee.com/m/struwel/10567</t>
  </si>
  <si>
    <t>https://www.munzee.com/m/destolkjes4ever/1590/</t>
  </si>
  <si>
    <t>https://www.munzee.com/m/Dad35/11026</t>
  </si>
  <si>
    <t>https://www.munzee.com/m/Dad35/10791</t>
  </si>
  <si>
    <t>NikitaStolk</t>
  </si>
  <si>
    <t>https://www.munzee.com/m/NikitaStolk/1318/</t>
  </si>
  <si>
    <t>https://www.munzee.com/m/HansaRostockFans/1764/</t>
  </si>
  <si>
    <t>https://www.munzee.com/m/csThanner/2270/</t>
  </si>
  <si>
    <t>https://www.munzee.com/m/csThanner/2277/</t>
  </si>
  <si>
    <t>https://www.munzee.com/m/csThanner/2278/</t>
  </si>
  <si>
    <t>https://www.munzee.com/m/csThanner/2280/</t>
  </si>
  <si>
    <t>https://www.munzee.com/m/csThanner/2298/</t>
  </si>
  <si>
    <t>https://www.munzee.com/m/csThanner/2304/</t>
  </si>
  <si>
    <t>https://www.munzee.com/m/HansaRostockFans/1754/</t>
  </si>
  <si>
    <t>https://www.munzee.com/m/tk79/8465/</t>
  </si>
  <si>
    <t>https://www.munzee.com/m/tk79/1198/</t>
  </si>
  <si>
    <t>https://www.munzee.com/m/Dad35/10922/</t>
  </si>
  <si>
    <t>https://www.munzee.com/m/Dad35/10798/</t>
  </si>
  <si>
    <t>https://www.munzee.com/m/tk79/9316/</t>
  </si>
  <si>
    <t>https://www.munzee.com/m/tk79/9125/</t>
  </si>
  <si>
    <t>https://www.munzee.com/m/tk79/9142/</t>
  </si>
  <si>
    <t>https://www.munzee.com/m/tk79/9317/</t>
  </si>
  <si>
    <t>https://www.munzee.com/m/tk79/9318/</t>
  </si>
  <si>
    <t>https://www.munzee.com/m/tk79/9233/</t>
  </si>
  <si>
    <t>https://www.munzee.com/m/mik007/4163/</t>
  </si>
  <si>
    <t>https://www.munzee.com/m/NikitaStolk/1423/</t>
  </si>
  <si>
    <t>https://www.munzee.com/m/HansaRostockFans/1741/</t>
  </si>
  <si>
    <t>WiPaMa</t>
  </si>
  <si>
    <t>https://www.munzee.com/m/WiPaMa/3042/</t>
  </si>
  <si>
    <t>https://www.munzee.com/m/Boston2005/12220/</t>
  </si>
  <si>
    <t>https://www.munzee.com/m/Boston2005/12252/</t>
  </si>
  <si>
    <t>https://www.munzee.com/m/Boston2005/11915</t>
  </si>
  <si>
    <t>https://www.munzee.com/m/Boston2005/11914/</t>
  </si>
  <si>
    <t>Bitux</t>
  </si>
  <si>
    <t>https://www.munzee.com/m/BituX/10497</t>
  </si>
  <si>
    <t>https://www.munzee.com/m/tk79/8461/</t>
  </si>
  <si>
    <t>https://www.munzee.com/m/tk79/1199/</t>
  </si>
  <si>
    <t>https://www.munzee.com/m/MrIVV/3632/</t>
  </si>
  <si>
    <t>https://www.munzee.com/m/MrIVV/3633/</t>
  </si>
  <si>
    <t>https://www.munzee.com/m/MrIVV/3051/</t>
  </si>
  <si>
    <t>https://www.munzee.com/m/MrIVV/3587/</t>
  </si>
  <si>
    <t>https://www.munzee.com/m/MrIVV/3625/</t>
  </si>
  <si>
    <t>https://www.munzee.com/m/MrIVV/3631/</t>
  </si>
  <si>
    <t>https://www.munzee.com/m/Dad35/10840/</t>
  </si>
  <si>
    <t>https://www.munzee.com/m/Dad35/10841</t>
  </si>
  <si>
    <t>https://www.munzee.com/m/tk79/8827/</t>
  </si>
  <si>
    <t>https://www.munzee.com/m/tk79/8828/</t>
  </si>
  <si>
    <t>https://www.munzee.com/m/tk79/8829/</t>
  </si>
  <si>
    <t>https://www.munzee.com/m/tk79/8830/</t>
  </si>
  <si>
    <t>https://www.munzee.com/m/tk79/8831/</t>
  </si>
  <si>
    <t>TheYeetedyoutuber</t>
  </si>
  <si>
    <t>https://www.munzee.com/m/TheYeetedYoutuber/248</t>
  </si>
  <si>
    <t>https://www.munzee.com/m/tk79/8832/</t>
  </si>
  <si>
    <t>kazzee</t>
  </si>
  <si>
    <t>https://www.munzee.com/m/Kazzee/267</t>
  </si>
  <si>
    <t>https://www.munzee.com/m/tk79/8833/</t>
  </si>
  <si>
    <t>Theyeetedyoutuber</t>
  </si>
  <si>
    <t>https://www.munzee.com/m/TheYeetedYoutuber/255</t>
  </si>
  <si>
    <t>https://www.munzee.com/m/tk79/8834/</t>
  </si>
  <si>
    <t>https://www.munzee.com/m/tk79/8835/</t>
  </si>
  <si>
    <t>https://www.munzee.com/m/tk79/8836/</t>
  </si>
  <si>
    <t>thorkel</t>
  </si>
  <si>
    <t>https://www.munzee.com/m/tk79/8837/</t>
  </si>
  <si>
    <t>https://www.munzee.com/m/tk79/8847/</t>
  </si>
  <si>
    <t>https://www.munzee.com/m/tk79/8850/</t>
  </si>
  <si>
    <t>https://www.munzee.com/m/tk79/7996/</t>
  </si>
  <si>
    <t>https://www.munzee.com/m/tk79/8204/</t>
  </si>
  <si>
    <t>https://www.munzee.com/m/tk79/8359/</t>
  </si>
  <si>
    <t>https://www.munzee.com/m/tk79/8610/</t>
  </si>
  <si>
    <t>https://www.munzee.com/m/ekageo/1454</t>
  </si>
  <si>
    <t>dofke220</t>
  </si>
  <si>
    <t>https://www.munzee.com/m/dofke220/1275</t>
  </si>
  <si>
    <t>https://www.munzee.com/m/WiPaMa/3041/</t>
  </si>
  <si>
    <t>https://www.munzee.com/m/Boston2005/12072/</t>
  </si>
  <si>
    <t>https://www.munzee.com/m/Boston2005/11937/</t>
  </si>
  <si>
    <t>https://www.munzee.com/m/Boston2005/12083/</t>
  </si>
  <si>
    <t>https://www.munzee.com/m/Boston2005/12082/</t>
  </si>
  <si>
    <t>https://www.munzee.com/m/Boston2005/12081/</t>
  </si>
  <si>
    <t>https://www.munzee.com/m/Boston2005/12080/</t>
  </si>
  <si>
    <t>https://www.munzee.com/m/Boston2005/12079/</t>
  </si>
  <si>
    <t>Alzarius</t>
  </si>
  <si>
    <t>https://www.munzee.com/m/tk79/8449/</t>
  </si>
  <si>
    <t>https://www.munzee.com/m/tk79/1200/</t>
  </si>
  <si>
    <t>ichbinderneue</t>
  </si>
  <si>
    <t>https://www.munzee.com/m/MrIVV/3634/</t>
  </si>
  <si>
    <t>https://www.munzee.com/m/MrIVV/3641/</t>
  </si>
  <si>
    <t>https://www.munzee.com/m/MrIVV/3642/</t>
  </si>
  <si>
    <t>https://www.munzee.com/m/MrIVV/3645/</t>
  </si>
  <si>
    <t>https://www.munzee.com/m/MrIVV/3651/</t>
  </si>
  <si>
    <t>https://www.munzee.com/m/Nierenstein/9206/</t>
  </si>
  <si>
    <t>https://www.munzee.com/m/Boston2005/11913/</t>
  </si>
  <si>
    <t>https://www.munzee.com/m/Boston2005/11912/</t>
  </si>
  <si>
    <t>https://www.munzee.com/m/Boston2005/11911/</t>
  </si>
  <si>
    <t>https://www.munzee.com/m/CrazyLadyLisa/14857/</t>
  </si>
  <si>
    <t>cuttingcrew</t>
  </si>
  <si>
    <t>barefootguru</t>
  </si>
  <si>
    <t>https://www.munzee.com/m/Dad35/10760</t>
  </si>
  <si>
    <t>https://www.munzee.com/m/BestNighty/1133</t>
  </si>
  <si>
    <t>https://www.munzee.com/m/tk79/8446</t>
  </si>
  <si>
    <t>https://www.munzee.com/m/tk79/8444</t>
  </si>
  <si>
    <t>https://www.munzee.com/m/tk79/8208/</t>
  </si>
  <si>
    <t>https://www.munzee.com/m/tk79/1202/</t>
  </si>
  <si>
    <t>https://www.munzee.com/m/tk79/1203/</t>
  </si>
  <si>
    <t>https://www.munzee.com/m/tk79/1204/</t>
  </si>
  <si>
    <t>https://www.munzee.com/m/tk79/1205/</t>
  </si>
  <si>
    <t>https://www.munzee.com/m/tk79/1208/</t>
  </si>
  <si>
    <t>https://www.munzee.com/m/tk79/1212/</t>
  </si>
  <si>
    <t>https://www.munzee.com/m/tk79/1214/</t>
  </si>
  <si>
    <t>https://www.munzee.com/m/tk79/1215/</t>
  </si>
  <si>
    <t>https://www.munzee.com/m/tk79/1216/</t>
  </si>
  <si>
    <t>https://www.munzee.com/m/tk79/1218/</t>
  </si>
  <si>
    <t>https://www.munzee.com/m/tk79/1220/</t>
  </si>
  <si>
    <t>https://www.munzee.com/m/tk79/1221/</t>
  </si>
  <si>
    <t>https://www.munzee.com/m/tk79/1222/</t>
  </si>
  <si>
    <t>https://www.munzee.com/m/Elli/8263/</t>
  </si>
  <si>
    <t>https://www.munzee.com/m/Elli/8320/</t>
  </si>
  <si>
    <t>https://www.munzee.com/m/Elli/8276/</t>
  </si>
  <si>
    <t>https://www.munzee.com/m/Elli/7852/</t>
  </si>
  <si>
    <t>https://www.munzee.com/m/Elli/7458/</t>
  </si>
  <si>
    <t>https://www.munzee.com/m/Elli/7567/</t>
  </si>
  <si>
    <t>chickenrun</t>
  </si>
  <si>
    <t>https://www.munzee.com/m/ChickenRun/21353/</t>
  </si>
  <si>
    <t>https://www.munzee.com/m/ekageo/1439/</t>
  </si>
  <si>
    <t>Please do NOT delete the following line. You will need it if you want to load the CSV file back to the map!</t>
  </si>
  <si>
    <t>URL: gardenpainter.ide.sk</t>
  </si>
  <si>
    <t>Name</t>
  </si>
  <si>
    <t>Clan
Weapon</t>
  </si>
  <si>
    <t>White
Virtual</t>
  </si>
  <si>
    <t>Names</t>
  </si>
  <si>
    <t>Clan Weapon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</si>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</sst>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"/>
    <numFmt numFmtId="166" formatCode="mmmm d yyyy"/>
  </numFmts>
  <fonts count="27">
    <font>
      <sz val="10.0"/>
      <color rgb="FF000000"/>
      <name val="Arial"/>
    </font>
    <font>
      <b/>
      <sz val="12.0"/>
      <color rgb="FF000000"/>
      <name val="Arial"/>
    </font>
    <font>
      <sz val="12.0"/>
      <name val="Arial"/>
    </font>
    <font>
      <sz val="10.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b/>
      <sz val="11.0"/>
      <name val="Arial"/>
    </font>
    <font>
      <b/>
      <sz val="11.0"/>
      <color rgb="FF000000"/>
      <name val="Arial"/>
    </font>
    <font>
      <b/>
    </font>
    <font>
      <b/>
      <sz val="11.0"/>
      <color rgb="FFFFFFFF"/>
      <name val="Arial"/>
    </font>
    <font/>
    <font>
      <sz val="12.0"/>
    </font>
    <font>
      <u/>
      <color rgb="FF0000FF"/>
    </font>
    <font>
      <sz val="11.0"/>
      <color rgb="FF000000"/>
      <name val="Inconsolata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color rgb="FF000000"/>
      <name val="Arial"/>
    </font>
    <font>
      <u/>
      <sz val="10.0"/>
      <color rgb="FF0000FF"/>
      <name val="Arial"/>
    </font>
    <font>
      <color rgb="FF000000"/>
      <name val="Roboto"/>
    </font>
    <font>
      <name val="Arial"/>
    </font>
    <font>
      <u/>
      <color rgb="FF0000FF"/>
    </font>
    <font>
      <u/>
      <color rgb="FF0000FF"/>
    </font>
    <font>
      <b/>
      <u/>
      <color rgb="FF0000FF"/>
    </font>
    <font>
      <u/>
      <color rgb="FF0000FF"/>
    </font>
    <font>
      <b/>
      <sz val="12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39B"/>
        <bgColor rgb="FFFFD39B"/>
      </patternFill>
    </fill>
  </fills>
  <borders count="11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bottom style="thin">
        <color rgb="FF000000"/>
      </bottom>
    </border>
    <border>
      <right style="medium">
        <color rgb="FFCCCCCC"/>
      </right>
      <bottom style="medium">
        <color rgb="FF000000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vertical="bottom"/>
    </xf>
    <xf borderId="2" fillId="0" fontId="7" numFmtId="0" xfId="0" applyAlignment="1" applyBorder="1" applyFont="1">
      <alignment horizontal="center" vertical="bottom"/>
    </xf>
    <xf borderId="2" fillId="0" fontId="7" numFmtId="10" xfId="0" applyAlignment="1" applyBorder="1" applyFont="1" applyNumberFormat="1">
      <alignment horizontal="center" vertical="bottom"/>
    </xf>
    <xf borderId="3" fillId="0" fontId="6" numFmtId="0" xfId="0" applyAlignment="1" applyBorder="1" applyFont="1">
      <alignment vertical="bottom"/>
    </xf>
    <xf borderId="4" fillId="0" fontId="7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vertical="center"/>
    </xf>
    <xf borderId="5" fillId="0" fontId="6" numFmtId="0" xfId="0" applyAlignment="1" applyBorder="1" applyFont="1">
      <alignment vertical="bottom"/>
    </xf>
    <xf borderId="1" fillId="0" fontId="7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center"/>
    </xf>
    <xf borderId="2" fillId="0" fontId="6" numFmtId="0" xfId="0" applyAlignment="1" applyBorder="1" applyFont="1">
      <alignment horizontal="center" vertical="bottom"/>
    </xf>
    <xf borderId="6" fillId="0" fontId="7" numFmtId="0" xfId="0" applyAlignment="1" applyBorder="1" applyFont="1">
      <alignment horizontal="center" shrinkToFit="0" vertical="bottom" wrapText="1"/>
    </xf>
    <xf borderId="7" fillId="0" fontId="7" numFmtId="0" xfId="0" applyAlignment="1" applyBorder="1" applyFont="1">
      <alignment horizontal="center" vertical="bottom"/>
    </xf>
    <xf borderId="8" fillId="0" fontId="7" numFmtId="0" xfId="0" applyAlignment="1" applyBorder="1" applyFont="1">
      <alignment horizontal="center" vertical="bottom"/>
    </xf>
    <xf borderId="9" fillId="0" fontId="7" numFmtId="0" xfId="0" applyAlignment="1" applyBorder="1" applyFont="1">
      <alignment horizontal="center" vertical="bottom"/>
    </xf>
    <xf borderId="10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vertical="bottom"/>
    </xf>
    <xf borderId="9" fillId="3" fontId="9" numFmtId="0" xfId="0" applyAlignment="1" applyBorder="1" applyFill="1" applyFont="1">
      <alignment horizontal="center" readingOrder="0" vertical="bottom"/>
    </xf>
    <xf borderId="10" fillId="3" fontId="9" numFmtId="0" xfId="0" applyAlignment="1" applyBorder="1" applyFont="1">
      <alignment horizontal="center" vertical="bottom"/>
    </xf>
    <xf borderId="4" fillId="3" fontId="9" numFmtId="0" xfId="0" applyAlignment="1" applyBorder="1" applyFont="1">
      <alignment horizontal="center" vertical="bottom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2" fontId="13" numFmtId="0" xfId="0" applyFont="1"/>
    <xf borderId="0" fillId="0" fontId="10" numFmtId="164" xfId="0" applyAlignment="1" applyFont="1" applyNumberFormat="1">
      <alignment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vertical="center"/>
    </xf>
    <xf borderId="0" fillId="2" fontId="18" numFmtId="0" xfId="0" applyAlignment="1" applyFont="1">
      <alignment horizontal="center" readingOrder="0"/>
    </xf>
    <xf borderId="0" fillId="0" fontId="10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center" readingOrder="0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center" vertical="center"/>
    </xf>
    <xf borderId="0" fillId="0" fontId="10" numFmtId="165" xfId="0" applyAlignment="1" applyFont="1" applyNumberFormat="1">
      <alignment readingOrder="0"/>
    </xf>
    <xf borderId="0" fillId="0" fontId="22" numFmtId="0" xfId="0" applyAlignment="1" applyFont="1">
      <alignment horizontal="center" vertical="center"/>
    </xf>
    <xf borderId="0" fillId="0" fontId="23" numFmtId="0" xfId="0" applyAlignment="1" applyFont="1">
      <alignment horizontal="center" readingOrder="0"/>
    </xf>
    <xf borderId="0" fillId="0" fontId="10" numFmtId="166" xfId="0" applyAlignment="1" applyFont="1" applyNumberFormat="1">
      <alignment readingOrder="0"/>
    </xf>
    <xf borderId="0" fillId="0" fontId="24" numFmtId="0" xfId="0" applyAlignment="1" applyFont="1">
      <alignment horizontal="center" readingOrder="0" vertical="center"/>
    </xf>
    <xf borderId="0" fillId="0" fontId="25" numFmtId="0" xfId="0" applyAlignment="1" applyFont="1">
      <alignment horizontal="center" readingOrder="0" shrinkToFit="0" vertical="center" wrapText="0"/>
    </xf>
    <xf borderId="0" fillId="2" fontId="18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/>
    </xf>
    <xf borderId="0" fillId="0" fontId="26" numFmtId="0" xfId="0" applyAlignment="1" applyFont="1">
      <alignment horizontal="center" readingOrder="0" vertical="center"/>
    </xf>
  </cellXfs>
  <cellStyles count="1">
    <cellStyle xfId="0" name="Normal" builtinId="0"/>
  </cellStyles>
  <dxfs count="1">
    <dxf>
      <font>
        <color rgb="FFFFFFFF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0</xdr:row>
      <xdr:rowOff>19050</xdr:rowOff>
    </xdr:from>
    <xdr:ext cx="2933700" cy="2724150"/>
    <xdr:pic>
      <xdr:nvPicPr>
        <xdr:cNvPr id="0" name="image1.jp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unzee.com/m/OHail/16637/" TargetMode="External"/><Relationship Id="rId194" Type="http://schemas.openxmlformats.org/officeDocument/2006/relationships/hyperlink" Target="https://www.munzee.com/m/boerse82/6123/" TargetMode="External"/><Relationship Id="rId193" Type="http://schemas.openxmlformats.org/officeDocument/2006/relationships/hyperlink" Target="https://www.munzee.com/m/OHail/14070/" TargetMode="External"/><Relationship Id="rId192" Type="http://schemas.openxmlformats.org/officeDocument/2006/relationships/hyperlink" Target="https://www.munzee.com/m/HabakukTibatong/1268/map/" TargetMode="External"/><Relationship Id="rId191" Type="http://schemas.openxmlformats.org/officeDocument/2006/relationships/hyperlink" Target="https://www.munzee.com/m/90mile/1011/" TargetMode="External"/><Relationship Id="rId187" Type="http://schemas.openxmlformats.org/officeDocument/2006/relationships/hyperlink" Target="https://www.munzee.com/m/HabakukTibatong/1274/map/" TargetMode="External"/><Relationship Id="rId186" Type="http://schemas.openxmlformats.org/officeDocument/2006/relationships/hyperlink" Target="https://www.munzee.com/m/Elli/6661/" TargetMode="External"/><Relationship Id="rId185" Type="http://schemas.openxmlformats.org/officeDocument/2006/relationships/hyperlink" Target="https://www.munzee.com/m/HabakukTibatong/1250/map/" TargetMode="External"/><Relationship Id="rId184" Type="http://schemas.openxmlformats.org/officeDocument/2006/relationships/hyperlink" Target="https://www.munzee.com/m/heinbloed/1885/map/" TargetMode="External"/><Relationship Id="rId189" Type="http://schemas.openxmlformats.org/officeDocument/2006/relationships/hyperlink" Target="https://www.munzee.com/m/3Tiger/6310/" TargetMode="External"/><Relationship Id="rId188" Type="http://schemas.openxmlformats.org/officeDocument/2006/relationships/hyperlink" Target="https://www.munzee.com/m/Keni/1140/" TargetMode="External"/><Relationship Id="rId183" Type="http://schemas.openxmlformats.org/officeDocument/2006/relationships/hyperlink" Target="https://www.munzee.com/m/HabakukTibatong/1278/map/" TargetMode="External"/><Relationship Id="rId182" Type="http://schemas.openxmlformats.org/officeDocument/2006/relationships/hyperlink" Target="https://www.munzee.com/m/heinbloed/1888/map/" TargetMode="External"/><Relationship Id="rId181" Type="http://schemas.openxmlformats.org/officeDocument/2006/relationships/hyperlink" Target="https://www.munzee.com/m/mihul/3302" TargetMode="External"/><Relationship Id="rId180" Type="http://schemas.openxmlformats.org/officeDocument/2006/relationships/hyperlink" Target="https://www.munzee.com/m/tk79/8694/" TargetMode="External"/><Relationship Id="rId176" Type="http://schemas.openxmlformats.org/officeDocument/2006/relationships/hyperlink" Target="https://www.munzee.com/m/BestNighty/1142/" TargetMode="External"/><Relationship Id="rId175" Type="http://schemas.openxmlformats.org/officeDocument/2006/relationships/hyperlink" Target="https://www.munzee.com/m/BestNighty/1044/" TargetMode="External"/><Relationship Id="rId174" Type="http://schemas.openxmlformats.org/officeDocument/2006/relationships/hyperlink" Target="https://www.munzee.com/m/BestNighty/1058/" TargetMode="External"/><Relationship Id="rId173" Type="http://schemas.openxmlformats.org/officeDocument/2006/relationships/hyperlink" Target="https://www.munzee.com/m/BestNighty/1059/" TargetMode="External"/><Relationship Id="rId179" Type="http://schemas.openxmlformats.org/officeDocument/2006/relationships/hyperlink" Target="https://www.munzee.com/m/ArchieRuby/440/" TargetMode="External"/><Relationship Id="rId178" Type="http://schemas.openxmlformats.org/officeDocument/2006/relationships/hyperlink" Target="https://www.munzee.com/m/mihul/3304/" TargetMode="External"/><Relationship Id="rId177" Type="http://schemas.openxmlformats.org/officeDocument/2006/relationships/hyperlink" Target="https://www.munzee.com/m/mihul/3419" TargetMode="External"/><Relationship Id="rId198" Type="http://schemas.openxmlformats.org/officeDocument/2006/relationships/hyperlink" Target="https://www.munzee.com/m/tk79/8604/" TargetMode="External"/><Relationship Id="rId197" Type="http://schemas.openxmlformats.org/officeDocument/2006/relationships/hyperlink" Target="https://www.munzee.com/m/tk79/8207/" TargetMode="External"/><Relationship Id="rId196" Type="http://schemas.openxmlformats.org/officeDocument/2006/relationships/hyperlink" Target="https://www.munzee.com/m/boerse82/6119/" TargetMode="External"/><Relationship Id="rId195" Type="http://schemas.openxmlformats.org/officeDocument/2006/relationships/hyperlink" Target="https://www.munzee.com/m/BestNighty/1070/" TargetMode="External"/><Relationship Id="rId199" Type="http://schemas.openxmlformats.org/officeDocument/2006/relationships/hyperlink" Target="https://www.munzee.com/m/BestNighty/1071/" TargetMode="External"/><Relationship Id="rId150" Type="http://schemas.openxmlformats.org/officeDocument/2006/relationships/hyperlink" Target="https://www.munzee.com/m/BestNighty/976/" TargetMode="External"/><Relationship Id="rId392" Type="http://schemas.openxmlformats.org/officeDocument/2006/relationships/hyperlink" Target="https://www.munzee.com/m/Flattermaus/3614/" TargetMode="External"/><Relationship Id="rId391" Type="http://schemas.openxmlformats.org/officeDocument/2006/relationships/hyperlink" Target="https://www.munzee.com/m/valsey/4575/" TargetMode="External"/><Relationship Id="rId390" Type="http://schemas.openxmlformats.org/officeDocument/2006/relationships/hyperlink" Target="https://www.munzee.com/m/Takenbychance/391/" TargetMode="External"/><Relationship Id="rId1" Type="http://schemas.openxmlformats.org/officeDocument/2006/relationships/hyperlink" Target="https://docs.google.com/spreadsheets/d/1pUhAyQh_NdF81ylJuyMYgHmKZORgNwpZfp-bEI6W3Rw/" TargetMode="External"/><Relationship Id="rId2" Type="http://schemas.openxmlformats.org/officeDocument/2006/relationships/hyperlink" Target="https://www.munzee.com/map/u1x0738ez/14.0" TargetMode="External"/><Relationship Id="rId3" Type="http://schemas.openxmlformats.org/officeDocument/2006/relationships/hyperlink" Target="https://www.munzee.com/m/Mariabettina/2246/" TargetMode="External"/><Relationship Id="rId149" Type="http://schemas.openxmlformats.org/officeDocument/2006/relationships/hyperlink" Target="https://www.munzee.com/m/BestNighty/977/" TargetMode="External"/><Relationship Id="rId4" Type="http://schemas.openxmlformats.org/officeDocument/2006/relationships/hyperlink" Target="https://www.munzee.com/m/Engel19/7698/" TargetMode="External"/><Relationship Id="rId148" Type="http://schemas.openxmlformats.org/officeDocument/2006/relationships/hyperlink" Target="https://www.munzee.com/m/SachensucherHB/1604/" TargetMode="External"/><Relationship Id="rId9" Type="http://schemas.openxmlformats.org/officeDocument/2006/relationships/hyperlink" Target="https://www.munzee.com/m/teamkiwii/8102/" TargetMode="External"/><Relationship Id="rId143" Type="http://schemas.openxmlformats.org/officeDocument/2006/relationships/hyperlink" Target="https://www.munzee.com/m/SachensucherHB/1600/" TargetMode="External"/><Relationship Id="rId385" Type="http://schemas.openxmlformats.org/officeDocument/2006/relationships/hyperlink" Target="https://www.munzee.com/m/tomtom71/5905/" TargetMode="External"/><Relationship Id="rId142" Type="http://schemas.openxmlformats.org/officeDocument/2006/relationships/hyperlink" Target="https://www.munzee.com/m/Felice01/345/" TargetMode="External"/><Relationship Id="rId384" Type="http://schemas.openxmlformats.org/officeDocument/2006/relationships/hyperlink" Target="https://www.munzee.com/m/mandello/7161/" TargetMode="External"/><Relationship Id="rId141" Type="http://schemas.openxmlformats.org/officeDocument/2006/relationships/hyperlink" Target="https://www.munzee.com/m/SachensucherHB/1594/" TargetMode="External"/><Relationship Id="rId383" Type="http://schemas.openxmlformats.org/officeDocument/2006/relationships/hyperlink" Target="https://www.munzee.com/m/Bungle/2891" TargetMode="External"/><Relationship Id="rId140" Type="http://schemas.openxmlformats.org/officeDocument/2006/relationships/hyperlink" Target="https://www.munzee.com/m/3Tiger/6488/" TargetMode="External"/><Relationship Id="rId382" Type="http://schemas.openxmlformats.org/officeDocument/2006/relationships/hyperlink" Target="https://www.munzee.com/m/Queenlynz/1480/" TargetMode="External"/><Relationship Id="rId5" Type="http://schemas.openxmlformats.org/officeDocument/2006/relationships/hyperlink" Target="https://www.munzee.com/m/teamkiwii/8109/" TargetMode="External"/><Relationship Id="rId147" Type="http://schemas.openxmlformats.org/officeDocument/2006/relationships/hyperlink" Target="https://www.munzee.com/m/DonkoGu/259/" TargetMode="External"/><Relationship Id="rId389" Type="http://schemas.openxmlformats.org/officeDocument/2006/relationships/hyperlink" Target="https://www.munzee.com/m/SachensucherHB/1670/" TargetMode="External"/><Relationship Id="rId6" Type="http://schemas.openxmlformats.org/officeDocument/2006/relationships/hyperlink" Target="https://www.munzee.com/m/mierischclan/2751/admin/" TargetMode="External"/><Relationship Id="rId146" Type="http://schemas.openxmlformats.org/officeDocument/2006/relationships/hyperlink" Target="https://www.munzee.com/m/BestNighty/978/" TargetMode="External"/><Relationship Id="rId388" Type="http://schemas.openxmlformats.org/officeDocument/2006/relationships/hyperlink" Target="https://www.munzee.com/m/ol0n0lo/761/" TargetMode="External"/><Relationship Id="rId7" Type="http://schemas.openxmlformats.org/officeDocument/2006/relationships/hyperlink" Target="https://www.munzee.com/m/tk79/8669/" TargetMode="External"/><Relationship Id="rId145" Type="http://schemas.openxmlformats.org/officeDocument/2006/relationships/hyperlink" Target="https://www.munzee.com/m/SachensucherHB/1602/" TargetMode="External"/><Relationship Id="rId387" Type="http://schemas.openxmlformats.org/officeDocument/2006/relationships/hyperlink" Target="https://www.munzee.com/m/Sjael/1545/" TargetMode="External"/><Relationship Id="rId8" Type="http://schemas.openxmlformats.org/officeDocument/2006/relationships/hyperlink" Target="https://www.munzee.com/m/Coconut99/317/" TargetMode="External"/><Relationship Id="rId144" Type="http://schemas.openxmlformats.org/officeDocument/2006/relationships/hyperlink" Target="https://www.munzee.com/m/BestNighty/979/" TargetMode="External"/><Relationship Id="rId386" Type="http://schemas.openxmlformats.org/officeDocument/2006/relationships/hyperlink" Target="https://www.munzee.com/m/Sjael/1642/" TargetMode="External"/><Relationship Id="rId381" Type="http://schemas.openxmlformats.org/officeDocument/2006/relationships/hyperlink" Target="https://www.munzee.com/m/AbelianGrape/17/" TargetMode="External"/><Relationship Id="rId380" Type="http://schemas.openxmlformats.org/officeDocument/2006/relationships/hyperlink" Target="https://www.munzee.com/m/soule122/1453/" TargetMode="External"/><Relationship Id="rId139" Type="http://schemas.openxmlformats.org/officeDocument/2006/relationships/hyperlink" Target="https://www.munzee.com/m/Coconut99/346/" TargetMode="External"/><Relationship Id="rId138" Type="http://schemas.openxmlformats.org/officeDocument/2006/relationships/hyperlink" Target="https://www.munzee.com/m/tk79/1189/" TargetMode="External"/><Relationship Id="rId137" Type="http://schemas.openxmlformats.org/officeDocument/2006/relationships/hyperlink" Target="https://www.munzee.com/m/SachensucherHB/1593/" TargetMode="External"/><Relationship Id="rId379" Type="http://schemas.openxmlformats.org/officeDocument/2006/relationships/hyperlink" Target="https://www.munzee.com/m/HansaRostock/1935/" TargetMode="External"/><Relationship Id="rId132" Type="http://schemas.openxmlformats.org/officeDocument/2006/relationships/hyperlink" Target="https://www.munzee.com/m/Inspector1/300/" TargetMode="External"/><Relationship Id="rId374" Type="http://schemas.openxmlformats.org/officeDocument/2006/relationships/hyperlink" Target="https://www.munzee.com/m/IanZ/7347/" TargetMode="External"/><Relationship Id="rId131" Type="http://schemas.openxmlformats.org/officeDocument/2006/relationships/hyperlink" Target="https://www.munzee.com/m/zwirk/383/" TargetMode="External"/><Relationship Id="rId373" Type="http://schemas.openxmlformats.org/officeDocument/2006/relationships/hyperlink" Target="https://www.munzee.com/m/SachensucherHB/1580/" TargetMode="External"/><Relationship Id="rId130" Type="http://schemas.openxmlformats.org/officeDocument/2006/relationships/hyperlink" Target="https://www.munzee.com/m/Scanmaster/296/" TargetMode="External"/><Relationship Id="rId372" Type="http://schemas.openxmlformats.org/officeDocument/2006/relationships/hyperlink" Target="https://www.munzee.com/m/boerse82/5491/" TargetMode="External"/><Relationship Id="rId371" Type="http://schemas.openxmlformats.org/officeDocument/2006/relationships/hyperlink" Target="https://www.munzee.com/m/Flattermaus/3619/" TargetMode="External"/><Relationship Id="rId136" Type="http://schemas.openxmlformats.org/officeDocument/2006/relationships/hyperlink" Target="https://www.munzee.com/m/3Tiger/6492" TargetMode="External"/><Relationship Id="rId378" Type="http://schemas.openxmlformats.org/officeDocument/2006/relationships/hyperlink" Target="https://www.munzee.com/m/Kumadog/688/" TargetMode="External"/><Relationship Id="rId135" Type="http://schemas.openxmlformats.org/officeDocument/2006/relationships/hyperlink" Target="https://www.munzee.com/m/Sweety25/283/" TargetMode="External"/><Relationship Id="rId377" Type="http://schemas.openxmlformats.org/officeDocument/2006/relationships/hyperlink" Target="https://www.munzee.com/m/Takenbychance/372/" TargetMode="External"/><Relationship Id="rId134" Type="http://schemas.openxmlformats.org/officeDocument/2006/relationships/hyperlink" Target="https://www.munzee.com/m/Trinktroll/294/" TargetMode="External"/><Relationship Id="rId376" Type="http://schemas.openxmlformats.org/officeDocument/2006/relationships/hyperlink" Target="https://www.munzee.com/m/SachensucherHB/1581/" TargetMode="External"/><Relationship Id="rId133" Type="http://schemas.openxmlformats.org/officeDocument/2006/relationships/hyperlink" Target="https://www.munzee.com/m/Wonderworld/332/" TargetMode="External"/><Relationship Id="rId375" Type="http://schemas.openxmlformats.org/officeDocument/2006/relationships/hyperlink" Target="https://www.munzee.com/m/AbelianGrape/79/" TargetMode="External"/><Relationship Id="rId172" Type="http://schemas.openxmlformats.org/officeDocument/2006/relationships/hyperlink" Target="https://www.munzee.com/m/BestNighty/1069/" TargetMode="External"/><Relationship Id="rId171" Type="http://schemas.openxmlformats.org/officeDocument/2006/relationships/hyperlink" Target="https://www.munzee.com/m/BestNighty/1056/" TargetMode="External"/><Relationship Id="rId170" Type="http://schemas.openxmlformats.org/officeDocument/2006/relationships/hyperlink" Target="https://www.munzee.com/m/mik007/3309/" TargetMode="External"/><Relationship Id="rId165" Type="http://schemas.openxmlformats.org/officeDocument/2006/relationships/hyperlink" Target="https://www.munzee.com/m/BestNighty/1042/" TargetMode="External"/><Relationship Id="rId164" Type="http://schemas.openxmlformats.org/officeDocument/2006/relationships/hyperlink" Target="https://www.munzee.com/m/3Tiger/6447/" TargetMode="External"/><Relationship Id="rId163" Type="http://schemas.openxmlformats.org/officeDocument/2006/relationships/hyperlink" Target="https://www.munzee.com/m/3Tiger/6458/" TargetMode="External"/><Relationship Id="rId162" Type="http://schemas.openxmlformats.org/officeDocument/2006/relationships/hyperlink" Target="https://www.munzee.com/m/BestNighty/1041/" TargetMode="External"/><Relationship Id="rId169" Type="http://schemas.openxmlformats.org/officeDocument/2006/relationships/hyperlink" Target="https://www.munzee.com/m/mihul/3469/" TargetMode="External"/><Relationship Id="rId168" Type="http://schemas.openxmlformats.org/officeDocument/2006/relationships/hyperlink" Target="https://www.munzee.com/m/tk79/8206/" TargetMode="External"/><Relationship Id="rId167" Type="http://schemas.openxmlformats.org/officeDocument/2006/relationships/hyperlink" Target="https://www.munzee.com/m/tk79/1986/" TargetMode="External"/><Relationship Id="rId166" Type="http://schemas.openxmlformats.org/officeDocument/2006/relationships/hyperlink" Target="https://www.munzee.com/m/mihul/3530/" TargetMode="External"/><Relationship Id="rId161" Type="http://schemas.openxmlformats.org/officeDocument/2006/relationships/hyperlink" Target="https://www.munzee.com/m/3Tiger/6460" TargetMode="External"/><Relationship Id="rId160" Type="http://schemas.openxmlformats.org/officeDocument/2006/relationships/hyperlink" Target="https://www.munzee.com/m/tk79/8695/" TargetMode="External"/><Relationship Id="rId159" Type="http://schemas.openxmlformats.org/officeDocument/2006/relationships/hyperlink" Target="https://www.munzee.com/m/tk79/8699/" TargetMode="External"/><Relationship Id="rId154" Type="http://schemas.openxmlformats.org/officeDocument/2006/relationships/hyperlink" Target="https://www.munzee.com/m/BestNighty/1017/" TargetMode="External"/><Relationship Id="rId396" Type="http://schemas.openxmlformats.org/officeDocument/2006/relationships/hyperlink" Target="https://www.munzee.com/m/Dad35/10506/" TargetMode="External"/><Relationship Id="rId153" Type="http://schemas.openxmlformats.org/officeDocument/2006/relationships/hyperlink" Target="https://www.munzee.com/m/BestNighty/1016/" TargetMode="External"/><Relationship Id="rId395" Type="http://schemas.openxmlformats.org/officeDocument/2006/relationships/hyperlink" Target="https://www.munzee.com/m/Kumadog/660/" TargetMode="External"/><Relationship Id="rId152" Type="http://schemas.openxmlformats.org/officeDocument/2006/relationships/hyperlink" Target="https://www.munzee.com/m/3Tiger/6477/" TargetMode="External"/><Relationship Id="rId394" Type="http://schemas.openxmlformats.org/officeDocument/2006/relationships/hyperlink" Target="https://www.munzee.com/m/valsey/4486/" TargetMode="External"/><Relationship Id="rId151" Type="http://schemas.openxmlformats.org/officeDocument/2006/relationships/hyperlink" Target="https://www.munzee.com/m/BestNighty/965/" TargetMode="External"/><Relationship Id="rId393" Type="http://schemas.openxmlformats.org/officeDocument/2006/relationships/hyperlink" Target="https://www.munzee.com/m/Dad35/10505/" TargetMode="External"/><Relationship Id="rId158" Type="http://schemas.openxmlformats.org/officeDocument/2006/relationships/hyperlink" Target="https://www.munzee.com/m/tk79/8700/" TargetMode="External"/><Relationship Id="rId157" Type="http://schemas.openxmlformats.org/officeDocument/2006/relationships/hyperlink" Target="https://www.munzee.com/m/tk79/8745/" TargetMode="External"/><Relationship Id="rId399" Type="http://schemas.openxmlformats.org/officeDocument/2006/relationships/hyperlink" Target="https://www.munzee.com/m/Dad35/10508/" TargetMode="External"/><Relationship Id="rId156" Type="http://schemas.openxmlformats.org/officeDocument/2006/relationships/hyperlink" Target="https://www.munzee.com/m/tk79/8756/" TargetMode="External"/><Relationship Id="rId398" Type="http://schemas.openxmlformats.org/officeDocument/2006/relationships/hyperlink" Target="https://www.munzee.com/m/Takenbychance/393/" TargetMode="External"/><Relationship Id="rId155" Type="http://schemas.openxmlformats.org/officeDocument/2006/relationships/hyperlink" Target="https://www.munzee.com/m/tk79/8759/" TargetMode="External"/><Relationship Id="rId397" Type="http://schemas.openxmlformats.org/officeDocument/2006/relationships/hyperlink" Target="https://www.munzee.com/m/valsey/4747/" TargetMode="External"/><Relationship Id="rId808" Type="http://schemas.openxmlformats.org/officeDocument/2006/relationships/hyperlink" Target="https://www.munzee.com/m/Dad35/10760" TargetMode="External"/><Relationship Id="rId807" Type="http://schemas.openxmlformats.org/officeDocument/2006/relationships/hyperlink" Target="https://www.munzee.com/m/CrazyLadyLisa/14857/" TargetMode="External"/><Relationship Id="rId806" Type="http://schemas.openxmlformats.org/officeDocument/2006/relationships/hyperlink" Target="https://www.munzee.com/m/Boston2005/11911/" TargetMode="External"/><Relationship Id="rId805" Type="http://schemas.openxmlformats.org/officeDocument/2006/relationships/hyperlink" Target="https://www.munzee.com/m/Boston2005/11912/" TargetMode="External"/><Relationship Id="rId809" Type="http://schemas.openxmlformats.org/officeDocument/2006/relationships/hyperlink" Target="https://www.munzee.com/m/BestNighty/1133" TargetMode="External"/><Relationship Id="rId800" Type="http://schemas.openxmlformats.org/officeDocument/2006/relationships/hyperlink" Target="https://www.munzee.com/m/MrIVV/3642/" TargetMode="External"/><Relationship Id="rId804" Type="http://schemas.openxmlformats.org/officeDocument/2006/relationships/hyperlink" Target="https://www.munzee.com/m/Boston2005/11913/" TargetMode="External"/><Relationship Id="rId803" Type="http://schemas.openxmlformats.org/officeDocument/2006/relationships/hyperlink" Target="https://www.munzee.com/m/Nierenstein/9206/" TargetMode="External"/><Relationship Id="rId802" Type="http://schemas.openxmlformats.org/officeDocument/2006/relationships/hyperlink" Target="https://www.munzee.com/m/MrIVV/3651/" TargetMode="External"/><Relationship Id="rId801" Type="http://schemas.openxmlformats.org/officeDocument/2006/relationships/hyperlink" Target="https://www.munzee.com/m/MrIVV/3645/" TargetMode="External"/><Relationship Id="rId40" Type="http://schemas.openxmlformats.org/officeDocument/2006/relationships/hyperlink" Target="https://www.munzee.com/m/3Tiger/6388" TargetMode="External"/><Relationship Id="rId42" Type="http://schemas.openxmlformats.org/officeDocument/2006/relationships/hyperlink" Target="https://www.munzee.com/m/Lyal/481/" TargetMode="External"/><Relationship Id="rId41" Type="http://schemas.openxmlformats.org/officeDocument/2006/relationships/hyperlink" Target="https://www.munzee.com/m/Sjael/1655/" TargetMode="External"/><Relationship Id="rId44" Type="http://schemas.openxmlformats.org/officeDocument/2006/relationships/hyperlink" Target="https://www.munzee.com/m/12gove/1337/" TargetMode="External"/><Relationship Id="rId43" Type="http://schemas.openxmlformats.org/officeDocument/2006/relationships/hyperlink" Target="https://www.munzee.com/m/3Tiger/6387" TargetMode="External"/><Relationship Id="rId46" Type="http://schemas.openxmlformats.org/officeDocument/2006/relationships/hyperlink" Target="https://www.munzee.com/m/3Tiger/6385/" TargetMode="External"/><Relationship Id="rId45" Type="http://schemas.openxmlformats.org/officeDocument/2006/relationships/hyperlink" Target="https://www.munzee.com/m/Trunte2002/2115/" TargetMode="External"/><Relationship Id="rId509" Type="http://schemas.openxmlformats.org/officeDocument/2006/relationships/hyperlink" Target="https://www.munzee.com/m/Nenuorama/2688/" TargetMode="External"/><Relationship Id="rId508" Type="http://schemas.openxmlformats.org/officeDocument/2006/relationships/hyperlink" Target="https://www.munzee.com/m/TFAL/2979/" TargetMode="External"/><Relationship Id="rId503" Type="http://schemas.openxmlformats.org/officeDocument/2006/relationships/hyperlink" Target="https://www.munzee.com/m/Nenuorama/2695/" TargetMode="External"/><Relationship Id="rId745" Type="http://schemas.openxmlformats.org/officeDocument/2006/relationships/hyperlink" Target="https://www.munzee.com/m/tk79/9318/" TargetMode="External"/><Relationship Id="rId502" Type="http://schemas.openxmlformats.org/officeDocument/2006/relationships/hyperlink" Target="https://www.munzee.com/m/TFAL/3325/" TargetMode="External"/><Relationship Id="rId744" Type="http://schemas.openxmlformats.org/officeDocument/2006/relationships/hyperlink" Target="https://www.munzee.com/m/tk79/9317/" TargetMode="External"/><Relationship Id="rId501" Type="http://schemas.openxmlformats.org/officeDocument/2006/relationships/hyperlink" Target="https://www.munzee.com/m/Boesj01/2685/" TargetMode="External"/><Relationship Id="rId743" Type="http://schemas.openxmlformats.org/officeDocument/2006/relationships/hyperlink" Target="https://www.munzee.com/m/tk79/9142/" TargetMode="External"/><Relationship Id="rId500" Type="http://schemas.openxmlformats.org/officeDocument/2006/relationships/hyperlink" Target="https://www.munzee.com/m/Nenuorama/2701/" TargetMode="External"/><Relationship Id="rId742" Type="http://schemas.openxmlformats.org/officeDocument/2006/relationships/hyperlink" Target="https://www.munzee.com/m/tk79/9125/" TargetMode="External"/><Relationship Id="rId507" Type="http://schemas.openxmlformats.org/officeDocument/2006/relationships/hyperlink" Target="https://www.munzee.com/m/Bluelady77/819/" TargetMode="External"/><Relationship Id="rId749" Type="http://schemas.openxmlformats.org/officeDocument/2006/relationships/hyperlink" Target="https://www.munzee.com/m/HansaRostockFans/1741/" TargetMode="External"/><Relationship Id="rId506" Type="http://schemas.openxmlformats.org/officeDocument/2006/relationships/hyperlink" Target="https://www.munzee.com/m/Loewenjaeger/931" TargetMode="External"/><Relationship Id="rId748" Type="http://schemas.openxmlformats.org/officeDocument/2006/relationships/hyperlink" Target="https://www.munzee.com/m/NikitaStolk/1423/" TargetMode="External"/><Relationship Id="rId505" Type="http://schemas.openxmlformats.org/officeDocument/2006/relationships/hyperlink" Target="https://www.munzee.com/m/TFAL/3365/" TargetMode="External"/><Relationship Id="rId747" Type="http://schemas.openxmlformats.org/officeDocument/2006/relationships/hyperlink" Target="https://www.munzee.com/m/mik007/4163/" TargetMode="External"/><Relationship Id="rId504" Type="http://schemas.openxmlformats.org/officeDocument/2006/relationships/hyperlink" Target="https://www.munzee.com/m/Boesj01/2684/" TargetMode="External"/><Relationship Id="rId746" Type="http://schemas.openxmlformats.org/officeDocument/2006/relationships/hyperlink" Target="https://www.munzee.com/m/tk79/9233/" TargetMode="External"/><Relationship Id="rId48" Type="http://schemas.openxmlformats.org/officeDocument/2006/relationships/hyperlink" Target="https://www.munzee.com/m/Trunte2002/2121/" TargetMode="External"/><Relationship Id="rId47" Type="http://schemas.openxmlformats.org/officeDocument/2006/relationships/hyperlink" Target="https://www.munzee.com/m/12gove/1345/" TargetMode="External"/><Relationship Id="rId49" Type="http://schemas.openxmlformats.org/officeDocument/2006/relationships/hyperlink" Target="https://www.munzee.com/m/HansaRostock/1940/" TargetMode="External"/><Relationship Id="rId741" Type="http://schemas.openxmlformats.org/officeDocument/2006/relationships/hyperlink" Target="https://www.munzee.com/m/tk79/9316/" TargetMode="External"/><Relationship Id="rId740" Type="http://schemas.openxmlformats.org/officeDocument/2006/relationships/hyperlink" Target="https://www.munzee.com/m/Dad35/10798/" TargetMode="External"/><Relationship Id="rId31" Type="http://schemas.openxmlformats.org/officeDocument/2006/relationships/hyperlink" Target="https://www.munzee.com/m/Arendt/2252/admin/" TargetMode="External"/><Relationship Id="rId30" Type="http://schemas.openxmlformats.org/officeDocument/2006/relationships/hyperlink" Target="https://www.munzee.com/m/Atrots/2646" TargetMode="External"/><Relationship Id="rId33" Type="http://schemas.openxmlformats.org/officeDocument/2006/relationships/hyperlink" Target="https://www.munzee.com/m/3Tiger/6400/" TargetMode="External"/><Relationship Id="rId32" Type="http://schemas.openxmlformats.org/officeDocument/2006/relationships/hyperlink" Target="https://www.munzee.com/m/heinbloed/1876/map/" TargetMode="External"/><Relationship Id="rId35" Type="http://schemas.openxmlformats.org/officeDocument/2006/relationships/hyperlink" Target="https://www.munzee.com/m/LailaBP/2398/" TargetMode="External"/><Relationship Id="rId34" Type="http://schemas.openxmlformats.org/officeDocument/2006/relationships/hyperlink" Target="https://www.munzee.com/m/Cinnamons/2614/" TargetMode="External"/><Relationship Id="rId739" Type="http://schemas.openxmlformats.org/officeDocument/2006/relationships/hyperlink" Target="https://www.munzee.com/m/Dad35/10922/" TargetMode="External"/><Relationship Id="rId734" Type="http://schemas.openxmlformats.org/officeDocument/2006/relationships/hyperlink" Target="https://www.munzee.com/m/csThanner/2298/" TargetMode="External"/><Relationship Id="rId733" Type="http://schemas.openxmlformats.org/officeDocument/2006/relationships/hyperlink" Target="https://www.munzee.com/m/csThanner/2280/" TargetMode="External"/><Relationship Id="rId732" Type="http://schemas.openxmlformats.org/officeDocument/2006/relationships/hyperlink" Target="https://www.munzee.com/m/csThanner/2278/" TargetMode="External"/><Relationship Id="rId731" Type="http://schemas.openxmlformats.org/officeDocument/2006/relationships/hyperlink" Target="https://www.munzee.com/m/csThanner/2277/" TargetMode="External"/><Relationship Id="rId738" Type="http://schemas.openxmlformats.org/officeDocument/2006/relationships/hyperlink" Target="https://www.munzee.com/m/tk79/1198/" TargetMode="External"/><Relationship Id="rId737" Type="http://schemas.openxmlformats.org/officeDocument/2006/relationships/hyperlink" Target="https://www.munzee.com/m/tk79/8465/" TargetMode="External"/><Relationship Id="rId736" Type="http://schemas.openxmlformats.org/officeDocument/2006/relationships/hyperlink" Target="https://www.munzee.com/m/HansaRostockFans/1754/" TargetMode="External"/><Relationship Id="rId735" Type="http://schemas.openxmlformats.org/officeDocument/2006/relationships/hyperlink" Target="https://www.munzee.com/m/csThanner/2304/" TargetMode="External"/><Relationship Id="rId37" Type="http://schemas.openxmlformats.org/officeDocument/2006/relationships/hyperlink" Target="https://www.munzee.com/m/heinbloed/1857/map/" TargetMode="External"/><Relationship Id="rId36" Type="http://schemas.openxmlformats.org/officeDocument/2006/relationships/hyperlink" Target="https://www.munzee.com/m/3Tiger/6393/" TargetMode="External"/><Relationship Id="rId39" Type="http://schemas.openxmlformats.org/officeDocument/2006/relationships/hyperlink" Target="https://www.munzee.com/m/LailaBP/2411/" TargetMode="External"/><Relationship Id="rId38" Type="http://schemas.openxmlformats.org/officeDocument/2006/relationships/hyperlink" Target="https://www.munzee.com/m/3Tiger/6389/" TargetMode="External"/><Relationship Id="rId730" Type="http://schemas.openxmlformats.org/officeDocument/2006/relationships/hyperlink" Target="https://www.munzee.com/m/csThanner/2270/" TargetMode="External"/><Relationship Id="rId20" Type="http://schemas.openxmlformats.org/officeDocument/2006/relationships/hyperlink" Target="https://www.munzee.com/m/ankie249/3783/" TargetMode="External"/><Relationship Id="rId22" Type="http://schemas.openxmlformats.org/officeDocument/2006/relationships/hyperlink" Target="https://www.munzee.com/m/teach217/458/" TargetMode="External"/><Relationship Id="rId21" Type="http://schemas.openxmlformats.org/officeDocument/2006/relationships/hyperlink" Target="https://www.munzee.com/m/seal/4328" TargetMode="External"/><Relationship Id="rId24" Type="http://schemas.openxmlformats.org/officeDocument/2006/relationships/hyperlink" Target="https://www.munzee.com/m/stitcher42455/2243" TargetMode="External"/><Relationship Id="rId23" Type="http://schemas.openxmlformats.org/officeDocument/2006/relationships/hyperlink" Target="https://www.munzee.com/m/ncc1701e/3876" TargetMode="External"/><Relationship Id="rId525" Type="http://schemas.openxmlformats.org/officeDocument/2006/relationships/hyperlink" Target="https://www.munzee.com/m/tk79/7610/" TargetMode="External"/><Relationship Id="rId767" Type="http://schemas.openxmlformats.org/officeDocument/2006/relationships/hyperlink" Target="https://www.munzee.com/m/tk79/8828/" TargetMode="External"/><Relationship Id="rId524" Type="http://schemas.openxmlformats.org/officeDocument/2006/relationships/hyperlink" Target="https://www.munzee.com/m/HtV/7712/" TargetMode="External"/><Relationship Id="rId766" Type="http://schemas.openxmlformats.org/officeDocument/2006/relationships/hyperlink" Target="https://www.munzee.com/m/tk79/8827/" TargetMode="External"/><Relationship Id="rId523" Type="http://schemas.openxmlformats.org/officeDocument/2006/relationships/hyperlink" Target="https://www.munzee.com/m/LVBuccsFan/631" TargetMode="External"/><Relationship Id="rId765" Type="http://schemas.openxmlformats.org/officeDocument/2006/relationships/hyperlink" Target="https://www.munzee.com/m/Dad35/10841" TargetMode="External"/><Relationship Id="rId522" Type="http://schemas.openxmlformats.org/officeDocument/2006/relationships/hyperlink" Target="https://www.munzee.com/m/Nenuorama/2616/" TargetMode="External"/><Relationship Id="rId764" Type="http://schemas.openxmlformats.org/officeDocument/2006/relationships/hyperlink" Target="https://www.munzee.com/m/Dad35/10840/" TargetMode="External"/><Relationship Id="rId529" Type="http://schemas.openxmlformats.org/officeDocument/2006/relationships/hyperlink" Target="https://www.munzee.com/m/Dad35/11059/" TargetMode="External"/><Relationship Id="rId528" Type="http://schemas.openxmlformats.org/officeDocument/2006/relationships/hyperlink" Target="https://www.munzee.com/m/Dad35/11035/" TargetMode="External"/><Relationship Id="rId527" Type="http://schemas.openxmlformats.org/officeDocument/2006/relationships/hyperlink" Target="https://www.munzee.com/m/tk79/9054/" TargetMode="External"/><Relationship Id="rId769" Type="http://schemas.openxmlformats.org/officeDocument/2006/relationships/hyperlink" Target="https://www.munzee.com/m/tk79/8830/" TargetMode="External"/><Relationship Id="rId526" Type="http://schemas.openxmlformats.org/officeDocument/2006/relationships/hyperlink" Target="https://www.munzee.com/m/tk79/7609/" TargetMode="External"/><Relationship Id="rId768" Type="http://schemas.openxmlformats.org/officeDocument/2006/relationships/hyperlink" Target="https://www.munzee.com/m/tk79/8829/" TargetMode="External"/><Relationship Id="rId26" Type="http://schemas.openxmlformats.org/officeDocument/2006/relationships/hyperlink" Target="https://www.munzee.com/m/3Tiger/6422" TargetMode="External"/><Relationship Id="rId25" Type="http://schemas.openxmlformats.org/officeDocument/2006/relationships/hyperlink" Target="https://www.munzee.com/m/EmeraldAngel/2163" TargetMode="External"/><Relationship Id="rId28" Type="http://schemas.openxmlformats.org/officeDocument/2006/relationships/hyperlink" Target="https://www.munzee.com/m/EmeraldAngel/2131" TargetMode="External"/><Relationship Id="rId27" Type="http://schemas.openxmlformats.org/officeDocument/2006/relationships/hyperlink" Target="https://www.munzee.com/m/Tabata2/8361" TargetMode="External"/><Relationship Id="rId521" Type="http://schemas.openxmlformats.org/officeDocument/2006/relationships/hyperlink" Target="https://www.munzee.com/m/HtV/7685/" TargetMode="External"/><Relationship Id="rId763" Type="http://schemas.openxmlformats.org/officeDocument/2006/relationships/hyperlink" Target="https://www.munzee.com/m/MrIVV/3631/" TargetMode="External"/><Relationship Id="rId29" Type="http://schemas.openxmlformats.org/officeDocument/2006/relationships/hyperlink" Target="https://www.munzee.com/m/3Tiger/6419/" TargetMode="External"/><Relationship Id="rId520" Type="http://schemas.openxmlformats.org/officeDocument/2006/relationships/hyperlink" Target="https://www.munzee.com/m/Boesj01/2683/" TargetMode="External"/><Relationship Id="rId762" Type="http://schemas.openxmlformats.org/officeDocument/2006/relationships/hyperlink" Target="https://www.munzee.com/m/MrIVV/3625/" TargetMode="External"/><Relationship Id="rId761" Type="http://schemas.openxmlformats.org/officeDocument/2006/relationships/hyperlink" Target="https://www.munzee.com/m/MrIVV/3587/" TargetMode="External"/><Relationship Id="rId760" Type="http://schemas.openxmlformats.org/officeDocument/2006/relationships/hyperlink" Target="https://www.munzee.com/m/MrIVV/3051/" TargetMode="External"/><Relationship Id="rId11" Type="http://schemas.openxmlformats.org/officeDocument/2006/relationships/hyperlink" Target="https://www.munzee.com/m/teamkiwii/8097/" TargetMode="External"/><Relationship Id="rId10" Type="http://schemas.openxmlformats.org/officeDocument/2006/relationships/hyperlink" Target="https://www.munzee.com/m/Mariabettina/2267/" TargetMode="External"/><Relationship Id="rId13" Type="http://schemas.openxmlformats.org/officeDocument/2006/relationships/hyperlink" Target="https://www.munzee.com/m/teamkiwii/8079/" TargetMode="External"/><Relationship Id="rId12" Type="http://schemas.openxmlformats.org/officeDocument/2006/relationships/hyperlink" Target="https://www.munzee.com/m/ncc1701e/3878" TargetMode="External"/><Relationship Id="rId519" Type="http://schemas.openxmlformats.org/officeDocument/2006/relationships/hyperlink" Target="https://www.munzee.com/m/Nenuorama/2629/" TargetMode="External"/><Relationship Id="rId514" Type="http://schemas.openxmlformats.org/officeDocument/2006/relationships/hyperlink" Target="https://www.munzee.com/m/Nenuorama/2650/" TargetMode="External"/><Relationship Id="rId756" Type="http://schemas.openxmlformats.org/officeDocument/2006/relationships/hyperlink" Target="https://www.munzee.com/m/tk79/8461/" TargetMode="External"/><Relationship Id="rId513" Type="http://schemas.openxmlformats.org/officeDocument/2006/relationships/hyperlink" Target="https://www.munzee.com/m/Arendt/2665/admin/map/" TargetMode="External"/><Relationship Id="rId755" Type="http://schemas.openxmlformats.org/officeDocument/2006/relationships/hyperlink" Target="https://www.munzee.com/m/BituX/10497" TargetMode="External"/><Relationship Id="rId512" Type="http://schemas.openxmlformats.org/officeDocument/2006/relationships/hyperlink" Target="https://www.munzee.com/m/TFAL/3414/" TargetMode="External"/><Relationship Id="rId754" Type="http://schemas.openxmlformats.org/officeDocument/2006/relationships/hyperlink" Target="https://www.munzee.com/m/Boston2005/11914/" TargetMode="External"/><Relationship Id="rId511" Type="http://schemas.openxmlformats.org/officeDocument/2006/relationships/hyperlink" Target="https://www.munzee.com/m/Nenuorama/2657/" TargetMode="External"/><Relationship Id="rId753" Type="http://schemas.openxmlformats.org/officeDocument/2006/relationships/hyperlink" Target="https://www.munzee.com/m/Boston2005/11915" TargetMode="External"/><Relationship Id="rId518" Type="http://schemas.openxmlformats.org/officeDocument/2006/relationships/hyperlink" Target="https://www.munzee.com/m/Bluelady77/823/" TargetMode="External"/><Relationship Id="rId517" Type="http://schemas.openxmlformats.org/officeDocument/2006/relationships/hyperlink" Target="https://www.munzee.com/m/Loewenjaeger/932/" TargetMode="External"/><Relationship Id="rId759" Type="http://schemas.openxmlformats.org/officeDocument/2006/relationships/hyperlink" Target="https://www.munzee.com/m/MrIVV/3633/" TargetMode="External"/><Relationship Id="rId516" Type="http://schemas.openxmlformats.org/officeDocument/2006/relationships/hyperlink" Target="https://www.munzee.com/m/Arendt/2659/admin/" TargetMode="External"/><Relationship Id="rId758" Type="http://schemas.openxmlformats.org/officeDocument/2006/relationships/hyperlink" Target="https://www.munzee.com/m/MrIVV/3632/" TargetMode="External"/><Relationship Id="rId515" Type="http://schemas.openxmlformats.org/officeDocument/2006/relationships/hyperlink" Target="https://www.munzee.com/m/tk79/8464/" TargetMode="External"/><Relationship Id="rId757" Type="http://schemas.openxmlformats.org/officeDocument/2006/relationships/hyperlink" Target="https://www.munzee.com/m/tk79/1199/" TargetMode="External"/><Relationship Id="rId15" Type="http://schemas.openxmlformats.org/officeDocument/2006/relationships/hyperlink" Target="https://www.munzee.com/m/amigoth2de/1598/" TargetMode="External"/><Relationship Id="rId14" Type="http://schemas.openxmlformats.org/officeDocument/2006/relationships/hyperlink" Target="https://www.munzee.com/m/ankie249/3804/" TargetMode="External"/><Relationship Id="rId17" Type="http://schemas.openxmlformats.org/officeDocument/2006/relationships/hyperlink" Target="https://www.munzee.com/m/seal/4321" TargetMode="External"/><Relationship Id="rId16" Type="http://schemas.openxmlformats.org/officeDocument/2006/relationships/hyperlink" Target="https://www.munzee.com/m/ankie249/3799/" TargetMode="External"/><Relationship Id="rId19" Type="http://schemas.openxmlformats.org/officeDocument/2006/relationships/hyperlink" Target="https://www.munzee.com/m/seal/4322" TargetMode="External"/><Relationship Id="rId510" Type="http://schemas.openxmlformats.org/officeDocument/2006/relationships/hyperlink" Target="https://www.munzee.com/m/TFAL/3098/" TargetMode="External"/><Relationship Id="rId752" Type="http://schemas.openxmlformats.org/officeDocument/2006/relationships/hyperlink" Target="https://www.munzee.com/m/Boston2005/12252/" TargetMode="External"/><Relationship Id="rId18" Type="http://schemas.openxmlformats.org/officeDocument/2006/relationships/hyperlink" Target="https://www.munzee.com/m/ankie249/3789/" TargetMode="External"/><Relationship Id="rId751" Type="http://schemas.openxmlformats.org/officeDocument/2006/relationships/hyperlink" Target="https://www.munzee.com/m/Boston2005/12220/" TargetMode="External"/><Relationship Id="rId750" Type="http://schemas.openxmlformats.org/officeDocument/2006/relationships/hyperlink" Target="https://www.munzee.com/m/WiPaMa/3042/" TargetMode="External"/><Relationship Id="rId84" Type="http://schemas.openxmlformats.org/officeDocument/2006/relationships/hyperlink" Target="https://www.munzee.com/m/SLAUGY/8587" TargetMode="External"/><Relationship Id="rId83" Type="http://schemas.openxmlformats.org/officeDocument/2006/relationships/hyperlink" Target="https://www.munzee.com/m/Flattermaus/3968/" TargetMode="External"/><Relationship Id="rId86" Type="http://schemas.openxmlformats.org/officeDocument/2006/relationships/hyperlink" Target="https://www.munzee.com/m/ddcards/4251" TargetMode="External"/><Relationship Id="rId85" Type="http://schemas.openxmlformats.org/officeDocument/2006/relationships/hyperlink" Target="https://www.munzee.com/m/bslaugh/7230/" TargetMode="External"/><Relationship Id="rId88" Type="http://schemas.openxmlformats.org/officeDocument/2006/relationships/hyperlink" Target="https://www.munzee.com/m/BestNighty/39/" TargetMode="External"/><Relationship Id="rId87" Type="http://schemas.openxmlformats.org/officeDocument/2006/relationships/hyperlink" Target="https://www.munzee.com/m/Shrlock/3576/" TargetMode="External"/><Relationship Id="rId89" Type="http://schemas.openxmlformats.org/officeDocument/2006/relationships/hyperlink" Target="https://www.munzee.com/m/Coconut99/165/" TargetMode="External"/><Relationship Id="rId709" Type="http://schemas.openxmlformats.org/officeDocument/2006/relationships/hyperlink" Target="https://www.munzee.com/m/tk79/9093/" TargetMode="External"/><Relationship Id="rId708" Type="http://schemas.openxmlformats.org/officeDocument/2006/relationships/hyperlink" Target="https://www.munzee.com/m/tk79/9089/" TargetMode="External"/><Relationship Id="rId707" Type="http://schemas.openxmlformats.org/officeDocument/2006/relationships/hyperlink" Target="https://www.munzee.com/m/tk79/9109/" TargetMode="External"/><Relationship Id="rId706" Type="http://schemas.openxmlformats.org/officeDocument/2006/relationships/hyperlink" Target="https://www.munzee.com/m/tk79/9094/" TargetMode="External"/><Relationship Id="rId80" Type="http://schemas.openxmlformats.org/officeDocument/2006/relationships/hyperlink" Target="https://www.munzee.com/m/3Tiger/6496" TargetMode="External"/><Relationship Id="rId82" Type="http://schemas.openxmlformats.org/officeDocument/2006/relationships/hyperlink" Target="https://www.munzee.com/m/3Tiger/6384/" TargetMode="External"/><Relationship Id="rId81" Type="http://schemas.openxmlformats.org/officeDocument/2006/relationships/hyperlink" Target="https://www.munzee.com/m/SachensucherHB/1608/" TargetMode="External"/><Relationship Id="rId701" Type="http://schemas.openxmlformats.org/officeDocument/2006/relationships/hyperlink" Target="https://www.munzee.com/m/csThanner/2241/" TargetMode="External"/><Relationship Id="rId700" Type="http://schemas.openxmlformats.org/officeDocument/2006/relationships/hyperlink" Target="https://www.munzee.com/m/Bluelady77/837/" TargetMode="External"/><Relationship Id="rId705" Type="http://schemas.openxmlformats.org/officeDocument/2006/relationships/hyperlink" Target="https://www.munzee.com/m/tk79/1193/" TargetMode="External"/><Relationship Id="rId704" Type="http://schemas.openxmlformats.org/officeDocument/2006/relationships/hyperlink" Target="https://www.munzee.com/m/csThanner/2264/" TargetMode="External"/><Relationship Id="rId703" Type="http://schemas.openxmlformats.org/officeDocument/2006/relationships/hyperlink" Target="https://www.munzee.com/m/csThanner/2263/" TargetMode="External"/><Relationship Id="rId702" Type="http://schemas.openxmlformats.org/officeDocument/2006/relationships/hyperlink" Target="https://www.munzee.com/m/csThanner/2248/" TargetMode="External"/><Relationship Id="rId73" Type="http://schemas.openxmlformats.org/officeDocument/2006/relationships/hyperlink" Target="https://www.munzee.com/m/BestNighty/293/" TargetMode="External"/><Relationship Id="rId72" Type="http://schemas.openxmlformats.org/officeDocument/2006/relationships/hyperlink" Target="https://www.munzee.com/m/Felice01/119/" TargetMode="External"/><Relationship Id="rId75" Type="http://schemas.openxmlformats.org/officeDocument/2006/relationships/hyperlink" Target="https://www.munzee.com/m/BestNighty/271/" TargetMode="External"/><Relationship Id="rId74" Type="http://schemas.openxmlformats.org/officeDocument/2006/relationships/hyperlink" Target="https://www.munzee.com/m/tk79/8448/" TargetMode="External"/><Relationship Id="rId77" Type="http://schemas.openxmlformats.org/officeDocument/2006/relationships/hyperlink" Target="https://www.munzee.com/m/Lewini/2135/" TargetMode="External"/><Relationship Id="rId76" Type="http://schemas.openxmlformats.org/officeDocument/2006/relationships/hyperlink" Target="https://www.munzee.com/m/ekageo/1446/" TargetMode="External"/><Relationship Id="rId79" Type="http://schemas.openxmlformats.org/officeDocument/2006/relationships/hyperlink" Target="https://www.munzee.com/m/boerse82/5324/" TargetMode="External"/><Relationship Id="rId78" Type="http://schemas.openxmlformats.org/officeDocument/2006/relationships/hyperlink" Target="https://www.munzee.com/m/oesel123/3313/" TargetMode="External"/><Relationship Id="rId71" Type="http://schemas.openxmlformats.org/officeDocument/2006/relationships/hyperlink" Target="https://www.munzee.com/m/Coconut99/164/" TargetMode="External"/><Relationship Id="rId70" Type="http://schemas.openxmlformats.org/officeDocument/2006/relationships/hyperlink" Target="https://www.munzee.com/m/BestNighty/294/" TargetMode="External"/><Relationship Id="rId62" Type="http://schemas.openxmlformats.org/officeDocument/2006/relationships/hyperlink" Target="https://www.munzee.com/m/HtV/9082/" TargetMode="External"/><Relationship Id="rId61" Type="http://schemas.openxmlformats.org/officeDocument/2006/relationships/hyperlink" Target="https://www.munzee.com/m/BestNighty/801/" TargetMode="External"/><Relationship Id="rId64" Type="http://schemas.openxmlformats.org/officeDocument/2006/relationships/hyperlink" Target="https://www.munzee.com/m/BestNighty/800/" TargetMode="External"/><Relationship Id="rId63" Type="http://schemas.openxmlformats.org/officeDocument/2006/relationships/hyperlink" Target="https://www.munzee.com/m/Felice01/137/" TargetMode="External"/><Relationship Id="rId66" Type="http://schemas.openxmlformats.org/officeDocument/2006/relationships/hyperlink" Target="https://www.munzee.com/m/Felice01/133/" TargetMode="External"/><Relationship Id="rId65" Type="http://schemas.openxmlformats.org/officeDocument/2006/relationships/hyperlink" Target="https://www.munzee.com/m/HtV/9084/" TargetMode="External"/><Relationship Id="rId68" Type="http://schemas.openxmlformats.org/officeDocument/2006/relationships/hyperlink" Target="https://www.munzee.com/m/HtV/9085/" TargetMode="External"/><Relationship Id="rId67" Type="http://schemas.openxmlformats.org/officeDocument/2006/relationships/hyperlink" Target="https://www.munzee.com/m/BestNighty/799/" TargetMode="External"/><Relationship Id="rId729" Type="http://schemas.openxmlformats.org/officeDocument/2006/relationships/hyperlink" Target="https://www.munzee.com/m/HansaRostockFans/1764/" TargetMode="External"/><Relationship Id="rId728" Type="http://schemas.openxmlformats.org/officeDocument/2006/relationships/hyperlink" Target="https://www.munzee.com/m/NikitaStolk/1318/" TargetMode="External"/><Relationship Id="rId60" Type="http://schemas.openxmlformats.org/officeDocument/2006/relationships/hyperlink" Target="https://www.munzee.com/m/Felice01/139/" TargetMode="External"/><Relationship Id="rId723" Type="http://schemas.openxmlformats.org/officeDocument/2006/relationships/hyperlink" Target="https://www.munzee.com/m/tk79/1196/" TargetMode="External"/><Relationship Id="rId722" Type="http://schemas.openxmlformats.org/officeDocument/2006/relationships/hyperlink" Target="https://www.munzee.com/m/tk79/1195/" TargetMode="External"/><Relationship Id="rId721" Type="http://schemas.openxmlformats.org/officeDocument/2006/relationships/hyperlink" Target="https://www.munzee.com/m/HansaRostockFans/1765/" TargetMode="External"/><Relationship Id="rId720" Type="http://schemas.openxmlformats.org/officeDocument/2006/relationships/hyperlink" Target="https://www.munzee.com/m/Hansa65/2015/" TargetMode="External"/><Relationship Id="rId727" Type="http://schemas.openxmlformats.org/officeDocument/2006/relationships/hyperlink" Target="https://www.munzee.com/m/Dad35/10791" TargetMode="External"/><Relationship Id="rId726" Type="http://schemas.openxmlformats.org/officeDocument/2006/relationships/hyperlink" Target="https://www.munzee.com/m/Dad35/11026" TargetMode="External"/><Relationship Id="rId725" Type="http://schemas.openxmlformats.org/officeDocument/2006/relationships/hyperlink" Target="https://www.munzee.com/m/destolkjes4ever/1590/" TargetMode="External"/><Relationship Id="rId724" Type="http://schemas.openxmlformats.org/officeDocument/2006/relationships/hyperlink" Target="https://www.munzee.com/m/struwel/10567" TargetMode="External"/><Relationship Id="rId69" Type="http://schemas.openxmlformats.org/officeDocument/2006/relationships/hyperlink" Target="https://www.munzee.com/m/Felice01/136/" TargetMode="External"/><Relationship Id="rId51" Type="http://schemas.openxmlformats.org/officeDocument/2006/relationships/hyperlink" Target="https://www.munzee.com/m/Finnleo/2204/" TargetMode="External"/><Relationship Id="rId50" Type="http://schemas.openxmlformats.org/officeDocument/2006/relationships/hyperlink" Target="https://www.munzee.com/m/Mamuti/473" TargetMode="External"/><Relationship Id="rId53" Type="http://schemas.openxmlformats.org/officeDocument/2006/relationships/hyperlink" Target="https://www.munzee.com/m/Mamuti/386/" TargetMode="External"/><Relationship Id="rId52" Type="http://schemas.openxmlformats.org/officeDocument/2006/relationships/hyperlink" Target="https://www.munzee.com/m/Cinnamons/2612/" TargetMode="External"/><Relationship Id="rId55" Type="http://schemas.openxmlformats.org/officeDocument/2006/relationships/hyperlink" Target="https://www.munzee.com/m/Finnleo/2211/" TargetMode="External"/><Relationship Id="rId54" Type="http://schemas.openxmlformats.org/officeDocument/2006/relationships/hyperlink" Target="https://www.munzee.com/m/IggiePiggie/4226/" TargetMode="External"/><Relationship Id="rId57" Type="http://schemas.openxmlformats.org/officeDocument/2006/relationships/hyperlink" Target="https://www.munzee.com/m/HtV/9069/" TargetMode="External"/><Relationship Id="rId56" Type="http://schemas.openxmlformats.org/officeDocument/2006/relationships/hyperlink" Target="https://www.munzee.com/m/boerse82/6095/" TargetMode="External"/><Relationship Id="rId719" Type="http://schemas.openxmlformats.org/officeDocument/2006/relationships/hyperlink" Target="https://www.munzee.com/m/Dad35/10686/" TargetMode="External"/><Relationship Id="rId718" Type="http://schemas.openxmlformats.org/officeDocument/2006/relationships/hyperlink" Target="https://www.munzee.com/m/Dad35/11027" TargetMode="External"/><Relationship Id="rId717" Type="http://schemas.openxmlformats.org/officeDocument/2006/relationships/hyperlink" Target="https://www.munzee.com/m/destolkjes4ever/1613/" TargetMode="External"/><Relationship Id="rId712" Type="http://schemas.openxmlformats.org/officeDocument/2006/relationships/hyperlink" Target="https://www.munzee.com/m/3Tiger/4660" TargetMode="External"/><Relationship Id="rId711" Type="http://schemas.openxmlformats.org/officeDocument/2006/relationships/hyperlink" Target="https://www.munzee.com/m/tk79/9090/" TargetMode="External"/><Relationship Id="rId710" Type="http://schemas.openxmlformats.org/officeDocument/2006/relationships/hyperlink" Target="https://www.munzee.com/m/tk79/9091/" TargetMode="External"/><Relationship Id="rId716" Type="http://schemas.openxmlformats.org/officeDocument/2006/relationships/hyperlink" Target="https://www.munzee.com/m/3Tiger/4664" TargetMode="External"/><Relationship Id="rId715" Type="http://schemas.openxmlformats.org/officeDocument/2006/relationships/hyperlink" Target="https://www.munzee.com/m/tk79/9065/" TargetMode="External"/><Relationship Id="rId714" Type="http://schemas.openxmlformats.org/officeDocument/2006/relationships/hyperlink" Target="https://www.munzee.com/m/tk79/1194/" TargetMode="External"/><Relationship Id="rId713" Type="http://schemas.openxmlformats.org/officeDocument/2006/relationships/hyperlink" Target="https://www.munzee.com/m/destolkjes4ever/1615/" TargetMode="External"/><Relationship Id="rId59" Type="http://schemas.openxmlformats.org/officeDocument/2006/relationships/hyperlink" Target="https://www.munzee.com/m/HtV/9081/" TargetMode="External"/><Relationship Id="rId58" Type="http://schemas.openxmlformats.org/officeDocument/2006/relationships/hyperlink" Target="https://www.munzee.com/m/Inspector1/109/" TargetMode="External"/><Relationship Id="rId590" Type="http://schemas.openxmlformats.org/officeDocument/2006/relationships/hyperlink" Target="https://www.munzee.com/m/SachensucherHB/1776/" TargetMode="External"/><Relationship Id="rId107" Type="http://schemas.openxmlformats.org/officeDocument/2006/relationships/hyperlink" Target="https://www.munzee.com/m/DarkHaribo/13748/" TargetMode="External"/><Relationship Id="rId349" Type="http://schemas.openxmlformats.org/officeDocument/2006/relationships/hyperlink" Target="https://www.munzee.com/m/elefantoduck/1112/" TargetMode="External"/><Relationship Id="rId106" Type="http://schemas.openxmlformats.org/officeDocument/2006/relationships/hyperlink" Target="https://www.munzee.com/m/Felice01/152/" TargetMode="External"/><Relationship Id="rId348" Type="http://schemas.openxmlformats.org/officeDocument/2006/relationships/hyperlink" Target="https://www.munzee.com/m/Flattermaus/3638/" TargetMode="External"/><Relationship Id="rId105" Type="http://schemas.openxmlformats.org/officeDocument/2006/relationships/hyperlink" Target="https://www.munzee.com/m/BestNighty/956/" TargetMode="External"/><Relationship Id="rId347" Type="http://schemas.openxmlformats.org/officeDocument/2006/relationships/hyperlink" Target="https://www.munzee.com/m/tk79/8472/" TargetMode="External"/><Relationship Id="rId589" Type="http://schemas.openxmlformats.org/officeDocument/2006/relationships/hyperlink" Target="https://www.munzee.com/m/csThanner/2224/admin/" TargetMode="External"/><Relationship Id="rId104" Type="http://schemas.openxmlformats.org/officeDocument/2006/relationships/hyperlink" Target="https://www.munzee.com/m/Bugama/315/" TargetMode="External"/><Relationship Id="rId346" Type="http://schemas.openxmlformats.org/officeDocument/2006/relationships/hyperlink" Target="https://www.munzee.com/m/3Tiger/6371" TargetMode="External"/><Relationship Id="rId588" Type="http://schemas.openxmlformats.org/officeDocument/2006/relationships/hyperlink" Target="https://www.munzee.com/m/erictheump/1492/" TargetMode="External"/><Relationship Id="rId109" Type="http://schemas.openxmlformats.org/officeDocument/2006/relationships/hyperlink" Target="https://www.munzee.com/m/Felice01/153/" TargetMode="External"/><Relationship Id="rId108" Type="http://schemas.openxmlformats.org/officeDocument/2006/relationships/hyperlink" Target="https://www.munzee.com/m/BestNighty/258/" TargetMode="External"/><Relationship Id="rId341" Type="http://schemas.openxmlformats.org/officeDocument/2006/relationships/hyperlink" Target="https://www.munzee.com/m/granitente/deploys/" TargetMode="External"/><Relationship Id="rId583" Type="http://schemas.openxmlformats.org/officeDocument/2006/relationships/hyperlink" Target="https://www.munzee.com/m/csThanner/2004/" TargetMode="External"/><Relationship Id="rId340" Type="http://schemas.openxmlformats.org/officeDocument/2006/relationships/hyperlink" Target="https://www.munzee.com/m/3Tiger/6391" TargetMode="External"/><Relationship Id="rId582" Type="http://schemas.openxmlformats.org/officeDocument/2006/relationships/hyperlink" Target="https://www.munzee.com/m/Loewenjaeger/962/" TargetMode="External"/><Relationship Id="rId581" Type="http://schemas.openxmlformats.org/officeDocument/2006/relationships/hyperlink" Target="https://www.munzee.com/m/Bluelady77/1981/" TargetMode="External"/><Relationship Id="rId580" Type="http://schemas.openxmlformats.org/officeDocument/2006/relationships/hyperlink" Target="https://www.munzee.com/m/SachensucherHB/1761/" TargetMode="External"/><Relationship Id="rId103" Type="http://schemas.openxmlformats.org/officeDocument/2006/relationships/hyperlink" Target="https://www.munzee.com/m/DarkHaribo/13743/" TargetMode="External"/><Relationship Id="rId345" Type="http://schemas.openxmlformats.org/officeDocument/2006/relationships/hyperlink" Target="https://www.munzee.com/m/Reart/401/" TargetMode="External"/><Relationship Id="rId587" Type="http://schemas.openxmlformats.org/officeDocument/2006/relationships/hyperlink" Target="https://www.munzee.com/m/SachensucherHB/1775/" TargetMode="External"/><Relationship Id="rId102" Type="http://schemas.openxmlformats.org/officeDocument/2006/relationships/hyperlink" Target="https://www.munzee.com/m/tk79/1184/" TargetMode="External"/><Relationship Id="rId344" Type="http://schemas.openxmlformats.org/officeDocument/2006/relationships/hyperlink" Target="https://www.munzee.com/m/Schlappentiger/2338/" TargetMode="External"/><Relationship Id="rId586" Type="http://schemas.openxmlformats.org/officeDocument/2006/relationships/hyperlink" Target="https://www.munzee.com/m/csThanner/2005/" TargetMode="External"/><Relationship Id="rId101" Type="http://schemas.openxmlformats.org/officeDocument/2006/relationships/hyperlink" Target="https://www.munzee.com/m/soule122/1455/" TargetMode="External"/><Relationship Id="rId343" Type="http://schemas.openxmlformats.org/officeDocument/2006/relationships/hyperlink" Target="https://www.munzee.com/m/3Tiger/6376" TargetMode="External"/><Relationship Id="rId585" Type="http://schemas.openxmlformats.org/officeDocument/2006/relationships/hyperlink" Target="https://www.munzee.com/m/erictheump/1493/" TargetMode="External"/><Relationship Id="rId100" Type="http://schemas.openxmlformats.org/officeDocument/2006/relationships/hyperlink" Target="https://www.munzee.com/m/DarkHaribo/" TargetMode="External"/><Relationship Id="rId342" Type="http://schemas.openxmlformats.org/officeDocument/2006/relationships/hyperlink" Target="https://www.munzee.com/m/Flattermaus/3639/" TargetMode="External"/><Relationship Id="rId584" Type="http://schemas.openxmlformats.org/officeDocument/2006/relationships/hyperlink" Target="https://www.munzee.com/m/SachensucherHB/1765/" TargetMode="External"/><Relationship Id="rId338" Type="http://schemas.openxmlformats.org/officeDocument/2006/relationships/hyperlink" Target="https://www.munzee.com/m/barbie657/1780/" TargetMode="External"/><Relationship Id="rId337" Type="http://schemas.openxmlformats.org/officeDocument/2006/relationships/hyperlink" Target="https://www.munzee.com/m/3Tiger/6415" TargetMode="External"/><Relationship Id="rId579" Type="http://schemas.openxmlformats.org/officeDocument/2006/relationships/hyperlink" Target="https://www.munzee.com/m/SachensucherHB/1760/" TargetMode="External"/><Relationship Id="rId336" Type="http://schemas.openxmlformats.org/officeDocument/2006/relationships/hyperlink" Target="https://www.munzee.com/m/Flattermaus/3647/" TargetMode="External"/><Relationship Id="rId578" Type="http://schemas.openxmlformats.org/officeDocument/2006/relationships/hyperlink" Target="https://www.munzee.com/m/volatile/343/" TargetMode="External"/><Relationship Id="rId335" Type="http://schemas.openxmlformats.org/officeDocument/2006/relationships/hyperlink" Target="https://www.munzee.com/m/barbie657/1788/" TargetMode="External"/><Relationship Id="rId577" Type="http://schemas.openxmlformats.org/officeDocument/2006/relationships/hyperlink" Target="https://www.munzee.com/m/SachensucherHB/1743/" TargetMode="External"/><Relationship Id="rId339" Type="http://schemas.openxmlformats.org/officeDocument/2006/relationships/hyperlink" Target="https://www.munzee.com/m/Flattermaus/3640/" TargetMode="External"/><Relationship Id="rId330" Type="http://schemas.openxmlformats.org/officeDocument/2006/relationships/hyperlink" Target="https://www.munzee.com/m/3Tiger/6446" TargetMode="External"/><Relationship Id="rId572" Type="http://schemas.openxmlformats.org/officeDocument/2006/relationships/hyperlink" Target="https://www.munzee.com/m/12gove/1309/" TargetMode="External"/><Relationship Id="rId571" Type="http://schemas.openxmlformats.org/officeDocument/2006/relationships/hyperlink" Target="https://www.munzee.com/m/Lyal/448/" TargetMode="External"/><Relationship Id="rId570" Type="http://schemas.openxmlformats.org/officeDocument/2006/relationships/hyperlink" Target="https://www.munzee.com/m/90mile/589/" TargetMode="External"/><Relationship Id="rId334" Type="http://schemas.openxmlformats.org/officeDocument/2006/relationships/hyperlink" Target="https://www.munzee.com/m/3Tiger/6424/a" TargetMode="External"/><Relationship Id="rId576" Type="http://schemas.openxmlformats.org/officeDocument/2006/relationships/hyperlink" Target="https://www.munzee.com/m/90mile/605/" TargetMode="External"/><Relationship Id="rId333" Type="http://schemas.openxmlformats.org/officeDocument/2006/relationships/hyperlink" Target="https://www.munzee.com/m/barbie657/1401" TargetMode="External"/><Relationship Id="rId575" Type="http://schemas.openxmlformats.org/officeDocument/2006/relationships/hyperlink" Target="https://www.munzee.com/m/Trunte2002/1957/" TargetMode="External"/><Relationship Id="rId332" Type="http://schemas.openxmlformats.org/officeDocument/2006/relationships/hyperlink" Target="https://www.munzee.com/m/3Tiger/6443/" TargetMode="External"/><Relationship Id="rId574" Type="http://schemas.openxmlformats.org/officeDocument/2006/relationships/hyperlink" Target="https://www.munzee.com/m/Mariabettina/1768/" TargetMode="External"/><Relationship Id="rId331" Type="http://schemas.openxmlformats.org/officeDocument/2006/relationships/hyperlink" Target="https://www.munzee.com/m/OHail/16884/" TargetMode="External"/><Relationship Id="rId573" Type="http://schemas.openxmlformats.org/officeDocument/2006/relationships/hyperlink" Target="https://www.munzee.com/m/90mile/603/" TargetMode="External"/><Relationship Id="rId370" Type="http://schemas.openxmlformats.org/officeDocument/2006/relationships/hyperlink" Target="https://www.munzee.com/m/RNils02/2046" TargetMode="External"/><Relationship Id="rId129" Type="http://schemas.openxmlformats.org/officeDocument/2006/relationships/hyperlink" Target="https://www.munzee.com/m/Bugama/312/" TargetMode="External"/><Relationship Id="rId128" Type="http://schemas.openxmlformats.org/officeDocument/2006/relationships/hyperlink" Target="https://www.munzee.com/m/Scanmaster/300/" TargetMode="External"/><Relationship Id="rId127" Type="http://schemas.openxmlformats.org/officeDocument/2006/relationships/hyperlink" Target="https://www.munzee.com/m/DonkoGu/262/" TargetMode="External"/><Relationship Id="rId369" Type="http://schemas.openxmlformats.org/officeDocument/2006/relationships/hyperlink" Target="https://www.munzee.com/m/boerse82/5697/" TargetMode="External"/><Relationship Id="rId126" Type="http://schemas.openxmlformats.org/officeDocument/2006/relationships/hyperlink" Target="https://www.munzee.com/m/Trinktroll/291/" TargetMode="External"/><Relationship Id="rId368" Type="http://schemas.openxmlformats.org/officeDocument/2006/relationships/hyperlink" Target="https://www.munzee.com/m/Flattermaus/3630/" TargetMode="External"/><Relationship Id="rId121" Type="http://schemas.openxmlformats.org/officeDocument/2006/relationships/hyperlink" Target="https://www.munzee.com/m/tk79/1188/" TargetMode="External"/><Relationship Id="rId363" Type="http://schemas.openxmlformats.org/officeDocument/2006/relationships/hyperlink" Target="https://www.munzee.com/m/elefantoduck/1216/" TargetMode="External"/><Relationship Id="rId120" Type="http://schemas.openxmlformats.org/officeDocument/2006/relationships/hyperlink" Target="https://www.munzee.com/m/Sweety25/256/" TargetMode="External"/><Relationship Id="rId362" Type="http://schemas.openxmlformats.org/officeDocument/2006/relationships/hyperlink" Target="https://www.munzee.com/m/boerse82/5706/" TargetMode="External"/><Relationship Id="rId361" Type="http://schemas.openxmlformats.org/officeDocument/2006/relationships/hyperlink" Target="https://www.munzee.com/m/granitente/4520/" TargetMode="External"/><Relationship Id="rId360" Type="http://schemas.openxmlformats.org/officeDocument/2006/relationships/hyperlink" Target="https://www.munzee.com/m/elefantoduck/1217/" TargetMode="External"/><Relationship Id="rId125" Type="http://schemas.openxmlformats.org/officeDocument/2006/relationships/hyperlink" Target="https://www.munzee.com/m/Wonderworld/331/" TargetMode="External"/><Relationship Id="rId367" Type="http://schemas.openxmlformats.org/officeDocument/2006/relationships/hyperlink" Target="https://www.munzee.com/m/Flattermaus/3633/" TargetMode="External"/><Relationship Id="rId124" Type="http://schemas.openxmlformats.org/officeDocument/2006/relationships/hyperlink" Target="https://www.munzee.com/m/tk79/8760/" TargetMode="External"/><Relationship Id="rId366" Type="http://schemas.openxmlformats.org/officeDocument/2006/relationships/hyperlink" Target="https://www.munzee.com/m/MrIVV/3016/" TargetMode="External"/><Relationship Id="rId123" Type="http://schemas.openxmlformats.org/officeDocument/2006/relationships/hyperlink" Target="https://www.munzee.com/m/BestNighty/964/" TargetMode="External"/><Relationship Id="rId365" Type="http://schemas.openxmlformats.org/officeDocument/2006/relationships/hyperlink" Target="https://www.munzee.com/m/HansaRostock/1939/" TargetMode="External"/><Relationship Id="rId122" Type="http://schemas.openxmlformats.org/officeDocument/2006/relationships/hyperlink" Target="https://www.munzee.com/m/Malik44/310/" TargetMode="External"/><Relationship Id="rId364" Type="http://schemas.openxmlformats.org/officeDocument/2006/relationships/hyperlink" Target="https://www.munzee.com/m/Flattermaus/3634/" TargetMode="External"/><Relationship Id="rId95" Type="http://schemas.openxmlformats.org/officeDocument/2006/relationships/hyperlink" Target="https://www.munzee.com/m/SachensucherHB/1745/" TargetMode="External"/><Relationship Id="rId94" Type="http://schemas.openxmlformats.org/officeDocument/2006/relationships/hyperlink" Target="https://www.munzee.com/m/BestNighty/41/" TargetMode="External"/><Relationship Id="rId97" Type="http://schemas.openxmlformats.org/officeDocument/2006/relationships/hyperlink" Target="https://www.munzee.com/m/Inspector1/147/" TargetMode="External"/><Relationship Id="rId96" Type="http://schemas.openxmlformats.org/officeDocument/2006/relationships/hyperlink" Target="https://www.munzee.com/m/Coconut99/159/" TargetMode="External"/><Relationship Id="rId99" Type="http://schemas.openxmlformats.org/officeDocument/2006/relationships/hyperlink" Target="https://www.munzee.com/m/Coconut99/130/" TargetMode="External"/><Relationship Id="rId98" Type="http://schemas.openxmlformats.org/officeDocument/2006/relationships/hyperlink" Target="https://www.munzee.com/m/BestNighty/239/" TargetMode="External"/><Relationship Id="rId91" Type="http://schemas.openxmlformats.org/officeDocument/2006/relationships/hyperlink" Target="https://www.munzee.com/m/ddcards/4256/" TargetMode="External"/><Relationship Id="rId90" Type="http://schemas.openxmlformats.org/officeDocument/2006/relationships/hyperlink" Target="https://www.munzee.com/m/Shrlock/3258" TargetMode="External"/><Relationship Id="rId93" Type="http://schemas.openxmlformats.org/officeDocument/2006/relationships/hyperlink" Target="https://www.munzee.com/m/oesel123/3329/" TargetMode="External"/><Relationship Id="rId92" Type="http://schemas.openxmlformats.org/officeDocument/2006/relationships/hyperlink" Target="https://www.munzee.com/m/dreiengel/8129/" TargetMode="External"/><Relationship Id="rId118" Type="http://schemas.openxmlformats.org/officeDocument/2006/relationships/hyperlink" Target="https://www.munzee.com/m/Malik44/309/" TargetMode="External"/><Relationship Id="rId117" Type="http://schemas.openxmlformats.org/officeDocument/2006/relationships/hyperlink" Target="https://www.munzee.com/m/Sweety25/284/" TargetMode="External"/><Relationship Id="rId359" Type="http://schemas.openxmlformats.org/officeDocument/2006/relationships/hyperlink" Target="https://www.munzee.com/m/boerse82/5719/" TargetMode="External"/><Relationship Id="rId116" Type="http://schemas.openxmlformats.org/officeDocument/2006/relationships/hyperlink" Target="https://www.munzee.com/m/Inspector1/301/" TargetMode="External"/><Relationship Id="rId358" Type="http://schemas.openxmlformats.org/officeDocument/2006/relationships/hyperlink" Target="https://www.munzee.com/m/VLoopSouth/789/" TargetMode="External"/><Relationship Id="rId115" Type="http://schemas.openxmlformats.org/officeDocument/2006/relationships/hyperlink" Target="https://www.munzee.com/m/Felice01/344/" TargetMode="External"/><Relationship Id="rId357" Type="http://schemas.openxmlformats.org/officeDocument/2006/relationships/hyperlink" Target="https://www.munzee.com/m/elefantoduck/1222/" TargetMode="External"/><Relationship Id="rId599" Type="http://schemas.openxmlformats.org/officeDocument/2006/relationships/hyperlink" Target="https://www.munzee.com/m/csThanner/2237/" TargetMode="External"/><Relationship Id="rId119" Type="http://schemas.openxmlformats.org/officeDocument/2006/relationships/hyperlink" Target="https://www.munzee.com/m/tk79/1186/" TargetMode="External"/><Relationship Id="rId110" Type="http://schemas.openxmlformats.org/officeDocument/2006/relationships/hyperlink" Target="https://www.munzee.com/m/BestNighty/255/" TargetMode="External"/><Relationship Id="rId352" Type="http://schemas.openxmlformats.org/officeDocument/2006/relationships/hyperlink" Target="https://www.munzee.com/m/mierischclan/2752/admin/" TargetMode="External"/><Relationship Id="rId594" Type="http://schemas.openxmlformats.org/officeDocument/2006/relationships/hyperlink" Target="https://www.munzee.com/m/erictheump/1491/" TargetMode="External"/><Relationship Id="rId351" Type="http://schemas.openxmlformats.org/officeDocument/2006/relationships/hyperlink" Target="https://www.munzee.com/m/wvkiwi/6628" TargetMode="External"/><Relationship Id="rId593" Type="http://schemas.openxmlformats.org/officeDocument/2006/relationships/hyperlink" Target="https://www.munzee.com/m/SachensucherHB/1777/" TargetMode="External"/><Relationship Id="rId350" Type="http://schemas.openxmlformats.org/officeDocument/2006/relationships/hyperlink" Target="https://www.munzee.com/m/granitente/4531/" TargetMode="External"/><Relationship Id="rId592" Type="http://schemas.openxmlformats.org/officeDocument/2006/relationships/hyperlink" Target="https://www.munzee.com/m/csThanner/2226/" TargetMode="External"/><Relationship Id="rId591" Type="http://schemas.openxmlformats.org/officeDocument/2006/relationships/hyperlink" Target="https://www.munzee.com/m/erictheump/1490/" TargetMode="External"/><Relationship Id="rId114" Type="http://schemas.openxmlformats.org/officeDocument/2006/relationships/hyperlink" Target="https://www.munzee.com/m/zwirk/381/" TargetMode="External"/><Relationship Id="rId356" Type="http://schemas.openxmlformats.org/officeDocument/2006/relationships/hyperlink" Target="https://www.munzee.com/m/boerse82/5773/" TargetMode="External"/><Relationship Id="rId598" Type="http://schemas.openxmlformats.org/officeDocument/2006/relationships/hyperlink" Target="https://www.munzee.com/m/csThanner/2233/admin/" TargetMode="External"/><Relationship Id="rId113" Type="http://schemas.openxmlformats.org/officeDocument/2006/relationships/hyperlink" Target="https://www.munzee.com/m/tk79/1185/" TargetMode="External"/><Relationship Id="rId355" Type="http://schemas.openxmlformats.org/officeDocument/2006/relationships/hyperlink" Target="https://www.munzee.com/m/soule122/1462/" TargetMode="External"/><Relationship Id="rId597" Type="http://schemas.openxmlformats.org/officeDocument/2006/relationships/hyperlink" Target="https://www.munzee.com/m/erictheump/1502/" TargetMode="External"/><Relationship Id="rId112" Type="http://schemas.openxmlformats.org/officeDocument/2006/relationships/hyperlink" Target="https://www.munzee.com/m/DarkHaribo/13752/" TargetMode="External"/><Relationship Id="rId354" Type="http://schemas.openxmlformats.org/officeDocument/2006/relationships/hyperlink" Target="https://www.munzee.com/m/elefantoduck/1228/" TargetMode="External"/><Relationship Id="rId596" Type="http://schemas.openxmlformats.org/officeDocument/2006/relationships/hyperlink" Target="https://www.munzee.com/m/SachensucherHB/1786/" TargetMode="External"/><Relationship Id="rId111" Type="http://schemas.openxmlformats.org/officeDocument/2006/relationships/hyperlink" Target="https://www.munzee.com/m/BestNighty/261/" TargetMode="External"/><Relationship Id="rId353" Type="http://schemas.openxmlformats.org/officeDocument/2006/relationships/hyperlink" Target="https://www.munzee.com/m/boerse82/5783/" TargetMode="External"/><Relationship Id="rId595" Type="http://schemas.openxmlformats.org/officeDocument/2006/relationships/hyperlink" Target="https://www.munzee.com/m/csThanner/2068/" TargetMode="External"/><Relationship Id="rId305" Type="http://schemas.openxmlformats.org/officeDocument/2006/relationships/hyperlink" Target="https://www.munzee.com/m/kwd/6342" TargetMode="External"/><Relationship Id="rId547" Type="http://schemas.openxmlformats.org/officeDocument/2006/relationships/hyperlink" Target="https://www.munzee.com/m/ozarkcheryl/2791/" TargetMode="External"/><Relationship Id="rId789" Type="http://schemas.openxmlformats.org/officeDocument/2006/relationships/hyperlink" Target="https://www.munzee.com/m/Boston2005/12072/" TargetMode="External"/><Relationship Id="rId304" Type="http://schemas.openxmlformats.org/officeDocument/2006/relationships/hyperlink" Target="https://www.munzee.com/m/barbie657/1509/" TargetMode="External"/><Relationship Id="rId546" Type="http://schemas.openxmlformats.org/officeDocument/2006/relationships/hyperlink" Target="https://www.munzee.com/m/kwd/7147" TargetMode="External"/><Relationship Id="rId788" Type="http://schemas.openxmlformats.org/officeDocument/2006/relationships/hyperlink" Target="https://www.munzee.com/m/WiPaMa/3041/" TargetMode="External"/><Relationship Id="rId303" Type="http://schemas.openxmlformats.org/officeDocument/2006/relationships/hyperlink" Target="https://www.munzee.com/m/EmeraldAngel/2161" TargetMode="External"/><Relationship Id="rId545" Type="http://schemas.openxmlformats.org/officeDocument/2006/relationships/hyperlink" Target="https://www.munzee.com/m/csThanner/2223/" TargetMode="External"/><Relationship Id="rId787" Type="http://schemas.openxmlformats.org/officeDocument/2006/relationships/hyperlink" Target="https://www.munzee.com/m/dofke220/1275" TargetMode="External"/><Relationship Id="rId302" Type="http://schemas.openxmlformats.org/officeDocument/2006/relationships/hyperlink" Target="https://www.munzee.com/m/mtbiker64/6878/" TargetMode="External"/><Relationship Id="rId544" Type="http://schemas.openxmlformats.org/officeDocument/2006/relationships/hyperlink" Target="https://www.munzee.com/m/tk79/8823/" TargetMode="External"/><Relationship Id="rId786" Type="http://schemas.openxmlformats.org/officeDocument/2006/relationships/hyperlink" Target="https://www.munzee.com/m/ekageo/1454/admin/" TargetMode="External"/><Relationship Id="rId309" Type="http://schemas.openxmlformats.org/officeDocument/2006/relationships/hyperlink" Target="https://www.munzee.com/m/Dazzaf/3885/" TargetMode="External"/><Relationship Id="rId308" Type="http://schemas.openxmlformats.org/officeDocument/2006/relationships/hyperlink" Target="https://www.munzee.com/m/kwd/6340" TargetMode="External"/><Relationship Id="rId307" Type="http://schemas.openxmlformats.org/officeDocument/2006/relationships/hyperlink" Target="https://www.munzee.com/m/3Tiger/6486/" TargetMode="External"/><Relationship Id="rId549" Type="http://schemas.openxmlformats.org/officeDocument/2006/relationships/hyperlink" Target="https://www.munzee.com/m/kwd/7091" TargetMode="External"/><Relationship Id="rId306" Type="http://schemas.openxmlformats.org/officeDocument/2006/relationships/hyperlink" Target="https://www.munzee.com/m/janzattic/6493" TargetMode="External"/><Relationship Id="rId548" Type="http://schemas.openxmlformats.org/officeDocument/2006/relationships/hyperlink" Target="https://www.munzee.com/m/jinta29/672/" TargetMode="External"/><Relationship Id="rId781" Type="http://schemas.openxmlformats.org/officeDocument/2006/relationships/hyperlink" Target="https://www.munzee.com/m/tk79/8850/" TargetMode="External"/><Relationship Id="rId780" Type="http://schemas.openxmlformats.org/officeDocument/2006/relationships/hyperlink" Target="https://www.munzee.com/m/tk79/8847/" TargetMode="External"/><Relationship Id="rId301" Type="http://schemas.openxmlformats.org/officeDocument/2006/relationships/hyperlink" Target="https://www.munzee.com/m/kwd/6344/" TargetMode="External"/><Relationship Id="rId543" Type="http://schemas.openxmlformats.org/officeDocument/2006/relationships/hyperlink" Target="https://www.munzee.com/m/csThanner/2219/admin/" TargetMode="External"/><Relationship Id="rId785" Type="http://schemas.openxmlformats.org/officeDocument/2006/relationships/hyperlink" Target="https://www.munzee.com/m/tk79/8610/" TargetMode="External"/><Relationship Id="rId300" Type="http://schemas.openxmlformats.org/officeDocument/2006/relationships/hyperlink" Target="https://www.munzee.com/m/EmeraldAngel/2169" TargetMode="External"/><Relationship Id="rId542" Type="http://schemas.openxmlformats.org/officeDocument/2006/relationships/hyperlink" Target="https://www.munzee.com/m/tk79/8824/" TargetMode="External"/><Relationship Id="rId784" Type="http://schemas.openxmlformats.org/officeDocument/2006/relationships/hyperlink" Target="https://www.munzee.com/m/tk79/8359/" TargetMode="External"/><Relationship Id="rId541" Type="http://schemas.openxmlformats.org/officeDocument/2006/relationships/hyperlink" Target="https://www.munzee.com/m/csThanner/2218/" TargetMode="External"/><Relationship Id="rId783" Type="http://schemas.openxmlformats.org/officeDocument/2006/relationships/hyperlink" Target="https://www.munzee.com/m/tk79/8204/" TargetMode="External"/><Relationship Id="rId540" Type="http://schemas.openxmlformats.org/officeDocument/2006/relationships/hyperlink" Target="https://www.munzee.com/m/tk79/8825/" TargetMode="External"/><Relationship Id="rId782" Type="http://schemas.openxmlformats.org/officeDocument/2006/relationships/hyperlink" Target="https://www.munzee.com/m/tk79/7996/" TargetMode="External"/><Relationship Id="rId536" Type="http://schemas.openxmlformats.org/officeDocument/2006/relationships/hyperlink" Target="https://www.munzee.com/m/csThanner/2198/" TargetMode="External"/><Relationship Id="rId778" Type="http://schemas.openxmlformats.org/officeDocument/2006/relationships/hyperlink" Target="https://www.munzee.com/m/tk79/8836/" TargetMode="External"/><Relationship Id="rId535" Type="http://schemas.openxmlformats.org/officeDocument/2006/relationships/hyperlink" Target="https://www.munzee.com/m/jinta29/608/" TargetMode="External"/><Relationship Id="rId777" Type="http://schemas.openxmlformats.org/officeDocument/2006/relationships/hyperlink" Target="https://www.munzee.com/m/tk79/8835/" TargetMode="External"/><Relationship Id="rId534" Type="http://schemas.openxmlformats.org/officeDocument/2006/relationships/hyperlink" Target="https://www.munzee.com/m/RNils02/2049/" TargetMode="External"/><Relationship Id="rId776" Type="http://schemas.openxmlformats.org/officeDocument/2006/relationships/hyperlink" Target="https://www.munzee.com/m/tk79/8834/" TargetMode="External"/><Relationship Id="rId533" Type="http://schemas.openxmlformats.org/officeDocument/2006/relationships/hyperlink" Target="https://www.munzee.com/m/csThanner/2029/" TargetMode="External"/><Relationship Id="rId775" Type="http://schemas.openxmlformats.org/officeDocument/2006/relationships/hyperlink" Target="https://www.munzee.com/m/TheYeetedYoutuber/255" TargetMode="External"/><Relationship Id="rId539" Type="http://schemas.openxmlformats.org/officeDocument/2006/relationships/hyperlink" Target="https://www.munzee.com/m/csThanner/2200/" TargetMode="External"/><Relationship Id="rId538" Type="http://schemas.openxmlformats.org/officeDocument/2006/relationships/hyperlink" Target="https://www.munzee.com/m/tk79/8826/" TargetMode="External"/><Relationship Id="rId537" Type="http://schemas.openxmlformats.org/officeDocument/2006/relationships/hyperlink" Target="https://www.munzee.com/m/RNils02/2052/" TargetMode="External"/><Relationship Id="rId779" Type="http://schemas.openxmlformats.org/officeDocument/2006/relationships/hyperlink" Target="https://www.munzee.com/m/tk79/8837/" TargetMode="External"/><Relationship Id="rId770" Type="http://schemas.openxmlformats.org/officeDocument/2006/relationships/hyperlink" Target="https://www.munzee.com/m/tk79/8831/" TargetMode="External"/><Relationship Id="rId532" Type="http://schemas.openxmlformats.org/officeDocument/2006/relationships/hyperlink" Target="https://www.munzee.com/m/HtV/7861/" TargetMode="External"/><Relationship Id="rId774" Type="http://schemas.openxmlformats.org/officeDocument/2006/relationships/hyperlink" Target="https://www.munzee.com/m/tk79/8833/" TargetMode="External"/><Relationship Id="rId531" Type="http://schemas.openxmlformats.org/officeDocument/2006/relationships/hyperlink" Target="https://www.munzee.com/m/RNils02/2042/" TargetMode="External"/><Relationship Id="rId773" Type="http://schemas.openxmlformats.org/officeDocument/2006/relationships/hyperlink" Target="https://www.munzee.com/m/Kazzee/267" TargetMode="External"/><Relationship Id="rId530" Type="http://schemas.openxmlformats.org/officeDocument/2006/relationships/hyperlink" Target="https://www.munzee.com/m/csThanner/2025/admin/" TargetMode="External"/><Relationship Id="rId772" Type="http://schemas.openxmlformats.org/officeDocument/2006/relationships/hyperlink" Target="https://www.munzee.com/m/tk79/8832/" TargetMode="External"/><Relationship Id="rId771" Type="http://schemas.openxmlformats.org/officeDocument/2006/relationships/hyperlink" Target="https://www.munzee.com/m/TheYeetedYoutuber/248" TargetMode="External"/><Relationship Id="rId327" Type="http://schemas.openxmlformats.org/officeDocument/2006/relationships/hyperlink" Target="https://www.munzee.com/m/tk79/8597/" TargetMode="External"/><Relationship Id="rId569" Type="http://schemas.openxmlformats.org/officeDocument/2006/relationships/hyperlink" Target="https://www.munzee.com/m/LailaBP/2367/" TargetMode="External"/><Relationship Id="rId326" Type="http://schemas.openxmlformats.org/officeDocument/2006/relationships/hyperlink" Target="https://www.munzee.com/m/barbie657/1794" TargetMode="External"/><Relationship Id="rId568" Type="http://schemas.openxmlformats.org/officeDocument/2006/relationships/hyperlink" Target="https://www.munzee.com/m/boerse82/6093/" TargetMode="External"/><Relationship Id="rId325" Type="http://schemas.openxmlformats.org/officeDocument/2006/relationships/hyperlink" Target="https://www.munzee.com/m/3Tiger/6457/" TargetMode="External"/><Relationship Id="rId567" Type="http://schemas.openxmlformats.org/officeDocument/2006/relationships/hyperlink" Target="https://www.munzee.com/m/90mile/1076/" TargetMode="External"/><Relationship Id="rId324" Type="http://schemas.openxmlformats.org/officeDocument/2006/relationships/hyperlink" Target="https://www.munzee.com/m/granitente/4558/" TargetMode="External"/><Relationship Id="rId566" Type="http://schemas.openxmlformats.org/officeDocument/2006/relationships/hyperlink" Target="https://www.munzee.com/m/3Tiger/4407/" TargetMode="External"/><Relationship Id="rId329" Type="http://schemas.openxmlformats.org/officeDocument/2006/relationships/hyperlink" Target="https://www.munzee.com/m/OHail/16893/" TargetMode="External"/><Relationship Id="rId328" Type="http://schemas.openxmlformats.org/officeDocument/2006/relationships/hyperlink" Target="https://www.munzee.com/m/barbie657/1477" TargetMode="External"/><Relationship Id="rId561" Type="http://schemas.openxmlformats.org/officeDocument/2006/relationships/hyperlink" Target="https://www.munzee.com/m/Mariabettina/1966/" TargetMode="External"/><Relationship Id="rId560" Type="http://schemas.openxmlformats.org/officeDocument/2006/relationships/hyperlink" Target="https://www.munzee.com/m/Trunte2002/1932/" TargetMode="External"/><Relationship Id="rId323" Type="http://schemas.openxmlformats.org/officeDocument/2006/relationships/hyperlink" Target="https://www.munzee.com/m/barbie657/1796" TargetMode="External"/><Relationship Id="rId565" Type="http://schemas.openxmlformats.org/officeDocument/2006/relationships/hyperlink" Target="https://www.munzee.com/m/HansaRostock/1929/" TargetMode="External"/><Relationship Id="rId322" Type="http://schemas.openxmlformats.org/officeDocument/2006/relationships/hyperlink" Target="https://www.munzee.com/m/3Tiger/6461/" TargetMode="External"/><Relationship Id="rId564" Type="http://schemas.openxmlformats.org/officeDocument/2006/relationships/hyperlink" Target="https://www.munzee.com/m/Lyal/426/" TargetMode="External"/><Relationship Id="rId321" Type="http://schemas.openxmlformats.org/officeDocument/2006/relationships/hyperlink" Target="https://www.munzee.com/m/barbie657/1507" TargetMode="External"/><Relationship Id="rId563" Type="http://schemas.openxmlformats.org/officeDocument/2006/relationships/hyperlink" Target="https://www.munzee.com/m/LailaBP/2327/" TargetMode="External"/><Relationship Id="rId320" Type="http://schemas.openxmlformats.org/officeDocument/2006/relationships/hyperlink" Target="https://www.munzee.com/m/barbie657/1487" TargetMode="External"/><Relationship Id="rId562" Type="http://schemas.openxmlformats.org/officeDocument/2006/relationships/hyperlink" Target="https://www.munzee.com/m/12gove/1351/" TargetMode="External"/><Relationship Id="rId316" Type="http://schemas.openxmlformats.org/officeDocument/2006/relationships/hyperlink" Target="https://www.munzee.com/m/3Tiger/6475/" TargetMode="External"/><Relationship Id="rId558" Type="http://schemas.openxmlformats.org/officeDocument/2006/relationships/hyperlink" Target="https://www.munzee.com/m/ozarkcheryl/2848/" TargetMode="External"/><Relationship Id="rId315" Type="http://schemas.openxmlformats.org/officeDocument/2006/relationships/hyperlink" Target="https://www.munzee.com/m/barbie657/1813/" TargetMode="External"/><Relationship Id="rId557" Type="http://schemas.openxmlformats.org/officeDocument/2006/relationships/hyperlink" Target="https://www.munzee.com/m/LailaBP/2317/" TargetMode="External"/><Relationship Id="rId799" Type="http://schemas.openxmlformats.org/officeDocument/2006/relationships/hyperlink" Target="https://www.munzee.com/m/MrIVV/3641/" TargetMode="External"/><Relationship Id="rId314" Type="http://schemas.openxmlformats.org/officeDocument/2006/relationships/hyperlink" Target="https://www.munzee.com/m/kwd/6280/" TargetMode="External"/><Relationship Id="rId556" Type="http://schemas.openxmlformats.org/officeDocument/2006/relationships/hyperlink" Target="https://www.munzee.com/m/12gove/1384/" TargetMode="External"/><Relationship Id="rId798" Type="http://schemas.openxmlformats.org/officeDocument/2006/relationships/hyperlink" Target="https://www.munzee.com/m/MrIVV/3634/" TargetMode="External"/><Relationship Id="rId313" Type="http://schemas.openxmlformats.org/officeDocument/2006/relationships/hyperlink" Target="https://www.munzee.com/m/3Tiger/6479" TargetMode="External"/><Relationship Id="rId555" Type="http://schemas.openxmlformats.org/officeDocument/2006/relationships/hyperlink" Target="https://www.munzee.com/m/Mariabettina/1782/" TargetMode="External"/><Relationship Id="rId797" Type="http://schemas.openxmlformats.org/officeDocument/2006/relationships/hyperlink" Target="https://www.munzee.com/m/tk79/1200/" TargetMode="External"/><Relationship Id="rId319" Type="http://schemas.openxmlformats.org/officeDocument/2006/relationships/hyperlink" Target="https://www.munzee.com/m/3Tiger/6464/" TargetMode="External"/><Relationship Id="rId318" Type="http://schemas.openxmlformats.org/officeDocument/2006/relationships/hyperlink" Target="https://www.munzee.com/m/barbie657/1810" TargetMode="External"/><Relationship Id="rId317" Type="http://schemas.openxmlformats.org/officeDocument/2006/relationships/hyperlink" Target="https://www.munzee.com/m/ashthegeogenius/423/" TargetMode="External"/><Relationship Id="rId559" Type="http://schemas.openxmlformats.org/officeDocument/2006/relationships/hyperlink" Target="https://www.munzee.com/m/Finnleo/1574/admin/" TargetMode="External"/><Relationship Id="rId550" Type="http://schemas.openxmlformats.org/officeDocument/2006/relationships/hyperlink" Target="https://www.munzee.com/m/Finnleo/1769/" TargetMode="External"/><Relationship Id="rId792" Type="http://schemas.openxmlformats.org/officeDocument/2006/relationships/hyperlink" Target="https://www.munzee.com/m/Boston2005/12082/" TargetMode="External"/><Relationship Id="rId791" Type="http://schemas.openxmlformats.org/officeDocument/2006/relationships/hyperlink" Target="https://www.munzee.com/m/Boston2005/12083/" TargetMode="External"/><Relationship Id="rId790" Type="http://schemas.openxmlformats.org/officeDocument/2006/relationships/hyperlink" Target="https://www.munzee.com/m/Boston2005/11937/" TargetMode="External"/><Relationship Id="rId312" Type="http://schemas.openxmlformats.org/officeDocument/2006/relationships/hyperlink" Target="https://www.munzee.com/m/barbie657/1816" TargetMode="External"/><Relationship Id="rId554" Type="http://schemas.openxmlformats.org/officeDocument/2006/relationships/hyperlink" Target="https://www.munzee.com/m/Trunte2002/1968/" TargetMode="External"/><Relationship Id="rId796" Type="http://schemas.openxmlformats.org/officeDocument/2006/relationships/hyperlink" Target="https://www.munzee.com/m/tk79/8449/" TargetMode="External"/><Relationship Id="rId311" Type="http://schemas.openxmlformats.org/officeDocument/2006/relationships/hyperlink" Target="https://www.munzee.com/m/kwd/6281" TargetMode="External"/><Relationship Id="rId553" Type="http://schemas.openxmlformats.org/officeDocument/2006/relationships/hyperlink" Target="https://www.munzee.com/m/Finnleo/1609/" TargetMode="External"/><Relationship Id="rId795" Type="http://schemas.openxmlformats.org/officeDocument/2006/relationships/hyperlink" Target="https://www.munzee.com/m/Boston2005/12079/" TargetMode="External"/><Relationship Id="rId310" Type="http://schemas.openxmlformats.org/officeDocument/2006/relationships/hyperlink" Target="https://www.munzee.com/m/3Tiger/6480/" TargetMode="External"/><Relationship Id="rId552" Type="http://schemas.openxmlformats.org/officeDocument/2006/relationships/hyperlink" Target="https://www.munzee.com/m/kwd/7089" TargetMode="External"/><Relationship Id="rId794" Type="http://schemas.openxmlformats.org/officeDocument/2006/relationships/hyperlink" Target="https://www.munzee.com/m/Boston2005/12080/" TargetMode="External"/><Relationship Id="rId551" Type="http://schemas.openxmlformats.org/officeDocument/2006/relationships/hyperlink" Target="https://www.munzee.com/m/Lyal/390/" TargetMode="External"/><Relationship Id="rId793" Type="http://schemas.openxmlformats.org/officeDocument/2006/relationships/hyperlink" Target="https://www.munzee.com/m/Boston2005/12081/" TargetMode="External"/><Relationship Id="rId297" Type="http://schemas.openxmlformats.org/officeDocument/2006/relationships/hyperlink" Target="https://www.munzee.com/m/EmeraldAngel/2172" TargetMode="External"/><Relationship Id="rId296" Type="http://schemas.openxmlformats.org/officeDocument/2006/relationships/hyperlink" Target="https://www.munzee.com/m/mtbiker64/6882/" TargetMode="External"/><Relationship Id="rId295" Type="http://schemas.openxmlformats.org/officeDocument/2006/relationships/hyperlink" Target="https://www.munzee.com/m/kwd/6731/" TargetMode="External"/><Relationship Id="rId294" Type="http://schemas.openxmlformats.org/officeDocument/2006/relationships/hyperlink" Target="https://www.munzee.com/m/FINDER400/4992" TargetMode="External"/><Relationship Id="rId299" Type="http://schemas.openxmlformats.org/officeDocument/2006/relationships/hyperlink" Target="https://www.munzee.com/m/mtbiker64/6881/" TargetMode="External"/><Relationship Id="rId298" Type="http://schemas.openxmlformats.org/officeDocument/2006/relationships/hyperlink" Target="https://www.munzee.com/m/kwd/6492" TargetMode="External"/><Relationship Id="rId271" Type="http://schemas.openxmlformats.org/officeDocument/2006/relationships/hyperlink" Target="https://www.munzee.com/m/MetteS/6255/" TargetMode="External"/><Relationship Id="rId270" Type="http://schemas.openxmlformats.org/officeDocument/2006/relationships/hyperlink" Target="https://www.munzee.com/m/boerse82/5644/" TargetMode="External"/><Relationship Id="rId269" Type="http://schemas.openxmlformats.org/officeDocument/2006/relationships/hyperlink" Target="https://www.munzee.com/m/BoMS/7695/" TargetMode="External"/><Relationship Id="rId264" Type="http://schemas.openxmlformats.org/officeDocument/2006/relationships/hyperlink" Target="https://www.munzee.com/m/boerse82/5653/" TargetMode="External"/><Relationship Id="rId263" Type="http://schemas.openxmlformats.org/officeDocument/2006/relationships/hyperlink" Target="https://www.munzee.com/m/tk79/8113/" TargetMode="External"/><Relationship Id="rId262" Type="http://schemas.openxmlformats.org/officeDocument/2006/relationships/hyperlink" Target="https://www.munzee.com/m/boerse82/5657/" TargetMode="External"/><Relationship Id="rId261" Type="http://schemas.openxmlformats.org/officeDocument/2006/relationships/hyperlink" Target="https://www.munzee.com/m/tk79/8114/" TargetMode="External"/><Relationship Id="rId268" Type="http://schemas.openxmlformats.org/officeDocument/2006/relationships/hyperlink" Target="https://www.munzee.com/m/MetteS/6263/" TargetMode="External"/><Relationship Id="rId267" Type="http://schemas.openxmlformats.org/officeDocument/2006/relationships/hyperlink" Target="https://www.munzee.com/m/boerse82/5670/" TargetMode="External"/><Relationship Id="rId266" Type="http://schemas.openxmlformats.org/officeDocument/2006/relationships/hyperlink" Target="https://www.munzee.com/m/BoMS/7698/" TargetMode="External"/><Relationship Id="rId265" Type="http://schemas.openxmlformats.org/officeDocument/2006/relationships/hyperlink" Target="https://www.munzee.com/m/MetteS/6266/" TargetMode="External"/><Relationship Id="rId260" Type="http://schemas.openxmlformats.org/officeDocument/2006/relationships/hyperlink" Target="https://www.munzee.com/m/HabakukTibatong/1246/map/" TargetMode="External"/><Relationship Id="rId259" Type="http://schemas.openxmlformats.org/officeDocument/2006/relationships/hyperlink" Target="https://www.munzee.com/m/heinbloed/1880/map/" TargetMode="External"/><Relationship Id="rId258" Type="http://schemas.openxmlformats.org/officeDocument/2006/relationships/hyperlink" Target="https://www.munzee.com/m/boerse82/5660/" TargetMode="External"/><Relationship Id="rId253" Type="http://schemas.openxmlformats.org/officeDocument/2006/relationships/hyperlink" Target="https://www.munzee.com/m/tk79/8135/" TargetMode="External"/><Relationship Id="rId495" Type="http://schemas.openxmlformats.org/officeDocument/2006/relationships/hyperlink" Target="https://www.munzee.com/m/tk79/8469/" TargetMode="External"/><Relationship Id="rId252" Type="http://schemas.openxmlformats.org/officeDocument/2006/relationships/hyperlink" Target="https://www.munzee.com/m/Elli/6903/" TargetMode="External"/><Relationship Id="rId494" Type="http://schemas.openxmlformats.org/officeDocument/2006/relationships/hyperlink" Target="https://www.munzee.com/m/tlmeadowlark/3585/admin/" TargetMode="External"/><Relationship Id="rId251" Type="http://schemas.openxmlformats.org/officeDocument/2006/relationships/hyperlink" Target="https://www.munzee.com/m/heinbloed/1865/map/" TargetMode="External"/><Relationship Id="rId493" Type="http://schemas.openxmlformats.org/officeDocument/2006/relationships/hyperlink" Target="https://www.munzee.com/m/HtV/7669/" TargetMode="External"/><Relationship Id="rId250" Type="http://schemas.openxmlformats.org/officeDocument/2006/relationships/hyperlink" Target="https://www.munzee.com/m/humbird7/17041/" TargetMode="External"/><Relationship Id="rId492" Type="http://schemas.openxmlformats.org/officeDocument/2006/relationships/hyperlink" Target="https://www.munzee.com/m/HtV/7538/" TargetMode="External"/><Relationship Id="rId257" Type="http://schemas.openxmlformats.org/officeDocument/2006/relationships/hyperlink" Target="https://www.munzee.com/m/Elli/6901/" TargetMode="External"/><Relationship Id="rId499" Type="http://schemas.openxmlformats.org/officeDocument/2006/relationships/hyperlink" Target="https://www.munzee.com/m/TFAL/3324/" TargetMode="External"/><Relationship Id="rId256" Type="http://schemas.openxmlformats.org/officeDocument/2006/relationships/hyperlink" Target="https://www.munzee.com/m/tk79/8132" TargetMode="External"/><Relationship Id="rId498" Type="http://schemas.openxmlformats.org/officeDocument/2006/relationships/hyperlink" Target="https://www.munzee.com/m/Bluelady77/815" TargetMode="External"/><Relationship Id="rId255" Type="http://schemas.openxmlformats.org/officeDocument/2006/relationships/hyperlink" Target="https://www.munzee.com/m/tk79/8130/" TargetMode="External"/><Relationship Id="rId497" Type="http://schemas.openxmlformats.org/officeDocument/2006/relationships/hyperlink" Target="https://www.munzee.com/m/Loewenjaeger/906/" TargetMode="External"/><Relationship Id="rId254" Type="http://schemas.openxmlformats.org/officeDocument/2006/relationships/hyperlink" Target="https://www.munzee.com/m/tk79/8131/" TargetMode="External"/><Relationship Id="rId496" Type="http://schemas.openxmlformats.org/officeDocument/2006/relationships/hyperlink" Target="https://www.munzee.com/m/TFAL/3307/" TargetMode="External"/><Relationship Id="rId293" Type="http://schemas.openxmlformats.org/officeDocument/2006/relationships/hyperlink" Target="https://www.munzee.com/m/mtbiker64/6883/" TargetMode="External"/><Relationship Id="rId292" Type="http://schemas.openxmlformats.org/officeDocument/2006/relationships/hyperlink" Target="https://www.munzee.com/m/kwd/6740" TargetMode="External"/><Relationship Id="rId291" Type="http://schemas.openxmlformats.org/officeDocument/2006/relationships/hyperlink" Target="https://www.munzee.com/m/EmeraldAngel/2160" TargetMode="External"/><Relationship Id="rId290" Type="http://schemas.openxmlformats.org/officeDocument/2006/relationships/hyperlink" Target="https://www.munzee.com/m/EmeraldAngel/2178/" TargetMode="External"/><Relationship Id="rId286" Type="http://schemas.openxmlformats.org/officeDocument/2006/relationships/hyperlink" Target="https://www.munzee.com/m/EmeraldAngel/2183" TargetMode="External"/><Relationship Id="rId285" Type="http://schemas.openxmlformats.org/officeDocument/2006/relationships/hyperlink" Target="https://www.munzee.com/m/kwd/6795" TargetMode="External"/><Relationship Id="rId284" Type="http://schemas.openxmlformats.org/officeDocument/2006/relationships/hyperlink" Target="https://www.munzee.com/m/kwd/6833/" TargetMode="External"/><Relationship Id="rId283" Type="http://schemas.openxmlformats.org/officeDocument/2006/relationships/hyperlink" Target="https://www.munzee.com/m/Flattermaus/3128/" TargetMode="External"/><Relationship Id="rId289" Type="http://schemas.openxmlformats.org/officeDocument/2006/relationships/hyperlink" Target="https://www.munzee.com/m/kwd/6742" TargetMode="External"/><Relationship Id="rId288" Type="http://schemas.openxmlformats.org/officeDocument/2006/relationships/hyperlink" Target="https://www.munzee.com/m/heinbloed/1879/map/" TargetMode="External"/><Relationship Id="rId287" Type="http://schemas.openxmlformats.org/officeDocument/2006/relationships/hyperlink" Target="https://www.munzee.com/m/kwd/6794" TargetMode="External"/><Relationship Id="rId282" Type="http://schemas.openxmlformats.org/officeDocument/2006/relationships/hyperlink" Target="https://www.munzee.com/m/kwd/6883" TargetMode="External"/><Relationship Id="rId281" Type="http://schemas.openxmlformats.org/officeDocument/2006/relationships/hyperlink" Target="https://www.munzee.com/m/Flattermaus/3530/" TargetMode="External"/><Relationship Id="rId280" Type="http://schemas.openxmlformats.org/officeDocument/2006/relationships/hyperlink" Target="https://www.munzee.com/m/Smith2190/860" TargetMode="External"/><Relationship Id="rId275" Type="http://schemas.openxmlformats.org/officeDocument/2006/relationships/hyperlink" Target="https://www.munzee.com/m/MetteS/6239/" TargetMode="External"/><Relationship Id="rId274" Type="http://schemas.openxmlformats.org/officeDocument/2006/relationships/hyperlink" Target="https://www.munzee.com/m/Dad35/11044/" TargetMode="External"/><Relationship Id="rId273" Type="http://schemas.openxmlformats.org/officeDocument/2006/relationships/hyperlink" Target="https://www.munzee.com/m/Flattermaus/3594/" TargetMode="External"/><Relationship Id="rId272" Type="http://schemas.openxmlformats.org/officeDocument/2006/relationships/hyperlink" Target="https://www.munzee.com/m/BoMS/7688/" TargetMode="External"/><Relationship Id="rId279" Type="http://schemas.openxmlformats.org/officeDocument/2006/relationships/hyperlink" Target="https://www.munzee.com/m/Flattermaus/3571/" TargetMode="External"/><Relationship Id="rId278" Type="http://schemas.openxmlformats.org/officeDocument/2006/relationships/hyperlink" Target="https://www.munzee.com/m/BoMS/7641/" TargetMode="External"/><Relationship Id="rId277" Type="http://schemas.openxmlformats.org/officeDocument/2006/relationships/hyperlink" Target="https://www.munzee.com/m/MetteS/6207/" TargetMode="External"/><Relationship Id="rId276" Type="http://schemas.openxmlformats.org/officeDocument/2006/relationships/hyperlink" Target="https://www.munzee.com/m/BoMS/7670/" TargetMode="External"/><Relationship Id="rId629" Type="http://schemas.openxmlformats.org/officeDocument/2006/relationships/hyperlink" Target="https://www.munzee.com/m/Bluelady77/835" TargetMode="External"/><Relationship Id="rId624" Type="http://schemas.openxmlformats.org/officeDocument/2006/relationships/hyperlink" Target="https://www.munzee.com/m/Boston2005/7827/" TargetMode="External"/><Relationship Id="rId623" Type="http://schemas.openxmlformats.org/officeDocument/2006/relationships/hyperlink" Target="https://www.munzee.com/m/Boston2005/7539/" TargetMode="External"/><Relationship Id="rId622" Type="http://schemas.openxmlformats.org/officeDocument/2006/relationships/hyperlink" Target="https://www.munzee.com/m/Boston2005/7609/" TargetMode="External"/><Relationship Id="rId621" Type="http://schemas.openxmlformats.org/officeDocument/2006/relationships/hyperlink" Target="https://www.munzee.com/m/Boston2005/7486/" TargetMode="External"/><Relationship Id="rId628" Type="http://schemas.openxmlformats.org/officeDocument/2006/relationships/hyperlink" Target="https://www.munzee.com/m/Loewenjaeger/978/" TargetMode="External"/><Relationship Id="rId627" Type="http://schemas.openxmlformats.org/officeDocument/2006/relationships/hyperlink" Target="https://www.munzee.com/m/einkilorind/3393/" TargetMode="External"/><Relationship Id="rId626" Type="http://schemas.openxmlformats.org/officeDocument/2006/relationships/hyperlink" Target="https://www.munzee.com/m/tk79/8822" TargetMode="External"/><Relationship Id="rId625" Type="http://schemas.openxmlformats.org/officeDocument/2006/relationships/hyperlink" Target="https://www.munzee.com/m/Dad35/11000" TargetMode="External"/><Relationship Id="rId620" Type="http://schemas.openxmlformats.org/officeDocument/2006/relationships/hyperlink" Target="https://www.munzee.com/m/biggoalie31/2173/" TargetMode="External"/><Relationship Id="rId619" Type="http://schemas.openxmlformats.org/officeDocument/2006/relationships/hyperlink" Target="https://www.munzee.com/m/Bluelady77/828/" TargetMode="External"/><Relationship Id="rId618" Type="http://schemas.openxmlformats.org/officeDocument/2006/relationships/hyperlink" Target="https://www.munzee.com/m/Loewenjaeger/934/" TargetMode="External"/><Relationship Id="rId613" Type="http://schemas.openxmlformats.org/officeDocument/2006/relationships/hyperlink" Target="https://www.munzee.com/m/Boston2005/7850/" TargetMode="External"/><Relationship Id="rId612" Type="http://schemas.openxmlformats.org/officeDocument/2006/relationships/hyperlink" Target="https://www.munzee.com/m/Boston2005/7848/" TargetMode="External"/><Relationship Id="rId611" Type="http://schemas.openxmlformats.org/officeDocument/2006/relationships/hyperlink" Target="https://www.munzee.com/m/Boston2005/7838/" TargetMode="External"/><Relationship Id="rId610" Type="http://schemas.openxmlformats.org/officeDocument/2006/relationships/hyperlink" Target="https://www.munzee.com/m/Boston2005/7826/" TargetMode="External"/><Relationship Id="rId617" Type="http://schemas.openxmlformats.org/officeDocument/2006/relationships/hyperlink" Target="https://www.munzee.com/m/biggoalie31/2183/" TargetMode="External"/><Relationship Id="rId616" Type="http://schemas.openxmlformats.org/officeDocument/2006/relationships/hyperlink" Target="https://www.munzee.com/m/Boston2005/12123/" TargetMode="External"/><Relationship Id="rId615" Type="http://schemas.openxmlformats.org/officeDocument/2006/relationships/hyperlink" Target="https://www.munzee.com/m/Boston2005/12121/" TargetMode="External"/><Relationship Id="rId614" Type="http://schemas.openxmlformats.org/officeDocument/2006/relationships/hyperlink" Target="https://www.munzee.com/m/Boston2005/8051/" TargetMode="External"/><Relationship Id="rId409" Type="http://schemas.openxmlformats.org/officeDocument/2006/relationships/hyperlink" Target="https://www.munzee.com/m/csThanner/1975/admin/" TargetMode="External"/><Relationship Id="rId404" Type="http://schemas.openxmlformats.org/officeDocument/2006/relationships/hyperlink" Target="https://www.munzee.com/m/Takenbychance/388/" TargetMode="External"/><Relationship Id="rId646" Type="http://schemas.openxmlformats.org/officeDocument/2006/relationships/hyperlink" Target="https://www.munzee.com/m/Bluelady77/833/" TargetMode="External"/><Relationship Id="rId403" Type="http://schemas.openxmlformats.org/officeDocument/2006/relationships/hyperlink" Target="https://www.munzee.com/m/Flattermaus/3673/" TargetMode="External"/><Relationship Id="rId645" Type="http://schemas.openxmlformats.org/officeDocument/2006/relationships/hyperlink" Target="https://www.munzee.com/m/Loewenjaeger/935" TargetMode="External"/><Relationship Id="rId402" Type="http://schemas.openxmlformats.org/officeDocument/2006/relationships/hyperlink" Target="https://www.munzee.com/m/Dad35/10510/" TargetMode="External"/><Relationship Id="rId644" Type="http://schemas.openxmlformats.org/officeDocument/2006/relationships/hyperlink" Target="https://www.munzee.com/m/3Tiger/4410/" TargetMode="External"/><Relationship Id="rId401" Type="http://schemas.openxmlformats.org/officeDocument/2006/relationships/hyperlink" Target="https://www.munzee.com/m/ol0n0lo/770/" TargetMode="External"/><Relationship Id="rId643" Type="http://schemas.openxmlformats.org/officeDocument/2006/relationships/hyperlink" Target="https://www.munzee.com/m/joroma80/4164" TargetMode="External"/><Relationship Id="rId408" Type="http://schemas.openxmlformats.org/officeDocument/2006/relationships/hyperlink" Target="https://www.munzee.com/m/Takenbychance/397/" TargetMode="External"/><Relationship Id="rId407" Type="http://schemas.openxmlformats.org/officeDocument/2006/relationships/hyperlink" Target="https://www.munzee.com/m/soule122/1463/" TargetMode="External"/><Relationship Id="rId649" Type="http://schemas.openxmlformats.org/officeDocument/2006/relationships/hyperlink" Target="https://www.munzee.com/m/csThanner/1957/" TargetMode="External"/><Relationship Id="rId406" Type="http://schemas.openxmlformats.org/officeDocument/2006/relationships/hyperlink" Target="https://www.munzee.com/m/caribus/285/" TargetMode="External"/><Relationship Id="rId648" Type="http://schemas.openxmlformats.org/officeDocument/2006/relationships/hyperlink" Target="https://www.munzee.com/m/csThanner/1956/" TargetMode="External"/><Relationship Id="rId405" Type="http://schemas.openxmlformats.org/officeDocument/2006/relationships/hyperlink" Target="https://www.munzee.com/m/csThanner/1973/admin/" TargetMode="External"/><Relationship Id="rId647" Type="http://schemas.openxmlformats.org/officeDocument/2006/relationships/hyperlink" Target="https://www.munzee.com/m/FRLK/22862/" TargetMode="External"/><Relationship Id="rId400" Type="http://schemas.openxmlformats.org/officeDocument/2006/relationships/hyperlink" Target="https://www.munzee.com/m/valsey/4745/" TargetMode="External"/><Relationship Id="rId642" Type="http://schemas.openxmlformats.org/officeDocument/2006/relationships/hyperlink" Target="https://www.munzee.com/m/tk79/8815/" TargetMode="External"/><Relationship Id="rId641" Type="http://schemas.openxmlformats.org/officeDocument/2006/relationships/hyperlink" Target="https://www.munzee.com/m/tk79/8816/" TargetMode="External"/><Relationship Id="rId640" Type="http://schemas.openxmlformats.org/officeDocument/2006/relationships/hyperlink" Target="https://www.munzee.com/m/tk79/8817/" TargetMode="External"/><Relationship Id="rId635" Type="http://schemas.openxmlformats.org/officeDocument/2006/relationships/hyperlink" Target="https://www.munzee.com/m/einkilorind/3520/" TargetMode="External"/><Relationship Id="rId634" Type="http://schemas.openxmlformats.org/officeDocument/2006/relationships/hyperlink" Target="https://www.munzee.com/m/tk79/8819" TargetMode="External"/><Relationship Id="rId633" Type="http://schemas.openxmlformats.org/officeDocument/2006/relationships/hyperlink" Target="https://www.munzee.com/m/einkilorind/3380/" TargetMode="External"/><Relationship Id="rId632" Type="http://schemas.openxmlformats.org/officeDocument/2006/relationships/hyperlink" Target="https://www.munzee.com/m/tk79/8820/" TargetMode="External"/><Relationship Id="rId639" Type="http://schemas.openxmlformats.org/officeDocument/2006/relationships/hyperlink" Target="https://www.munzee.com/m/Bluelady77/827" TargetMode="External"/><Relationship Id="rId638" Type="http://schemas.openxmlformats.org/officeDocument/2006/relationships/hyperlink" Target="https://www.munzee.com/m/Loewenjaeger/933" TargetMode="External"/><Relationship Id="rId637" Type="http://schemas.openxmlformats.org/officeDocument/2006/relationships/hyperlink" Target="https://www.munzee.com/m/ol0n0lo/771/" TargetMode="External"/><Relationship Id="rId636" Type="http://schemas.openxmlformats.org/officeDocument/2006/relationships/hyperlink" Target="https://www.munzee.com/m/tk79/8818/" TargetMode="External"/><Relationship Id="rId631" Type="http://schemas.openxmlformats.org/officeDocument/2006/relationships/hyperlink" Target="https://www.munzee.com/m/einkilorind/3392/" TargetMode="External"/><Relationship Id="rId630" Type="http://schemas.openxmlformats.org/officeDocument/2006/relationships/hyperlink" Target="https://www.munzee.com/m/tk79/8821/" TargetMode="External"/><Relationship Id="rId829" Type="http://schemas.openxmlformats.org/officeDocument/2006/relationships/hyperlink" Target="https://www.munzee.com/m/Elli/7852/" TargetMode="External"/><Relationship Id="rId828" Type="http://schemas.openxmlformats.org/officeDocument/2006/relationships/hyperlink" Target="https://www.munzee.com/m/Elli/8276/" TargetMode="External"/><Relationship Id="rId827" Type="http://schemas.openxmlformats.org/officeDocument/2006/relationships/hyperlink" Target="https://www.munzee.com/m/Elli/8320/" TargetMode="External"/><Relationship Id="rId822" Type="http://schemas.openxmlformats.org/officeDocument/2006/relationships/hyperlink" Target="https://www.munzee.com/m/tk79/1218/" TargetMode="External"/><Relationship Id="rId821" Type="http://schemas.openxmlformats.org/officeDocument/2006/relationships/hyperlink" Target="https://www.munzee.com/m/tk79/1216/" TargetMode="External"/><Relationship Id="rId820" Type="http://schemas.openxmlformats.org/officeDocument/2006/relationships/hyperlink" Target="https://www.munzee.com/m/tk79/1215/" TargetMode="External"/><Relationship Id="rId826" Type="http://schemas.openxmlformats.org/officeDocument/2006/relationships/hyperlink" Target="https://www.munzee.com/m/Elli/8263/" TargetMode="External"/><Relationship Id="rId825" Type="http://schemas.openxmlformats.org/officeDocument/2006/relationships/hyperlink" Target="https://www.munzee.com/m/tk79/1222/" TargetMode="External"/><Relationship Id="rId824" Type="http://schemas.openxmlformats.org/officeDocument/2006/relationships/hyperlink" Target="https://www.munzee.com/m/tk79/1221/" TargetMode="External"/><Relationship Id="rId823" Type="http://schemas.openxmlformats.org/officeDocument/2006/relationships/hyperlink" Target="https://www.munzee.com/m/tk79/1220/" TargetMode="External"/><Relationship Id="rId819" Type="http://schemas.openxmlformats.org/officeDocument/2006/relationships/hyperlink" Target="https://www.munzee.com/m/tk79/1214/" TargetMode="External"/><Relationship Id="rId818" Type="http://schemas.openxmlformats.org/officeDocument/2006/relationships/hyperlink" Target="https://www.munzee.com/m/tk79/1212/" TargetMode="External"/><Relationship Id="rId817" Type="http://schemas.openxmlformats.org/officeDocument/2006/relationships/hyperlink" Target="https://www.munzee.com/m/tk79/1208/" TargetMode="External"/><Relationship Id="rId816" Type="http://schemas.openxmlformats.org/officeDocument/2006/relationships/hyperlink" Target="https://www.munzee.com/m/tk79/1205/" TargetMode="External"/><Relationship Id="rId811" Type="http://schemas.openxmlformats.org/officeDocument/2006/relationships/hyperlink" Target="https://www.munzee.com/m/tk79/8444" TargetMode="External"/><Relationship Id="rId810" Type="http://schemas.openxmlformats.org/officeDocument/2006/relationships/hyperlink" Target="https://www.munzee.com/m/tk79/8446" TargetMode="External"/><Relationship Id="rId815" Type="http://schemas.openxmlformats.org/officeDocument/2006/relationships/hyperlink" Target="https://www.munzee.com/m/tk79/1204/" TargetMode="External"/><Relationship Id="rId814" Type="http://schemas.openxmlformats.org/officeDocument/2006/relationships/hyperlink" Target="https://www.munzee.com/m/tk79/1203/" TargetMode="External"/><Relationship Id="rId813" Type="http://schemas.openxmlformats.org/officeDocument/2006/relationships/hyperlink" Target="https://www.munzee.com/m/tk79/1202/" TargetMode="External"/><Relationship Id="rId812" Type="http://schemas.openxmlformats.org/officeDocument/2006/relationships/hyperlink" Target="https://www.munzee.com/m/tk79/8208/" TargetMode="External"/><Relationship Id="rId609" Type="http://schemas.openxmlformats.org/officeDocument/2006/relationships/hyperlink" Target="https://www.munzee.com/m/Boston2005/7395/" TargetMode="External"/><Relationship Id="rId608" Type="http://schemas.openxmlformats.org/officeDocument/2006/relationships/hyperlink" Target="https://www.munzee.com/m/Boston2005/7264/" TargetMode="External"/><Relationship Id="rId607" Type="http://schemas.openxmlformats.org/officeDocument/2006/relationships/hyperlink" Target="https://www.munzee.com/m/Boston2005/7232/" TargetMode="External"/><Relationship Id="rId602" Type="http://schemas.openxmlformats.org/officeDocument/2006/relationships/hyperlink" Target="https://www.munzee.com/m/Boston2005/7655/" TargetMode="External"/><Relationship Id="rId601" Type="http://schemas.openxmlformats.org/officeDocument/2006/relationships/hyperlink" Target="https://www.munzee.com/m/tk79/1191/" TargetMode="External"/><Relationship Id="rId600" Type="http://schemas.openxmlformats.org/officeDocument/2006/relationships/hyperlink" Target="https://www.munzee.com/m/Hansa65/2016/" TargetMode="External"/><Relationship Id="rId606" Type="http://schemas.openxmlformats.org/officeDocument/2006/relationships/hyperlink" Target="https://www.munzee.com/m/Boston2005/7183/" TargetMode="External"/><Relationship Id="rId605" Type="http://schemas.openxmlformats.org/officeDocument/2006/relationships/hyperlink" Target="https://www.munzee.com/m/Traycee/8175/" TargetMode="External"/><Relationship Id="rId604" Type="http://schemas.openxmlformats.org/officeDocument/2006/relationships/hyperlink" Target="https://www.munzee.com/m/SachensucherHB/1744/" TargetMode="External"/><Relationship Id="rId603" Type="http://schemas.openxmlformats.org/officeDocument/2006/relationships/hyperlink" Target="https://www.munzee.com/m/Boston2005/7810/" TargetMode="External"/><Relationship Id="rId833" Type="http://schemas.openxmlformats.org/officeDocument/2006/relationships/hyperlink" Target="https://www.munzee.com/m/ekageo/1439/" TargetMode="External"/><Relationship Id="rId832" Type="http://schemas.openxmlformats.org/officeDocument/2006/relationships/hyperlink" Target="https://www.munzee.com/m/ChickenRun/21353/" TargetMode="External"/><Relationship Id="rId831" Type="http://schemas.openxmlformats.org/officeDocument/2006/relationships/hyperlink" Target="https://www.munzee.com/m/Elli/7567/" TargetMode="External"/><Relationship Id="rId830" Type="http://schemas.openxmlformats.org/officeDocument/2006/relationships/hyperlink" Target="https://www.munzee.com/m/Elli/7458/" TargetMode="External"/><Relationship Id="rId834" Type="http://schemas.openxmlformats.org/officeDocument/2006/relationships/drawing" Target="../drawings/drawing1.xml"/><Relationship Id="rId228" Type="http://schemas.openxmlformats.org/officeDocument/2006/relationships/hyperlink" Target="https://www.munzee.com/m/nyboss/7160/" TargetMode="External"/><Relationship Id="rId227" Type="http://schemas.openxmlformats.org/officeDocument/2006/relationships/hyperlink" Target="https://www.munzee.com/m/humbird7/14416/" TargetMode="External"/><Relationship Id="rId469" Type="http://schemas.openxmlformats.org/officeDocument/2006/relationships/hyperlink" Target="https://www.munzee.com/m/Elli/7814/" TargetMode="External"/><Relationship Id="rId226" Type="http://schemas.openxmlformats.org/officeDocument/2006/relationships/hyperlink" Target="https://www.munzee.com/m/tk79/8473/" TargetMode="External"/><Relationship Id="rId468" Type="http://schemas.openxmlformats.org/officeDocument/2006/relationships/hyperlink" Target="https://www.munzee.com/m/elefantoduck/1196/" TargetMode="External"/><Relationship Id="rId225" Type="http://schemas.openxmlformats.org/officeDocument/2006/relationships/hyperlink" Target="https://www.munzee.com/m/heinbloed/1842/map/" TargetMode="External"/><Relationship Id="rId467" Type="http://schemas.openxmlformats.org/officeDocument/2006/relationships/hyperlink" Target="https://www.munzee.com/m/tlmeadowlark/3575/admin/" TargetMode="External"/><Relationship Id="rId229" Type="http://schemas.openxmlformats.org/officeDocument/2006/relationships/hyperlink" Target="https://www.munzee.com/m/Elli/7623/" TargetMode="External"/><Relationship Id="rId220" Type="http://schemas.openxmlformats.org/officeDocument/2006/relationships/hyperlink" Target="https://www.munzee.com/m/tk79/8979/" TargetMode="External"/><Relationship Id="rId462" Type="http://schemas.openxmlformats.org/officeDocument/2006/relationships/hyperlink" Target="https://www.munzee.com/m/elefantoduck/1200/" TargetMode="External"/><Relationship Id="rId461" Type="http://schemas.openxmlformats.org/officeDocument/2006/relationships/hyperlink" Target="https://www.munzee.com/m/Loewenjaeger/870/" TargetMode="External"/><Relationship Id="rId460" Type="http://schemas.openxmlformats.org/officeDocument/2006/relationships/hyperlink" Target="https://www.munzee.com/m/Boston2005/7623/" TargetMode="External"/><Relationship Id="rId224" Type="http://schemas.openxmlformats.org/officeDocument/2006/relationships/hyperlink" Target="https://www.munzee.com/m/humbird7/14144/" TargetMode="External"/><Relationship Id="rId466" Type="http://schemas.openxmlformats.org/officeDocument/2006/relationships/hyperlink" Target="https://www.munzee.com/m/Boston2005/7608/" TargetMode="External"/><Relationship Id="rId223" Type="http://schemas.openxmlformats.org/officeDocument/2006/relationships/hyperlink" Target="https://www.munzee.com/m/90mile/1156/" TargetMode="External"/><Relationship Id="rId465" Type="http://schemas.openxmlformats.org/officeDocument/2006/relationships/hyperlink" Target="https://www.munzee.com/m/elefantoduck/1198/" TargetMode="External"/><Relationship Id="rId222" Type="http://schemas.openxmlformats.org/officeDocument/2006/relationships/hyperlink" Target="https://www.munzee.com/m/tk79/8980/" TargetMode="External"/><Relationship Id="rId464" Type="http://schemas.openxmlformats.org/officeDocument/2006/relationships/hyperlink" Target="https://www.munzee.com/m/Bluelady77/812/" TargetMode="External"/><Relationship Id="rId221" Type="http://schemas.openxmlformats.org/officeDocument/2006/relationships/hyperlink" Target="https://www.munzee.com/m/BestNighty/1082/" TargetMode="External"/><Relationship Id="rId463" Type="http://schemas.openxmlformats.org/officeDocument/2006/relationships/hyperlink" Target="https://www.munzee.com/m/Boston2005/7614/" TargetMode="External"/><Relationship Id="rId217" Type="http://schemas.openxmlformats.org/officeDocument/2006/relationships/hyperlink" Target="https://www.munzee.com/m/tk79/8867/" TargetMode="External"/><Relationship Id="rId459" Type="http://schemas.openxmlformats.org/officeDocument/2006/relationships/hyperlink" Target="https://www.munzee.com/m/elefantoduck/1207/" TargetMode="External"/><Relationship Id="rId216" Type="http://schemas.openxmlformats.org/officeDocument/2006/relationships/hyperlink" Target="https://www.munzee.com/m/Sjael/1612/" TargetMode="External"/><Relationship Id="rId458" Type="http://schemas.openxmlformats.org/officeDocument/2006/relationships/hyperlink" Target="https://www.munzee.com/m/IggiePiggie/2004/" TargetMode="External"/><Relationship Id="rId215" Type="http://schemas.openxmlformats.org/officeDocument/2006/relationships/hyperlink" Target="https://www.munzee.com/m/humbird7/17133/" TargetMode="External"/><Relationship Id="rId457" Type="http://schemas.openxmlformats.org/officeDocument/2006/relationships/hyperlink" Target="https://www.munzee.com/m/Elli/7907/" TargetMode="External"/><Relationship Id="rId699" Type="http://schemas.openxmlformats.org/officeDocument/2006/relationships/hyperlink" Target="https://www.munzee.com/m/Loewenjaeger/1001/" TargetMode="External"/><Relationship Id="rId214" Type="http://schemas.openxmlformats.org/officeDocument/2006/relationships/hyperlink" Target="https://www.munzee.com/m/bambi5/1791/" TargetMode="External"/><Relationship Id="rId456" Type="http://schemas.openxmlformats.org/officeDocument/2006/relationships/hyperlink" Target="https://www.munzee.com/m/elefantoduck/1215/" TargetMode="External"/><Relationship Id="rId698" Type="http://schemas.openxmlformats.org/officeDocument/2006/relationships/hyperlink" Target="https://www.munzee.com/m/csThanner/2239/" TargetMode="External"/><Relationship Id="rId219" Type="http://schemas.openxmlformats.org/officeDocument/2006/relationships/hyperlink" Target="https://www.munzee.com/m/BestNighty/1084/" TargetMode="External"/><Relationship Id="rId218" Type="http://schemas.openxmlformats.org/officeDocument/2006/relationships/hyperlink" Target="https://www.munzee.com/m/Elli/7510/" TargetMode="External"/><Relationship Id="rId451" Type="http://schemas.openxmlformats.org/officeDocument/2006/relationships/hyperlink" Target="https://www.munzee.com/m/kwd/5966" TargetMode="External"/><Relationship Id="rId693" Type="http://schemas.openxmlformats.org/officeDocument/2006/relationships/hyperlink" Target="https://www.munzee.com/m/tk79/9069/" TargetMode="External"/><Relationship Id="rId450" Type="http://schemas.openxmlformats.org/officeDocument/2006/relationships/hyperlink" Target="https://www.munzee.com/m/Elli/7802/" TargetMode="External"/><Relationship Id="rId692" Type="http://schemas.openxmlformats.org/officeDocument/2006/relationships/hyperlink" Target="https://www.munzee.com/m/tk79/9070/" TargetMode="External"/><Relationship Id="rId691" Type="http://schemas.openxmlformats.org/officeDocument/2006/relationships/hyperlink" Target="https://www.munzee.com/m/tk79/9066/" TargetMode="External"/><Relationship Id="rId690" Type="http://schemas.openxmlformats.org/officeDocument/2006/relationships/hyperlink" Target="https://www.munzee.com/m/tk79/8988/" TargetMode="External"/><Relationship Id="rId213" Type="http://schemas.openxmlformats.org/officeDocument/2006/relationships/hyperlink" Target="https://www.munzee.com/m/heathcote07/2920/" TargetMode="External"/><Relationship Id="rId455" Type="http://schemas.openxmlformats.org/officeDocument/2006/relationships/hyperlink" Target="https://www.munzee.com/m/3Tiger/6343" TargetMode="External"/><Relationship Id="rId697" Type="http://schemas.openxmlformats.org/officeDocument/2006/relationships/hyperlink" Target="https://www.munzee.com/m/3Tiger/4548" TargetMode="External"/><Relationship Id="rId212" Type="http://schemas.openxmlformats.org/officeDocument/2006/relationships/hyperlink" Target="https://www.munzee.com/m/naturelover/5858/" TargetMode="External"/><Relationship Id="rId454" Type="http://schemas.openxmlformats.org/officeDocument/2006/relationships/hyperlink" Target="https://www.munzee.com/m/kwd/5923/" TargetMode="External"/><Relationship Id="rId696" Type="http://schemas.openxmlformats.org/officeDocument/2006/relationships/hyperlink" Target="https://www.munzee.com/m/tk79/9071/" TargetMode="External"/><Relationship Id="rId211" Type="http://schemas.openxmlformats.org/officeDocument/2006/relationships/hyperlink" Target="https://www.munzee.com/m/OldFruits/5993/" TargetMode="External"/><Relationship Id="rId453" Type="http://schemas.openxmlformats.org/officeDocument/2006/relationships/hyperlink" Target="https://www.munzee.com/m/Elli/7939/" TargetMode="External"/><Relationship Id="rId695" Type="http://schemas.openxmlformats.org/officeDocument/2006/relationships/hyperlink" Target="https://www.munzee.com/m/tk79/9067/" TargetMode="External"/><Relationship Id="rId210" Type="http://schemas.openxmlformats.org/officeDocument/2006/relationships/hyperlink" Target="https://www.munzee.com/m/tk79/8866/" TargetMode="External"/><Relationship Id="rId452" Type="http://schemas.openxmlformats.org/officeDocument/2006/relationships/hyperlink" Target="https://www.munzee.com/m/Tinake1309/239/" TargetMode="External"/><Relationship Id="rId694" Type="http://schemas.openxmlformats.org/officeDocument/2006/relationships/hyperlink" Target="https://www.munzee.com/m/tk79/9068/" TargetMode="External"/><Relationship Id="rId491" Type="http://schemas.openxmlformats.org/officeDocument/2006/relationships/hyperlink" Target="https://www.munzee.com/m/Boesj01/2681/" TargetMode="External"/><Relationship Id="rId490" Type="http://schemas.openxmlformats.org/officeDocument/2006/relationships/hyperlink" Target="https://www.munzee.com/m/heathcote07/4610/" TargetMode="External"/><Relationship Id="rId249" Type="http://schemas.openxmlformats.org/officeDocument/2006/relationships/hyperlink" Target="https://www.munzee.com/m/Elli/6855/" TargetMode="External"/><Relationship Id="rId248" Type="http://schemas.openxmlformats.org/officeDocument/2006/relationships/hyperlink" Target="https://www.munzee.com/m/tk79/8205/" TargetMode="External"/><Relationship Id="rId247" Type="http://schemas.openxmlformats.org/officeDocument/2006/relationships/hyperlink" Target="https://www.munzee.com/m/tk79/8202/" TargetMode="External"/><Relationship Id="rId489" Type="http://schemas.openxmlformats.org/officeDocument/2006/relationships/hyperlink" Target="https://www.munzee.com/m/naturelover/7814" TargetMode="External"/><Relationship Id="rId242" Type="http://schemas.openxmlformats.org/officeDocument/2006/relationships/hyperlink" Target="https://www.munzee.com/m/3Tiger/6304/" TargetMode="External"/><Relationship Id="rId484" Type="http://schemas.openxmlformats.org/officeDocument/2006/relationships/hyperlink" Target="https://www.munzee.com/m/Loewenjaeger/902/" TargetMode="External"/><Relationship Id="rId241" Type="http://schemas.openxmlformats.org/officeDocument/2006/relationships/hyperlink" Target="https://www.munzee.com/m/HabakukTibatong/1254/map/" TargetMode="External"/><Relationship Id="rId483" Type="http://schemas.openxmlformats.org/officeDocument/2006/relationships/hyperlink" Target="https://www.munzee.com/m/Cadonkey/1623" TargetMode="External"/><Relationship Id="rId240" Type="http://schemas.openxmlformats.org/officeDocument/2006/relationships/hyperlink" Target="https://www.munzee.com/m/Elli/6881/" TargetMode="External"/><Relationship Id="rId482" Type="http://schemas.openxmlformats.org/officeDocument/2006/relationships/hyperlink" Target="https://www.munzee.com/m/darrenjones/5418" TargetMode="External"/><Relationship Id="rId481" Type="http://schemas.openxmlformats.org/officeDocument/2006/relationships/hyperlink" Target="https://www.munzee.com/m/Hogglespike/5742" TargetMode="External"/><Relationship Id="rId246" Type="http://schemas.openxmlformats.org/officeDocument/2006/relationships/hyperlink" Target="https://www.munzee.com/m/OHail/14103/" TargetMode="External"/><Relationship Id="rId488" Type="http://schemas.openxmlformats.org/officeDocument/2006/relationships/hyperlink" Target="https://www.munzee.com/m/Newfruit/6730" TargetMode="External"/><Relationship Id="rId245" Type="http://schemas.openxmlformats.org/officeDocument/2006/relationships/hyperlink" Target="https://www.munzee.com/m/HabakukTibatong/1248/map/" TargetMode="External"/><Relationship Id="rId487" Type="http://schemas.openxmlformats.org/officeDocument/2006/relationships/hyperlink" Target="https://www.munzee.com/m/shrekmiester/7306" TargetMode="External"/><Relationship Id="rId244" Type="http://schemas.openxmlformats.org/officeDocument/2006/relationships/hyperlink" Target="https://www.munzee.com/m/Keni/1138/" TargetMode="External"/><Relationship Id="rId486" Type="http://schemas.openxmlformats.org/officeDocument/2006/relationships/hyperlink" Target="https://www.munzee.com/m/newbee/7480" TargetMode="External"/><Relationship Id="rId243" Type="http://schemas.openxmlformats.org/officeDocument/2006/relationships/hyperlink" Target="https://www.munzee.com/m/OHail/16854/" TargetMode="External"/><Relationship Id="rId485" Type="http://schemas.openxmlformats.org/officeDocument/2006/relationships/hyperlink" Target="https://www.munzee.com/m/Bluelady77/814/" TargetMode="External"/><Relationship Id="rId480" Type="http://schemas.openxmlformats.org/officeDocument/2006/relationships/hyperlink" Target="https://www.munzee.com/m/ibike4m/1297/" TargetMode="External"/><Relationship Id="rId239" Type="http://schemas.openxmlformats.org/officeDocument/2006/relationships/hyperlink" Target="https://www.munzee.com/m/Elli/8156/" TargetMode="External"/><Relationship Id="rId238" Type="http://schemas.openxmlformats.org/officeDocument/2006/relationships/hyperlink" Target="https://www.munzee.com/m/Elli/7940/" TargetMode="External"/><Relationship Id="rId237" Type="http://schemas.openxmlformats.org/officeDocument/2006/relationships/hyperlink" Target="https://www.munzee.com/m/humbird7/17048/" TargetMode="External"/><Relationship Id="rId479" Type="http://schemas.openxmlformats.org/officeDocument/2006/relationships/hyperlink" Target="https://www.munzee.com/m/csThanner/2023/" TargetMode="External"/><Relationship Id="rId236" Type="http://schemas.openxmlformats.org/officeDocument/2006/relationships/hyperlink" Target="https://www.munzee.com/m/Elli/6882/" TargetMode="External"/><Relationship Id="rId478" Type="http://schemas.openxmlformats.org/officeDocument/2006/relationships/hyperlink" Target="https://www.munzee.com/m/Cidinho/2258/" TargetMode="External"/><Relationship Id="rId231" Type="http://schemas.openxmlformats.org/officeDocument/2006/relationships/hyperlink" Target="https://www.munzee.com/m/EmeraldAngel/2189" TargetMode="External"/><Relationship Id="rId473" Type="http://schemas.openxmlformats.org/officeDocument/2006/relationships/hyperlink" Target="https://www.munzee.com/m/Boston2005/7553/" TargetMode="External"/><Relationship Id="rId230" Type="http://schemas.openxmlformats.org/officeDocument/2006/relationships/hyperlink" Target="https://www.munzee.com/m/Elli/7593/" TargetMode="External"/><Relationship Id="rId472" Type="http://schemas.openxmlformats.org/officeDocument/2006/relationships/hyperlink" Target="https://www.munzee.com/m/Elli/7978/" TargetMode="External"/><Relationship Id="rId471" Type="http://schemas.openxmlformats.org/officeDocument/2006/relationships/hyperlink" Target="https://www.munzee.com/m/tlmeadowlark/3580/admin/" TargetMode="External"/><Relationship Id="rId470" Type="http://schemas.openxmlformats.org/officeDocument/2006/relationships/hyperlink" Target="https://www.munzee.com/m/Boston2005/7570/" TargetMode="External"/><Relationship Id="rId235" Type="http://schemas.openxmlformats.org/officeDocument/2006/relationships/hyperlink" Target="https://www.munzee.com/m/Elli/7592/" TargetMode="External"/><Relationship Id="rId477" Type="http://schemas.openxmlformats.org/officeDocument/2006/relationships/hyperlink" Target="https://www.munzee.com/m/Bluelady77/1980/" TargetMode="External"/><Relationship Id="rId234" Type="http://schemas.openxmlformats.org/officeDocument/2006/relationships/hyperlink" Target="https://www.munzee.com/m/HabakukTibatong/1232/map/" TargetMode="External"/><Relationship Id="rId476" Type="http://schemas.openxmlformats.org/officeDocument/2006/relationships/hyperlink" Target="https://www.munzee.com/m/Loewenjaeger/901/" TargetMode="External"/><Relationship Id="rId233" Type="http://schemas.openxmlformats.org/officeDocument/2006/relationships/hyperlink" Target="https://www.munzee.com/m/Elli/6853/" TargetMode="External"/><Relationship Id="rId475" Type="http://schemas.openxmlformats.org/officeDocument/2006/relationships/hyperlink" Target="https://www.munzee.com/m/Maxi72/1179" TargetMode="External"/><Relationship Id="rId232" Type="http://schemas.openxmlformats.org/officeDocument/2006/relationships/hyperlink" Target="https://www.munzee.com/m/Dad35/11032/" TargetMode="External"/><Relationship Id="rId474" Type="http://schemas.openxmlformats.org/officeDocument/2006/relationships/hyperlink" Target="https://www.munzee.com/m/Boston2005/7824/" TargetMode="External"/><Relationship Id="rId426" Type="http://schemas.openxmlformats.org/officeDocument/2006/relationships/hyperlink" Target="https://www.munzee.com/m/Centern/4609/" TargetMode="External"/><Relationship Id="rId668" Type="http://schemas.openxmlformats.org/officeDocument/2006/relationships/hyperlink" Target="https://www.munzee.com/m/einkilorind/3407/" TargetMode="External"/><Relationship Id="rId425" Type="http://schemas.openxmlformats.org/officeDocument/2006/relationships/hyperlink" Target="https://www.munzee.com/m/kwd/6132/" TargetMode="External"/><Relationship Id="rId667" Type="http://schemas.openxmlformats.org/officeDocument/2006/relationships/hyperlink" Target="https://www.munzee.com/m/Wangotango/1794" TargetMode="External"/><Relationship Id="rId424" Type="http://schemas.openxmlformats.org/officeDocument/2006/relationships/hyperlink" Target="https://www.munzee.com/m/csThanner/1994/" TargetMode="External"/><Relationship Id="rId666" Type="http://schemas.openxmlformats.org/officeDocument/2006/relationships/hyperlink" Target="https://www.munzee.com/m/ekageo/1459/" TargetMode="External"/><Relationship Id="rId423" Type="http://schemas.openxmlformats.org/officeDocument/2006/relationships/hyperlink" Target="https://www.munzee.com/m/3Tiger/6358/" TargetMode="External"/><Relationship Id="rId665" Type="http://schemas.openxmlformats.org/officeDocument/2006/relationships/hyperlink" Target="https://www.munzee.com/m/Boston2005/12443/" TargetMode="External"/><Relationship Id="rId429" Type="http://schemas.openxmlformats.org/officeDocument/2006/relationships/hyperlink" Target="https://www.munzee.com/m/Centern/4378/" TargetMode="External"/><Relationship Id="rId428" Type="http://schemas.openxmlformats.org/officeDocument/2006/relationships/hyperlink" Target="https://www.munzee.com/m/kwd/6121/" TargetMode="External"/><Relationship Id="rId427" Type="http://schemas.openxmlformats.org/officeDocument/2006/relationships/hyperlink" Target="https://www.munzee.com/m/csThanner/1996/" TargetMode="External"/><Relationship Id="rId669" Type="http://schemas.openxmlformats.org/officeDocument/2006/relationships/hyperlink" Target="https://www.munzee.com/m/tk79/8814/" TargetMode="External"/><Relationship Id="rId660" Type="http://schemas.openxmlformats.org/officeDocument/2006/relationships/hyperlink" Target="https://www.munzee.com/m/Boston2005/11050/" TargetMode="External"/><Relationship Id="rId422" Type="http://schemas.openxmlformats.org/officeDocument/2006/relationships/hyperlink" Target="https://www.munzee.com/m/kwd/6263" TargetMode="External"/><Relationship Id="rId664" Type="http://schemas.openxmlformats.org/officeDocument/2006/relationships/hyperlink" Target="https://www.munzee.com/m/Boston2005/12399/" TargetMode="External"/><Relationship Id="rId421" Type="http://schemas.openxmlformats.org/officeDocument/2006/relationships/hyperlink" Target="https://www.munzee.com/m/csThanner/1986/" TargetMode="External"/><Relationship Id="rId663" Type="http://schemas.openxmlformats.org/officeDocument/2006/relationships/hyperlink" Target="https://www.munzee.com/m/Boston2005/10777/" TargetMode="External"/><Relationship Id="rId420" Type="http://schemas.openxmlformats.org/officeDocument/2006/relationships/hyperlink" Target="https://www.munzee.com/m/3Tiger/6359/" TargetMode="External"/><Relationship Id="rId662" Type="http://schemas.openxmlformats.org/officeDocument/2006/relationships/hyperlink" Target="https://www.munzee.com/m/Boston2005/10776/" TargetMode="External"/><Relationship Id="rId661" Type="http://schemas.openxmlformats.org/officeDocument/2006/relationships/hyperlink" Target="https://www.munzee.com/m/Boston2005/12085/" TargetMode="External"/><Relationship Id="rId415" Type="http://schemas.openxmlformats.org/officeDocument/2006/relationships/hyperlink" Target="https://www.munzee.com/m/csThanner/1984/admin/" TargetMode="External"/><Relationship Id="rId657" Type="http://schemas.openxmlformats.org/officeDocument/2006/relationships/hyperlink" Target="https://www.munzee.com/m/Boston2005/8169/" TargetMode="External"/><Relationship Id="rId414" Type="http://schemas.openxmlformats.org/officeDocument/2006/relationships/hyperlink" Target="https://www.munzee.com/m/Arendt/2942/admin/" TargetMode="External"/><Relationship Id="rId656" Type="http://schemas.openxmlformats.org/officeDocument/2006/relationships/hyperlink" Target="https://www.munzee.com/m/Boston2005/8173/" TargetMode="External"/><Relationship Id="rId413" Type="http://schemas.openxmlformats.org/officeDocument/2006/relationships/hyperlink" Target="https://www.munzee.com/m/csThanner/1982/admin/" TargetMode="External"/><Relationship Id="rId655" Type="http://schemas.openxmlformats.org/officeDocument/2006/relationships/hyperlink" Target="https://www.munzee.com/m/SachensucherHB/1758/" TargetMode="External"/><Relationship Id="rId412" Type="http://schemas.openxmlformats.org/officeDocument/2006/relationships/hyperlink" Target="https://www.munzee.com/m/Majsan/5180/" TargetMode="External"/><Relationship Id="rId654" Type="http://schemas.openxmlformats.org/officeDocument/2006/relationships/hyperlink" Target="https://www.munzee.com/m/Boston2005/8180/" TargetMode="External"/><Relationship Id="rId419" Type="http://schemas.openxmlformats.org/officeDocument/2006/relationships/hyperlink" Target="https://www.munzee.com/m/kwd/6267" TargetMode="External"/><Relationship Id="rId418" Type="http://schemas.openxmlformats.org/officeDocument/2006/relationships/hyperlink" Target="https://www.munzee.com/m/3Tiger/6363/" TargetMode="External"/><Relationship Id="rId417" Type="http://schemas.openxmlformats.org/officeDocument/2006/relationships/hyperlink" Target="https://www.munzee.com/m/kwd/6277" TargetMode="External"/><Relationship Id="rId659" Type="http://schemas.openxmlformats.org/officeDocument/2006/relationships/hyperlink" Target="https://www.munzee.com/m/Boston2005/10873/" TargetMode="External"/><Relationship Id="rId416" Type="http://schemas.openxmlformats.org/officeDocument/2006/relationships/hyperlink" Target="https://www.munzee.com/m/Dad35/11049/" TargetMode="External"/><Relationship Id="rId658" Type="http://schemas.openxmlformats.org/officeDocument/2006/relationships/hyperlink" Target="https://www.munzee.com/m/Boston2005/9795/" TargetMode="External"/><Relationship Id="rId411" Type="http://schemas.openxmlformats.org/officeDocument/2006/relationships/hyperlink" Target="https://www.munzee.com/m/csThanner/1981/admin/" TargetMode="External"/><Relationship Id="rId653" Type="http://schemas.openxmlformats.org/officeDocument/2006/relationships/hyperlink" Target="https://www.munzee.com/m/tk79/1190/" TargetMode="External"/><Relationship Id="rId410" Type="http://schemas.openxmlformats.org/officeDocument/2006/relationships/hyperlink" Target="https://www.munzee.com/m/Majsan/5437/" TargetMode="External"/><Relationship Id="rId652" Type="http://schemas.openxmlformats.org/officeDocument/2006/relationships/hyperlink" Target="https://www.munzee.com/m/csThanner/1972/" TargetMode="External"/><Relationship Id="rId651" Type="http://schemas.openxmlformats.org/officeDocument/2006/relationships/hyperlink" Target="https://www.munzee.com/m/csThanner/1970/" TargetMode="External"/><Relationship Id="rId650" Type="http://schemas.openxmlformats.org/officeDocument/2006/relationships/hyperlink" Target="https://www.munzee.com/m/csThanner/1964/" TargetMode="External"/><Relationship Id="rId206" Type="http://schemas.openxmlformats.org/officeDocument/2006/relationships/hyperlink" Target="https://www.munzee.com/m/tk79/8634/" TargetMode="External"/><Relationship Id="rId448" Type="http://schemas.openxmlformats.org/officeDocument/2006/relationships/hyperlink" Target="https://www.munzee.com/m/kwd/5973" TargetMode="External"/><Relationship Id="rId205" Type="http://schemas.openxmlformats.org/officeDocument/2006/relationships/hyperlink" Target="https://www.munzee.com/m/tk79/8632/" TargetMode="External"/><Relationship Id="rId447" Type="http://schemas.openxmlformats.org/officeDocument/2006/relationships/hyperlink" Target="https://www.munzee.com/m/Bungle/2896" TargetMode="External"/><Relationship Id="rId689" Type="http://schemas.openxmlformats.org/officeDocument/2006/relationships/hyperlink" Target="https://www.munzee.com/m/tk79/8992/" TargetMode="External"/><Relationship Id="rId204" Type="http://schemas.openxmlformats.org/officeDocument/2006/relationships/hyperlink" Target="https://www.munzee.com/m/tk79/8631/" TargetMode="External"/><Relationship Id="rId446" Type="http://schemas.openxmlformats.org/officeDocument/2006/relationships/hyperlink" Target="https://www.munzee.com/m/Arendt/2864/admin/" TargetMode="External"/><Relationship Id="rId688" Type="http://schemas.openxmlformats.org/officeDocument/2006/relationships/hyperlink" Target="https://www.munzee.com/m/tk79/8857/" TargetMode="External"/><Relationship Id="rId203" Type="http://schemas.openxmlformats.org/officeDocument/2006/relationships/hyperlink" Target="https://www.munzee.com/m/BestNighty/1078/" TargetMode="External"/><Relationship Id="rId445" Type="http://schemas.openxmlformats.org/officeDocument/2006/relationships/hyperlink" Target="https://www.munzee.com/m/kwd/6012" TargetMode="External"/><Relationship Id="rId687" Type="http://schemas.openxmlformats.org/officeDocument/2006/relationships/hyperlink" Target="https://www.munzee.com/m/tk79/9057/" TargetMode="External"/><Relationship Id="rId209" Type="http://schemas.openxmlformats.org/officeDocument/2006/relationships/hyperlink" Target="https://www.munzee.com/m/tk79/8858/" TargetMode="External"/><Relationship Id="rId208" Type="http://schemas.openxmlformats.org/officeDocument/2006/relationships/hyperlink" Target="https://www.munzee.com/m/tk79/8693/" TargetMode="External"/><Relationship Id="rId207" Type="http://schemas.openxmlformats.org/officeDocument/2006/relationships/hyperlink" Target="https://www.munzee.com/m/Elli/7511/" TargetMode="External"/><Relationship Id="rId449" Type="http://schemas.openxmlformats.org/officeDocument/2006/relationships/hyperlink" Target="https://www.munzee.com/m/Arendt/2785/admin/" TargetMode="External"/><Relationship Id="rId440" Type="http://schemas.openxmlformats.org/officeDocument/2006/relationships/hyperlink" Target="https://www.munzee.com/m/Arendt/2913/admin/" TargetMode="External"/><Relationship Id="rId682" Type="http://schemas.openxmlformats.org/officeDocument/2006/relationships/hyperlink" Target="https://www.munzee.com/m/Mamuti/386" TargetMode="External"/><Relationship Id="rId681" Type="http://schemas.openxmlformats.org/officeDocument/2006/relationships/hyperlink" Target="https://www.munzee.com/m/ekageo/1479/admin/" TargetMode="External"/><Relationship Id="rId680" Type="http://schemas.openxmlformats.org/officeDocument/2006/relationships/hyperlink" Target="https://www.munzee.com/m/Mamuti/473/" TargetMode="External"/><Relationship Id="rId202" Type="http://schemas.openxmlformats.org/officeDocument/2006/relationships/hyperlink" Target="https://www.munzee.com/m/tk79/8621/" TargetMode="External"/><Relationship Id="rId444" Type="http://schemas.openxmlformats.org/officeDocument/2006/relationships/hyperlink" Target="https://www.munzee.com/m/Elli/7864/" TargetMode="External"/><Relationship Id="rId686" Type="http://schemas.openxmlformats.org/officeDocument/2006/relationships/hyperlink" Target="https://www.munzee.com/m/tk79/8757/" TargetMode="External"/><Relationship Id="rId201" Type="http://schemas.openxmlformats.org/officeDocument/2006/relationships/hyperlink" Target="https://www.munzee.com/m/BestNighty/1077/" TargetMode="External"/><Relationship Id="rId443" Type="http://schemas.openxmlformats.org/officeDocument/2006/relationships/hyperlink" Target="https://www.munzee.com/m/Flattermaus/3969/" TargetMode="External"/><Relationship Id="rId685" Type="http://schemas.openxmlformats.org/officeDocument/2006/relationships/hyperlink" Target="https://www.munzee.com/m/tk79/8809/" TargetMode="External"/><Relationship Id="rId200" Type="http://schemas.openxmlformats.org/officeDocument/2006/relationships/hyperlink" Target="https://www.munzee.com/m/OHail/14107/" TargetMode="External"/><Relationship Id="rId442" Type="http://schemas.openxmlformats.org/officeDocument/2006/relationships/hyperlink" Target="https://www.munzee.com/m/kwd/6029/" TargetMode="External"/><Relationship Id="rId684" Type="http://schemas.openxmlformats.org/officeDocument/2006/relationships/hyperlink" Target="https://www.munzee.com/m/einkilorind/3890/" TargetMode="External"/><Relationship Id="rId441" Type="http://schemas.openxmlformats.org/officeDocument/2006/relationships/hyperlink" Target="https://www.munzee.com/m/tlmeadowlark/4748/admin/" TargetMode="External"/><Relationship Id="rId683" Type="http://schemas.openxmlformats.org/officeDocument/2006/relationships/hyperlink" Target="https://www.munzee.com/m/tk79/1192/" TargetMode="External"/><Relationship Id="rId437" Type="http://schemas.openxmlformats.org/officeDocument/2006/relationships/hyperlink" Target="https://www.munzee.com/m/Flattermaus/3970/" TargetMode="External"/><Relationship Id="rId679" Type="http://schemas.openxmlformats.org/officeDocument/2006/relationships/hyperlink" Target="https://www.munzee.com/m/3Tiger/4547/" TargetMode="External"/><Relationship Id="rId436" Type="http://schemas.openxmlformats.org/officeDocument/2006/relationships/hyperlink" Target="https://www.munzee.com/m/kwd/6039/" TargetMode="External"/><Relationship Id="rId678" Type="http://schemas.openxmlformats.org/officeDocument/2006/relationships/hyperlink" Target="https://www.munzee.com/m/einkilorind/3539/" TargetMode="External"/><Relationship Id="rId435" Type="http://schemas.openxmlformats.org/officeDocument/2006/relationships/hyperlink" Target="https://www.munzee.com/m/csThanner/2022/" TargetMode="External"/><Relationship Id="rId677" Type="http://schemas.openxmlformats.org/officeDocument/2006/relationships/hyperlink" Target="https://www.munzee.com/m/tk79/8810/" TargetMode="External"/><Relationship Id="rId434" Type="http://schemas.openxmlformats.org/officeDocument/2006/relationships/hyperlink" Target="https://www.munzee.com/m/kwd/6040" TargetMode="External"/><Relationship Id="rId676" Type="http://schemas.openxmlformats.org/officeDocument/2006/relationships/hyperlink" Target="https://www.munzee.com/m/einkilorind/3433/" TargetMode="External"/><Relationship Id="rId439" Type="http://schemas.openxmlformats.org/officeDocument/2006/relationships/hyperlink" Target="https://www.munzee.com/m/kwd/6031" TargetMode="External"/><Relationship Id="rId438" Type="http://schemas.openxmlformats.org/officeDocument/2006/relationships/hyperlink" Target="https://www.munzee.com/m/einkilorind/3361/" TargetMode="External"/><Relationship Id="rId671" Type="http://schemas.openxmlformats.org/officeDocument/2006/relationships/hyperlink" Target="https://www.munzee.com/m/einkilorind/3464/" TargetMode="External"/><Relationship Id="rId670" Type="http://schemas.openxmlformats.org/officeDocument/2006/relationships/hyperlink" Target="https://www.munzee.com/m/einkilorind/3437/" TargetMode="External"/><Relationship Id="rId433" Type="http://schemas.openxmlformats.org/officeDocument/2006/relationships/hyperlink" Target="https://www.munzee.com/m/csThanner/2016/" TargetMode="External"/><Relationship Id="rId675" Type="http://schemas.openxmlformats.org/officeDocument/2006/relationships/hyperlink" Target="https://www.munzee.com/m/einkilorind/3465/" TargetMode="External"/><Relationship Id="rId432" Type="http://schemas.openxmlformats.org/officeDocument/2006/relationships/hyperlink" Target="https://www.munzee.com/m/Arendt/2868/admin/" TargetMode="External"/><Relationship Id="rId674" Type="http://schemas.openxmlformats.org/officeDocument/2006/relationships/hyperlink" Target="https://www.munzee.com/m/tk79/8811/" TargetMode="External"/><Relationship Id="rId431" Type="http://schemas.openxmlformats.org/officeDocument/2006/relationships/hyperlink" Target="https://www.munzee.com/m/kwd/6043" TargetMode="External"/><Relationship Id="rId673" Type="http://schemas.openxmlformats.org/officeDocument/2006/relationships/hyperlink" Target="https://www.munzee.com/m/tk79/8812/" TargetMode="External"/><Relationship Id="rId430" Type="http://schemas.openxmlformats.org/officeDocument/2006/relationships/hyperlink" Target="https://www.munzee.com/m/csThanner/2015/admin/" TargetMode="External"/><Relationship Id="rId672" Type="http://schemas.openxmlformats.org/officeDocument/2006/relationships/hyperlink" Target="https://www.munzee.com/m/tk79/8813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.25"/>
    <col customWidth="1" min="5" max="5" width="14.75"/>
    <col customWidth="1" min="6" max="6" width="21.38"/>
    <col customWidth="1" min="7" max="7" width="20.63"/>
    <col customWidth="1" min="8" max="8" width="45.0"/>
    <col customWidth="1" min="9" max="9" width="32.25"/>
  </cols>
  <sheetData>
    <row r="1">
      <c r="F1" s="1" t="s">
        <v>0</v>
      </c>
      <c r="G1" s="2"/>
      <c r="H1" s="3"/>
    </row>
    <row r="2">
      <c r="F2" s="1" t="s">
        <v>1</v>
      </c>
      <c r="G2" s="2"/>
      <c r="H2" s="3"/>
    </row>
    <row r="3">
      <c r="F3" s="4" t="s">
        <v>2</v>
      </c>
      <c r="G3" s="5" t="s">
        <v>3</v>
      </c>
    </row>
    <row r="4">
      <c r="F4" s="4" t="s">
        <v>4</v>
      </c>
      <c r="G4" s="6" t="s">
        <v>5</v>
      </c>
    </row>
    <row r="5">
      <c r="F5" s="2"/>
      <c r="G5" s="2"/>
      <c r="H5" s="3"/>
    </row>
    <row r="6">
      <c r="F6" s="7"/>
      <c r="G6" s="8" t="s">
        <v>6</v>
      </c>
      <c r="H6" s="9">
        <f>COUNTA(H18:H3617)/COUNTA(F18:F3617)</f>
        <v>0.4883333333</v>
      </c>
    </row>
    <row r="7">
      <c r="F7" s="10"/>
      <c r="G7" s="11" t="s">
        <v>7</v>
      </c>
      <c r="H7" s="11">
        <f>SUM(H8-H9)</f>
        <v>1758</v>
      </c>
      <c r="J7" s="12" t="s">
        <v>8</v>
      </c>
    </row>
    <row r="8">
      <c r="F8" s="13"/>
      <c r="G8" s="14" t="s">
        <v>9</v>
      </c>
      <c r="H8" s="8">
        <f>COUNTA(E18:E3617)</f>
        <v>3600</v>
      </c>
      <c r="J8" s="15">
        <f>COUNTIF($G$18:$G3622,"50' ERROR")</f>
        <v>0</v>
      </c>
    </row>
    <row r="9">
      <c r="F9" s="7"/>
      <c r="G9" s="16" t="s">
        <v>10</v>
      </c>
      <c r="H9" s="16">
        <f>COUNTBLANK(H18:H3617)</f>
        <v>1842</v>
      </c>
    </row>
    <row r="10">
      <c r="F10" s="17" t="s">
        <v>11</v>
      </c>
      <c r="G10" s="18" t="s">
        <v>12</v>
      </c>
      <c r="H10" s="19" t="s">
        <v>13</v>
      </c>
    </row>
    <row r="11">
      <c r="F11" s="20" t="s">
        <v>14</v>
      </c>
      <c r="G11" s="21">
        <f>COUNTIF(E18:E3617,"Virtual")</f>
        <v>1506</v>
      </c>
      <c r="H11" s="22">
        <f>SUMPRODUCT((F18:F3617=F11)*(H18:H3617=""))</f>
        <v>965</v>
      </c>
    </row>
    <row r="12">
      <c r="F12" s="23" t="s">
        <v>15</v>
      </c>
      <c r="G12" s="24">
        <f>COUNTIF(E18:E3617,"Crossbow/Catapult")</f>
        <v>2094</v>
      </c>
      <c r="H12" s="25">
        <f>SUMPRODUCT((E18:E3617=F12)*(H18:H3617=""))</f>
        <v>877</v>
      </c>
    </row>
    <row r="13">
      <c r="H13" s="26"/>
    </row>
    <row r="14">
      <c r="A14" s="27" t="s">
        <v>16</v>
      </c>
    </row>
    <row r="17" ht="15.75" customHeight="1">
      <c r="A17" s="12">
        <f>AVERAGE(A3:K16)</f>
        <v>1404.720926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11</v>
      </c>
      <c r="G17" s="12" t="s">
        <v>21</v>
      </c>
      <c r="H17" s="12" t="s">
        <v>22</v>
      </c>
      <c r="I17" s="12" t="s">
        <v>23</v>
      </c>
      <c r="J17" s="12" t="s">
        <v>24</v>
      </c>
      <c r="K17" s="15"/>
    </row>
    <row r="18">
      <c r="A18" s="28">
        <v>1.0</v>
      </c>
      <c r="B18" s="28">
        <v>1.0</v>
      </c>
      <c r="C18" s="28">
        <v>53.4976942567288</v>
      </c>
      <c r="D18" s="28">
        <v>9.9899425358609</v>
      </c>
      <c r="E18" s="28" t="s">
        <v>25</v>
      </c>
      <c r="F18" s="28" t="s">
        <v>14</v>
      </c>
      <c r="G18" s="29" t="s">
        <v>26</v>
      </c>
      <c r="H18" s="30" t="str">
        <f>HYPERLINK("https://www.munzee.com/m/Elli/6209/", "Elli/6209")</f>
        <v>Elli/6209</v>
      </c>
      <c r="J18" s="31">
        <f t="shared" ref="J18:J464" si="1">COUNTIF($G$18:$G$3617,G18)</f>
        <v>143</v>
      </c>
    </row>
    <row r="19">
      <c r="A19" s="28">
        <v>1.0</v>
      </c>
      <c r="B19" s="28">
        <v>2.0</v>
      </c>
      <c r="C19" s="28">
        <v>53.4976817295533</v>
      </c>
      <c r="D19" s="28">
        <v>9.99018323894438</v>
      </c>
      <c r="E19" s="28" t="s">
        <v>25</v>
      </c>
      <c r="F19" s="28" t="s">
        <v>14</v>
      </c>
      <c r="G19" s="29" t="s">
        <v>27</v>
      </c>
      <c r="H19" s="30" t="str">
        <f>HYPERLINK("https://www.munzee.com/m/DarkHaribo/12881", "DarkHaribo/12881")</f>
        <v>DarkHaribo/12881</v>
      </c>
      <c r="J19" s="31">
        <f t="shared" si="1"/>
        <v>103</v>
      </c>
    </row>
    <row r="20">
      <c r="A20" s="28">
        <v>1.0</v>
      </c>
      <c r="B20" s="28">
        <v>3.0</v>
      </c>
      <c r="C20" s="28">
        <v>53.4976692023778</v>
      </c>
      <c r="D20" s="28">
        <v>9.9904239419568</v>
      </c>
      <c r="E20" s="28" t="s">
        <v>25</v>
      </c>
      <c r="F20" s="28" t="s">
        <v>14</v>
      </c>
      <c r="G20" s="29" t="s">
        <v>28</v>
      </c>
      <c r="H20" s="30" t="str">
        <f>HYPERLINK("https://www.munzee.com/m/dreiengel/7895", "dreiengel/7895")</f>
        <v>dreiengel/7895</v>
      </c>
      <c r="J20" s="31">
        <f t="shared" si="1"/>
        <v>9</v>
      </c>
    </row>
    <row r="21">
      <c r="A21" s="28">
        <v>1.0</v>
      </c>
      <c r="B21" s="28">
        <v>4.0</v>
      </c>
      <c r="C21" s="28">
        <v>53.4976566752023</v>
      </c>
      <c r="D21" s="28">
        <v>9.99066464489806</v>
      </c>
      <c r="E21" s="28" t="s">
        <v>25</v>
      </c>
      <c r="F21" s="28" t="s">
        <v>14</v>
      </c>
      <c r="G21" s="29" t="s">
        <v>26</v>
      </c>
      <c r="H21" s="30" t="str">
        <f>HYPERLINK("https://www.munzee.com/m/Elli/6207/", "Elli/6207")</f>
        <v>Elli/6207</v>
      </c>
      <c r="J21" s="31">
        <f t="shared" si="1"/>
        <v>143</v>
      </c>
    </row>
    <row r="22">
      <c r="A22" s="28">
        <v>1.0</v>
      </c>
      <c r="B22" s="28">
        <v>5.0</v>
      </c>
      <c r="C22" s="28">
        <v>53.4976441480268</v>
      </c>
      <c r="D22" s="28">
        <v>9.99090534776826</v>
      </c>
      <c r="E22" s="28" t="s">
        <v>25</v>
      </c>
      <c r="F22" s="28" t="s">
        <v>14</v>
      </c>
      <c r="G22" s="29" t="s">
        <v>27</v>
      </c>
      <c r="H22" s="30" t="str">
        <f>HYPERLINK("https://www.munzee.com/m/DarkHaribo/12879", "DarkHaribo/12879")</f>
        <v>DarkHaribo/12879</v>
      </c>
      <c r="J22" s="31">
        <f t="shared" si="1"/>
        <v>103</v>
      </c>
    </row>
    <row r="23">
      <c r="A23" s="28">
        <v>1.0</v>
      </c>
      <c r="B23" s="28">
        <v>6.0</v>
      </c>
      <c r="C23" s="28">
        <v>53.4976316208513</v>
      </c>
      <c r="D23" s="28">
        <v>9.99114605056729</v>
      </c>
      <c r="E23" s="28" t="s">
        <v>25</v>
      </c>
      <c r="F23" s="28" t="s">
        <v>14</v>
      </c>
      <c r="G23" s="29" t="s">
        <v>29</v>
      </c>
      <c r="H23" s="30" t="str">
        <f>HYPERLINK("https://www.munzee.com/m/InaausWien/2206/", "InaausWien/2206")</f>
        <v>InaausWien/2206</v>
      </c>
      <c r="J23" s="31">
        <f t="shared" si="1"/>
        <v>3</v>
      </c>
    </row>
    <row r="24">
      <c r="A24" s="28">
        <v>1.0</v>
      </c>
      <c r="B24" s="28">
        <v>7.0</v>
      </c>
      <c r="C24" s="28">
        <v>53.4976190936759</v>
      </c>
      <c r="D24" s="28">
        <v>9.99138675329527</v>
      </c>
      <c r="E24" s="28" t="s">
        <v>25</v>
      </c>
      <c r="F24" s="28" t="s">
        <v>14</v>
      </c>
      <c r="G24" s="29" t="s">
        <v>30</v>
      </c>
      <c r="H24" s="30" t="str">
        <f>HYPERLINK("https://www.munzee.com/m/SachensucherHB/1368/", "SachensucherHB/1368")</f>
        <v>SachensucherHB/1368</v>
      </c>
      <c r="J24" s="31">
        <f t="shared" si="1"/>
        <v>62</v>
      </c>
    </row>
    <row r="25">
      <c r="A25" s="28">
        <v>1.0</v>
      </c>
      <c r="B25" s="28">
        <v>8.0</v>
      </c>
      <c r="C25" s="28">
        <v>53.4976065665004</v>
      </c>
      <c r="D25" s="28">
        <v>9.99162745595208</v>
      </c>
      <c r="E25" s="28" t="s">
        <v>25</v>
      </c>
      <c r="F25" s="28" t="s">
        <v>14</v>
      </c>
      <c r="G25" s="29" t="s">
        <v>27</v>
      </c>
      <c r="H25" s="30" t="str">
        <f>HYPERLINK("https://www.munzee.com/m/DarkHaribo/12878", "DarkHaribo/12878")</f>
        <v>DarkHaribo/12878</v>
      </c>
      <c r="J25" s="31">
        <f t="shared" si="1"/>
        <v>103</v>
      </c>
    </row>
    <row r="26">
      <c r="A26" s="28">
        <v>1.0</v>
      </c>
      <c r="B26" s="28">
        <v>9.0</v>
      </c>
      <c r="C26" s="28">
        <v>53.4975940393249</v>
      </c>
      <c r="D26" s="28">
        <v>9.99186815853772</v>
      </c>
      <c r="E26" s="28" t="s">
        <v>25</v>
      </c>
      <c r="F26" s="28" t="s">
        <v>14</v>
      </c>
      <c r="G26" s="29" t="s">
        <v>31</v>
      </c>
      <c r="H26" s="30" t="str">
        <f>HYPERLINK("https://www.munzee.com/m/FeuerBrake/3783/", "FeuerBrake/3783")</f>
        <v>FeuerBrake/3783</v>
      </c>
      <c r="J26" s="31">
        <f t="shared" si="1"/>
        <v>5</v>
      </c>
    </row>
    <row r="27">
      <c r="A27" s="28">
        <v>1.0</v>
      </c>
      <c r="B27" s="28">
        <v>10.0</v>
      </c>
      <c r="C27" s="28">
        <v>53.4975815121494</v>
      </c>
      <c r="D27" s="28">
        <v>9.99210886105231</v>
      </c>
      <c r="E27" s="28" t="s">
        <v>25</v>
      </c>
      <c r="F27" s="28" t="s">
        <v>14</v>
      </c>
      <c r="G27" s="29" t="s">
        <v>30</v>
      </c>
      <c r="H27" s="30" t="str">
        <f>HYPERLINK("https://www.munzee.com/m/SachensucherHB/1370/", "SachensucherHB/1370")</f>
        <v>SachensucherHB/1370</v>
      </c>
      <c r="J27" s="31">
        <f t="shared" si="1"/>
        <v>62</v>
      </c>
    </row>
    <row r="28">
      <c r="A28" s="28">
        <v>1.0</v>
      </c>
      <c r="B28" s="28">
        <v>11.0</v>
      </c>
      <c r="C28" s="28">
        <v>53.4975689849739</v>
      </c>
      <c r="D28" s="28">
        <v>9.99234956349573</v>
      </c>
      <c r="E28" s="28" t="s">
        <v>25</v>
      </c>
      <c r="F28" s="28" t="s">
        <v>14</v>
      </c>
      <c r="G28" s="29" t="s">
        <v>27</v>
      </c>
      <c r="H28" s="30" t="str">
        <f>HYPERLINK("https://www.munzee.com/m/DarkHaribo/12876", "DarkHaribo/12876")</f>
        <v>DarkHaribo/12876</v>
      </c>
      <c r="J28" s="31">
        <f t="shared" si="1"/>
        <v>103</v>
      </c>
    </row>
    <row r="29">
      <c r="A29" s="28">
        <v>1.0</v>
      </c>
      <c r="B29" s="28">
        <v>12.0</v>
      </c>
      <c r="C29" s="28">
        <v>53.4975564577984</v>
      </c>
      <c r="D29" s="28">
        <v>9.9925902658681</v>
      </c>
      <c r="E29" s="28" t="s">
        <v>25</v>
      </c>
      <c r="F29" s="28" t="s">
        <v>14</v>
      </c>
      <c r="G29" s="29" t="s">
        <v>32</v>
      </c>
      <c r="H29" s="30" t="str">
        <f>HYPERLINK("https://www.munzee.com/m/Lewini/2128/", "Lewini/2128")</f>
        <v>Lewini/2128</v>
      </c>
      <c r="J29" s="31">
        <f t="shared" si="1"/>
        <v>6</v>
      </c>
    </row>
    <row r="30">
      <c r="A30" s="28">
        <v>1.0</v>
      </c>
      <c r="B30" s="28">
        <v>13.0</v>
      </c>
      <c r="C30" s="28">
        <v>53.4975439306229</v>
      </c>
      <c r="D30" s="28">
        <v>9.9928309681693</v>
      </c>
      <c r="E30" s="28" t="s">
        <v>25</v>
      </c>
      <c r="F30" s="28" t="s">
        <v>14</v>
      </c>
      <c r="G30" s="29" t="s">
        <v>30</v>
      </c>
      <c r="H30" s="30" t="str">
        <f>HYPERLINK("https://www.munzee.com/m/SachensucherHB/1371/", "SachensucherHB/1371")</f>
        <v>SachensucherHB/1371</v>
      </c>
      <c r="J30" s="31">
        <f t="shared" si="1"/>
        <v>62</v>
      </c>
    </row>
    <row r="31">
      <c r="A31" s="28">
        <v>1.0</v>
      </c>
      <c r="B31" s="28">
        <v>14.0</v>
      </c>
      <c r="C31" s="28">
        <v>53.4975314034474</v>
      </c>
      <c r="D31" s="28">
        <v>9.99307167039944</v>
      </c>
      <c r="E31" s="28" t="s">
        <v>25</v>
      </c>
      <c r="F31" s="28" t="s">
        <v>14</v>
      </c>
      <c r="G31" s="29" t="s">
        <v>27</v>
      </c>
      <c r="H31" s="30" t="str">
        <f>HYPERLINK("https://www.munzee.com/m/DarkHaribo/12875", "DarkHaribo/12875")</f>
        <v>DarkHaribo/12875</v>
      </c>
      <c r="J31" s="31">
        <f t="shared" si="1"/>
        <v>103</v>
      </c>
    </row>
    <row r="32">
      <c r="A32" s="28">
        <v>1.0</v>
      </c>
      <c r="B32" s="28">
        <v>15.0</v>
      </c>
      <c r="C32" s="28">
        <v>53.497518876272</v>
      </c>
      <c r="D32" s="28">
        <v>9.99331237255842</v>
      </c>
      <c r="E32" s="28" t="s">
        <v>25</v>
      </c>
      <c r="F32" s="28" t="s">
        <v>14</v>
      </c>
      <c r="G32" s="29" t="s">
        <v>33</v>
      </c>
      <c r="H32" s="30" t="str">
        <f>HYPERLINK("https://www.munzee.com/m/q22q17/8916/", "q22q17/8916")</f>
        <v>q22q17/8916</v>
      </c>
      <c r="J32" s="31">
        <f t="shared" si="1"/>
        <v>1</v>
      </c>
    </row>
    <row r="33">
      <c r="A33" s="28">
        <v>1.0</v>
      </c>
      <c r="B33" s="28">
        <v>16.0</v>
      </c>
      <c r="C33" s="28">
        <v>53.4975063490965</v>
      </c>
      <c r="D33" s="28">
        <v>9.99355307464634</v>
      </c>
      <c r="E33" s="28" t="s">
        <v>25</v>
      </c>
      <c r="F33" s="28" t="s">
        <v>14</v>
      </c>
      <c r="G33" s="29" t="s">
        <v>30</v>
      </c>
      <c r="H33" s="30" t="str">
        <f>HYPERLINK("https://www.munzee.com/m/SachensucherHB/1383/", "SachensucherHB/1383")</f>
        <v>SachensucherHB/1383</v>
      </c>
      <c r="J33" s="31">
        <f t="shared" si="1"/>
        <v>62</v>
      </c>
    </row>
    <row r="34">
      <c r="A34" s="28">
        <v>1.0</v>
      </c>
      <c r="B34" s="28">
        <v>17.0</v>
      </c>
      <c r="C34" s="28">
        <v>53.497493821921</v>
      </c>
      <c r="D34" s="28">
        <v>9.99379377666309</v>
      </c>
      <c r="E34" s="28" t="s">
        <v>25</v>
      </c>
      <c r="F34" s="28" t="s">
        <v>14</v>
      </c>
      <c r="G34" s="29" t="s">
        <v>27</v>
      </c>
      <c r="H34" s="30" t="str">
        <f>HYPERLINK("https://www.munzee.com/m/DarkHaribo/12872", "DarkHaribo/12872")</f>
        <v>DarkHaribo/12872</v>
      </c>
      <c r="J34" s="31">
        <f t="shared" si="1"/>
        <v>103</v>
      </c>
    </row>
    <row r="35">
      <c r="A35" s="28">
        <v>1.0</v>
      </c>
      <c r="B35" s="28">
        <v>18.0</v>
      </c>
      <c r="C35" s="28">
        <v>53.4974812947455</v>
      </c>
      <c r="D35" s="28">
        <v>9.99403447860879</v>
      </c>
      <c r="E35" s="28" t="s">
        <v>25</v>
      </c>
      <c r="F35" s="28" t="s">
        <v>14</v>
      </c>
      <c r="G35" s="29" t="s">
        <v>34</v>
      </c>
      <c r="H35" s="30" t="str">
        <f>HYPERLINK("https://www.munzee.com/m/SLAUGY/7657/", "SLAUGY/7657")</f>
        <v>SLAUGY/7657</v>
      </c>
      <c r="J35" s="31">
        <f t="shared" si="1"/>
        <v>8</v>
      </c>
    </row>
    <row r="36">
      <c r="A36" s="28">
        <v>1.0</v>
      </c>
      <c r="B36" s="28">
        <v>19.0</v>
      </c>
      <c r="C36" s="28">
        <v>53.49746876757</v>
      </c>
      <c r="D36" s="28">
        <v>9.99427518048332</v>
      </c>
      <c r="E36" s="28" t="s">
        <v>25</v>
      </c>
      <c r="F36" s="28" t="s">
        <v>14</v>
      </c>
      <c r="G36" s="29" t="s">
        <v>35</v>
      </c>
      <c r="H36" s="30" t="str">
        <f>HYPERLINK("https://www.munzee.com/m/bslaugh/6117", "bslaugh/6117")</f>
        <v>bslaugh/6117</v>
      </c>
      <c r="J36" s="31">
        <f t="shared" si="1"/>
        <v>8</v>
      </c>
    </row>
    <row r="37">
      <c r="A37" s="28">
        <v>1.0</v>
      </c>
      <c r="B37" s="28">
        <v>20.0</v>
      </c>
      <c r="C37" s="28">
        <v>53.4974562403945</v>
      </c>
      <c r="D37" s="28">
        <v>9.9945158822868</v>
      </c>
      <c r="E37" s="28" t="s">
        <v>25</v>
      </c>
      <c r="F37" s="28" t="s">
        <v>14</v>
      </c>
      <c r="G37" s="29" t="s">
        <v>27</v>
      </c>
      <c r="H37" s="30" t="str">
        <f>HYPERLINK("https://www.munzee.com/m/DarkHaribo/12871", "DarkHaribo/12871")</f>
        <v>DarkHaribo/12871</v>
      </c>
      <c r="J37" s="31">
        <f t="shared" si="1"/>
        <v>103</v>
      </c>
    </row>
    <row r="38">
      <c r="A38" s="28">
        <v>1.0</v>
      </c>
      <c r="B38" s="28">
        <v>21.0</v>
      </c>
      <c r="C38" s="28">
        <v>53.497443713219</v>
      </c>
      <c r="D38" s="28">
        <v>9.99475658401911</v>
      </c>
      <c r="E38" s="28" t="s">
        <v>25</v>
      </c>
      <c r="F38" s="28" t="s">
        <v>14</v>
      </c>
      <c r="G38" s="29" t="s">
        <v>34</v>
      </c>
      <c r="H38" s="30" t="str">
        <f>HYPERLINK("https://www.munzee.com/m/SLAUGY/7647", "SLAUGY/7647")</f>
        <v>SLAUGY/7647</v>
      </c>
      <c r="J38" s="31">
        <f t="shared" si="1"/>
        <v>8</v>
      </c>
    </row>
    <row r="39">
      <c r="A39" s="28">
        <v>1.0</v>
      </c>
      <c r="B39" s="28">
        <v>22.0</v>
      </c>
      <c r="C39" s="28">
        <v>53.4974311860436</v>
      </c>
      <c r="D39" s="28">
        <v>9.99499728568025</v>
      </c>
      <c r="E39" s="28" t="s">
        <v>25</v>
      </c>
      <c r="F39" s="28" t="s">
        <v>14</v>
      </c>
      <c r="G39" s="29" t="s">
        <v>35</v>
      </c>
      <c r="H39" s="30" t="str">
        <f>HYPERLINK("https://www.munzee.com/m/bslaugh/6118/", "bslaugh/6118")</f>
        <v>bslaugh/6118</v>
      </c>
      <c r="J39" s="31">
        <f t="shared" si="1"/>
        <v>8</v>
      </c>
    </row>
    <row r="40">
      <c r="A40" s="28">
        <v>1.0</v>
      </c>
      <c r="B40" s="28">
        <v>23.0</v>
      </c>
      <c r="C40" s="28">
        <v>53.4974186588681</v>
      </c>
      <c r="D40" s="28">
        <v>9.99523798727034</v>
      </c>
      <c r="E40" s="28" t="s">
        <v>25</v>
      </c>
      <c r="F40" s="28" t="s">
        <v>14</v>
      </c>
      <c r="G40" s="29" t="s">
        <v>27</v>
      </c>
      <c r="H40" s="30" t="str">
        <f>HYPERLINK("https://www.munzee.com/m/DarkHaribo/12870", "DarkHaribo/12870")</f>
        <v>DarkHaribo/12870</v>
      </c>
      <c r="J40" s="31">
        <f t="shared" si="1"/>
        <v>103</v>
      </c>
    </row>
    <row r="41">
      <c r="A41" s="28">
        <v>1.0</v>
      </c>
      <c r="B41" s="28">
        <v>24.0</v>
      </c>
      <c r="C41" s="28">
        <v>53.4974061316926</v>
      </c>
      <c r="D41" s="28">
        <v>9.99547868878926</v>
      </c>
      <c r="E41" s="28" t="s">
        <v>25</v>
      </c>
      <c r="F41" s="28" t="s">
        <v>14</v>
      </c>
      <c r="G41" s="29" t="s">
        <v>34</v>
      </c>
      <c r="H41" s="30" t="str">
        <f>HYPERLINK("https://www.munzee.com/m/SLAUGY/7656", "SLAUGY/7656")</f>
        <v>SLAUGY/7656</v>
      </c>
      <c r="J41" s="31">
        <f t="shared" si="1"/>
        <v>8</v>
      </c>
    </row>
    <row r="42">
      <c r="A42" s="28">
        <v>1.0</v>
      </c>
      <c r="B42" s="28">
        <v>25.0</v>
      </c>
      <c r="C42" s="28">
        <v>53.4973936045171</v>
      </c>
      <c r="D42" s="28">
        <v>9.99571939023712</v>
      </c>
      <c r="E42" s="28" t="s">
        <v>25</v>
      </c>
      <c r="F42" s="28" t="s">
        <v>14</v>
      </c>
      <c r="G42" s="29" t="s">
        <v>36</v>
      </c>
      <c r="H42" s="30" t="str">
        <f>HYPERLINK("https://www.munzee.com/m/TheJenks7/2389/", "TheJenks7/2389")</f>
        <v>TheJenks7/2389</v>
      </c>
      <c r="J42" s="31">
        <f t="shared" si="1"/>
        <v>1</v>
      </c>
    </row>
    <row r="43">
      <c r="A43" s="28">
        <v>1.0</v>
      </c>
      <c r="B43" s="28">
        <v>26.0</v>
      </c>
      <c r="C43" s="28">
        <v>53.4973810773416</v>
      </c>
      <c r="D43" s="28">
        <v>9.99596009161382</v>
      </c>
      <c r="E43" s="28" t="s">
        <v>25</v>
      </c>
      <c r="F43" s="28" t="s">
        <v>14</v>
      </c>
      <c r="G43" s="29" t="s">
        <v>27</v>
      </c>
      <c r="H43" s="30" t="str">
        <f>HYPERLINK("https://www.munzee.com/m/DarkHaribo/12867", "DarkHaribo/12867")</f>
        <v>DarkHaribo/12867</v>
      </c>
      <c r="J43" s="31">
        <f t="shared" si="1"/>
        <v>103</v>
      </c>
    </row>
    <row r="44">
      <c r="A44" s="28">
        <v>1.0</v>
      </c>
      <c r="B44" s="28">
        <v>27.0</v>
      </c>
      <c r="C44" s="28">
        <v>53.4973685501661</v>
      </c>
      <c r="D44" s="28">
        <v>9.99620079291946</v>
      </c>
      <c r="E44" s="28" t="s">
        <v>25</v>
      </c>
      <c r="F44" s="28" t="s">
        <v>14</v>
      </c>
      <c r="G44" s="29" t="s">
        <v>34</v>
      </c>
      <c r="H44" s="30" t="str">
        <f>HYPERLINK("https://www.munzee.com/m/SLAUGY/7633", "SLAUGY/7633")</f>
        <v>SLAUGY/7633</v>
      </c>
      <c r="J44" s="31">
        <f t="shared" si="1"/>
        <v>8</v>
      </c>
    </row>
    <row r="45">
      <c r="A45" s="28">
        <v>1.0</v>
      </c>
      <c r="B45" s="28">
        <v>28.0</v>
      </c>
      <c r="C45" s="28">
        <v>53.4973560229906</v>
      </c>
      <c r="D45" s="28">
        <v>9.99644149415394</v>
      </c>
      <c r="E45" s="28" t="s">
        <v>25</v>
      </c>
      <c r="F45" s="28" t="s">
        <v>14</v>
      </c>
      <c r="G45" s="29" t="s">
        <v>35</v>
      </c>
      <c r="H45" s="30" t="str">
        <f>HYPERLINK("https://www.munzee.com/m/bslaugh/5975", "bslaugh/5975")</f>
        <v>bslaugh/5975</v>
      </c>
      <c r="J45" s="31">
        <f t="shared" si="1"/>
        <v>8</v>
      </c>
    </row>
    <row r="46">
      <c r="A46" s="28">
        <v>1.0</v>
      </c>
      <c r="B46" s="28">
        <v>29.0</v>
      </c>
      <c r="C46" s="28">
        <v>53.4973434958151</v>
      </c>
      <c r="D46" s="28">
        <v>9.99668219531736</v>
      </c>
      <c r="E46" s="28" t="s">
        <v>25</v>
      </c>
      <c r="F46" s="28" t="s">
        <v>14</v>
      </c>
      <c r="G46" s="29" t="s">
        <v>27</v>
      </c>
      <c r="H46" s="30" t="str">
        <f>HYPERLINK("https://www.munzee.com/m/DarkHaribo/12864", "DarkHaribo/12864")</f>
        <v>DarkHaribo/12864</v>
      </c>
      <c r="J46" s="31">
        <f t="shared" si="1"/>
        <v>103</v>
      </c>
    </row>
    <row r="47">
      <c r="A47" s="28">
        <v>1.0</v>
      </c>
      <c r="B47" s="28">
        <v>30.0</v>
      </c>
      <c r="C47" s="28">
        <v>53.4973309686396</v>
      </c>
      <c r="D47" s="28">
        <v>9.99692289640961</v>
      </c>
      <c r="E47" s="28" t="s">
        <v>25</v>
      </c>
      <c r="F47" s="28" t="s">
        <v>14</v>
      </c>
      <c r="G47" s="29" t="s">
        <v>31</v>
      </c>
      <c r="H47" s="30" t="str">
        <f>HYPERLINK("https://www.munzee.com/m/FeuerBrake/3787/", "FeuerBrake/3787")</f>
        <v>FeuerBrake/3787</v>
      </c>
      <c r="J47" s="31">
        <f t="shared" si="1"/>
        <v>5</v>
      </c>
    </row>
    <row r="48">
      <c r="A48" s="28">
        <v>1.0</v>
      </c>
      <c r="B48" s="28">
        <v>31.0</v>
      </c>
      <c r="C48" s="28">
        <v>53.4973184414642</v>
      </c>
      <c r="D48" s="28">
        <v>9.99716359743081</v>
      </c>
      <c r="E48" s="28" t="s">
        <v>25</v>
      </c>
      <c r="F48" s="28" t="s">
        <v>14</v>
      </c>
      <c r="G48" s="29" t="s">
        <v>35</v>
      </c>
      <c r="H48" s="30" t="str">
        <f>HYPERLINK("https://www.munzee.com/m/bslaugh/5976/", "bslaugh/5976")</f>
        <v>bslaugh/5976</v>
      </c>
      <c r="J48" s="31">
        <f t="shared" si="1"/>
        <v>8</v>
      </c>
    </row>
    <row r="49">
      <c r="A49" s="28">
        <v>1.0</v>
      </c>
      <c r="B49" s="28">
        <v>32.0</v>
      </c>
      <c r="C49" s="28">
        <v>53.4973059142887</v>
      </c>
      <c r="D49" s="28">
        <v>9.99740429838084</v>
      </c>
      <c r="E49" s="28" t="s">
        <v>25</v>
      </c>
      <c r="F49" s="28" t="s">
        <v>14</v>
      </c>
      <c r="G49" s="29" t="s">
        <v>27</v>
      </c>
      <c r="H49" s="30" t="str">
        <f>HYPERLINK("https://www.munzee.com/m/DarkHaribo/12841", "DarkHaribo/12841")</f>
        <v>DarkHaribo/12841</v>
      </c>
      <c r="J49" s="31">
        <f t="shared" si="1"/>
        <v>103</v>
      </c>
    </row>
    <row r="50">
      <c r="A50" s="28">
        <v>1.0</v>
      </c>
      <c r="B50" s="28">
        <v>33.0</v>
      </c>
      <c r="C50" s="28">
        <v>53.4972933871132</v>
      </c>
      <c r="D50" s="28">
        <v>9.99764499925981</v>
      </c>
      <c r="E50" s="28" t="s">
        <v>25</v>
      </c>
      <c r="F50" s="28" t="s">
        <v>14</v>
      </c>
      <c r="G50" s="29" t="s">
        <v>37</v>
      </c>
      <c r="H50" s="30" t="str">
        <f>HYPERLINK("https://www.munzee.com/m/Ansofin/1557", "Ansofin/1557")</f>
        <v>Ansofin/1557</v>
      </c>
      <c r="J50" s="31">
        <f t="shared" si="1"/>
        <v>11</v>
      </c>
    </row>
    <row r="51">
      <c r="A51" s="28">
        <v>1.0</v>
      </c>
      <c r="B51" s="28">
        <v>34.0</v>
      </c>
      <c r="C51" s="28">
        <v>53.4972808599377</v>
      </c>
      <c r="D51" s="28">
        <v>9.99788570006762</v>
      </c>
      <c r="E51" s="28" t="s">
        <v>25</v>
      </c>
      <c r="F51" s="28" t="s">
        <v>14</v>
      </c>
      <c r="G51" s="29" t="s">
        <v>38</v>
      </c>
      <c r="H51" s="30" t="str">
        <f>HYPERLINK("https://www.munzee.com/m/Lanyasummer/3571/", "Lanyasummer/3571")</f>
        <v>Lanyasummer/3571</v>
      </c>
      <c r="J51" s="31">
        <f t="shared" si="1"/>
        <v>1</v>
      </c>
    </row>
    <row r="52">
      <c r="A52" s="28">
        <v>1.0</v>
      </c>
      <c r="B52" s="28">
        <v>35.0</v>
      </c>
      <c r="C52" s="28">
        <v>53.4972683327622</v>
      </c>
      <c r="D52" s="28">
        <v>9.99812640080438</v>
      </c>
      <c r="E52" s="28" t="s">
        <v>25</v>
      </c>
      <c r="F52" s="28" t="s">
        <v>14</v>
      </c>
      <c r="G52" s="29" t="s">
        <v>27</v>
      </c>
      <c r="H52" s="30" t="str">
        <f>HYPERLINK("https://www.munzee.com/m/DarkHaribo/12838", "DarkHaribo/12838")</f>
        <v>DarkHaribo/12838</v>
      </c>
      <c r="J52" s="31">
        <f t="shared" si="1"/>
        <v>103</v>
      </c>
    </row>
    <row r="53">
      <c r="A53" s="28">
        <v>1.0</v>
      </c>
      <c r="B53" s="28">
        <v>36.0</v>
      </c>
      <c r="C53" s="28">
        <v>53.4972558055867</v>
      </c>
      <c r="D53" s="28">
        <v>9.99836710146996</v>
      </c>
      <c r="E53" s="28" t="s">
        <v>25</v>
      </c>
      <c r="F53" s="28" t="s">
        <v>14</v>
      </c>
      <c r="G53" s="29" t="s">
        <v>37</v>
      </c>
      <c r="H53" s="30" t="str">
        <f>HYPERLINK("https://www.munzee.com/m/Ansofin/1551", "Ansofin/1551")</f>
        <v>Ansofin/1551</v>
      </c>
      <c r="J53" s="31">
        <f t="shared" si="1"/>
        <v>11</v>
      </c>
    </row>
    <row r="54">
      <c r="A54" s="28">
        <v>1.0</v>
      </c>
      <c r="B54" s="28">
        <v>37.0</v>
      </c>
      <c r="C54" s="28">
        <v>53.4972432784112</v>
      </c>
      <c r="D54" s="28">
        <v>9.99860780206449</v>
      </c>
      <c r="E54" s="28" t="s">
        <v>25</v>
      </c>
      <c r="F54" s="28" t="s">
        <v>14</v>
      </c>
      <c r="G54" s="29" t="s">
        <v>35</v>
      </c>
      <c r="H54" s="30" t="str">
        <f>HYPERLINK("https://www.munzee.com/m/bslaugh/5977/", "bslaugh/5977")</f>
        <v>bslaugh/5977</v>
      </c>
      <c r="J54" s="31">
        <f t="shared" si="1"/>
        <v>8</v>
      </c>
    </row>
    <row r="55">
      <c r="A55" s="28">
        <v>1.0</v>
      </c>
      <c r="B55" s="28">
        <v>38.0</v>
      </c>
      <c r="C55" s="28">
        <v>53.4972307512358</v>
      </c>
      <c r="D55" s="28">
        <v>9.99884850258786</v>
      </c>
      <c r="E55" s="28" t="s">
        <v>25</v>
      </c>
      <c r="F55" s="28" t="s">
        <v>14</v>
      </c>
      <c r="G55" s="29" t="s">
        <v>27</v>
      </c>
      <c r="H55" s="30" t="str">
        <f>HYPERLINK("https://www.munzee.com/m/DarkHaribo/12837", "DarkHaribo/12837")</f>
        <v>DarkHaribo/12837</v>
      </c>
      <c r="J55" s="31">
        <f t="shared" si="1"/>
        <v>103</v>
      </c>
    </row>
    <row r="56">
      <c r="A56" s="28">
        <v>1.0</v>
      </c>
      <c r="B56" s="28">
        <v>39.0</v>
      </c>
      <c r="C56" s="28">
        <v>53.4972182240603</v>
      </c>
      <c r="D56" s="28">
        <v>9.99908920304017</v>
      </c>
      <c r="E56" s="28" t="s">
        <v>25</v>
      </c>
      <c r="F56" s="28" t="s">
        <v>14</v>
      </c>
      <c r="G56" s="29" t="s">
        <v>37</v>
      </c>
      <c r="H56" s="30" t="str">
        <f>HYPERLINK("https://www.munzee.com/m/Ansofin/1544", "Ansofin/1544")</f>
        <v>Ansofin/1544</v>
      </c>
      <c r="J56" s="31">
        <f t="shared" si="1"/>
        <v>11</v>
      </c>
    </row>
    <row r="57">
      <c r="A57" s="28">
        <v>1.0</v>
      </c>
      <c r="B57" s="28">
        <v>40.0</v>
      </c>
      <c r="C57" s="28">
        <v>53.4972056968848</v>
      </c>
      <c r="D57" s="28">
        <v>9.99932990342131</v>
      </c>
      <c r="E57" s="28" t="s">
        <v>25</v>
      </c>
      <c r="F57" s="28" t="s">
        <v>14</v>
      </c>
      <c r="G57" s="29" t="s">
        <v>39</v>
      </c>
      <c r="H57" s="30" t="str">
        <f>HYPERLINK("https://www.munzee.com/m/MS1721/2678/", "MS1721/2678")</f>
        <v>MS1721/2678</v>
      </c>
      <c r="J57" s="31">
        <f t="shared" si="1"/>
        <v>1</v>
      </c>
    </row>
    <row r="58">
      <c r="A58" s="28">
        <v>1.0</v>
      </c>
      <c r="B58" s="28">
        <v>41.0</v>
      </c>
      <c r="C58" s="28">
        <v>53.4971931697093</v>
      </c>
      <c r="D58" s="28">
        <v>9.9995706037314</v>
      </c>
      <c r="E58" s="28" t="s">
        <v>25</v>
      </c>
      <c r="F58" s="28" t="s">
        <v>14</v>
      </c>
      <c r="G58" s="29" t="s">
        <v>27</v>
      </c>
      <c r="H58" s="30" t="str">
        <f>HYPERLINK("https://www.munzee.com/m/DarkHaribo/12796", "DarkHaribo/12796")</f>
        <v>DarkHaribo/12796</v>
      </c>
      <c r="J58" s="31">
        <f t="shared" si="1"/>
        <v>103</v>
      </c>
    </row>
    <row r="59">
      <c r="A59" s="28">
        <v>1.0</v>
      </c>
      <c r="B59" s="28">
        <v>42.0</v>
      </c>
      <c r="C59" s="28">
        <v>53.4971806425338</v>
      </c>
      <c r="D59" s="28">
        <v>9.99981130397031</v>
      </c>
      <c r="E59" s="28" t="s">
        <v>25</v>
      </c>
      <c r="F59" s="28" t="s">
        <v>14</v>
      </c>
      <c r="G59" s="29" t="s">
        <v>29</v>
      </c>
      <c r="H59" s="30" t="str">
        <f>HYPERLINK("https://www.munzee.com/m/InaausWien/2214/", "InaausWien/2214")</f>
        <v>InaausWien/2214</v>
      </c>
      <c r="J59" s="31">
        <f t="shared" si="1"/>
        <v>3</v>
      </c>
    </row>
    <row r="60">
      <c r="A60" s="28">
        <v>1.0</v>
      </c>
      <c r="B60" s="28">
        <v>43.0</v>
      </c>
      <c r="C60" s="28">
        <v>53.4971681153583</v>
      </c>
      <c r="D60" s="28">
        <v>10.000052004138</v>
      </c>
      <c r="E60" s="28" t="s">
        <v>25</v>
      </c>
      <c r="F60" s="28" t="s">
        <v>14</v>
      </c>
      <c r="G60" s="29" t="s">
        <v>37</v>
      </c>
      <c r="H60" s="30" t="str">
        <f>HYPERLINK("https://www.munzee.com/m/Ansofin/1388", "Ansofin/1388")</f>
        <v>Ansofin/1388</v>
      </c>
      <c r="J60" s="31">
        <f t="shared" si="1"/>
        <v>11</v>
      </c>
    </row>
    <row r="61">
      <c r="A61" s="28">
        <v>1.0</v>
      </c>
      <c r="B61" s="28">
        <v>44.0</v>
      </c>
      <c r="C61" s="28">
        <v>53.4971555881829</v>
      </c>
      <c r="D61" s="28">
        <v>10.0002927042347</v>
      </c>
      <c r="E61" s="28" t="s">
        <v>25</v>
      </c>
      <c r="F61" s="28" t="s">
        <v>14</v>
      </c>
      <c r="G61" s="29" t="s">
        <v>27</v>
      </c>
      <c r="H61" s="30" t="str">
        <f>HYPERLINK("https://www.munzee.com/m/DarkHaribo/12795", "DarkHaribo/12795")</f>
        <v>DarkHaribo/12795</v>
      </c>
      <c r="J61" s="31">
        <f t="shared" si="1"/>
        <v>103</v>
      </c>
    </row>
    <row r="62">
      <c r="A62" s="28">
        <v>1.0</v>
      </c>
      <c r="B62" s="28">
        <v>45.0</v>
      </c>
      <c r="C62" s="28">
        <v>53.4971430610074</v>
      </c>
      <c r="D62" s="28">
        <v>10.0005334042602</v>
      </c>
      <c r="E62" s="28" t="s">
        <v>25</v>
      </c>
      <c r="F62" s="28" t="s">
        <v>14</v>
      </c>
      <c r="G62" s="29" t="s">
        <v>40</v>
      </c>
      <c r="H62" s="30" t="str">
        <f>HYPERLINK("https://www.munzee.com/m/csThanner/2510", "csThanner/2510")</f>
        <v>csThanner/2510</v>
      </c>
      <c r="J62" s="31">
        <f t="shared" si="1"/>
        <v>88</v>
      </c>
    </row>
    <row r="63">
      <c r="A63" s="28">
        <v>1.0</v>
      </c>
      <c r="B63" s="28">
        <v>46.0</v>
      </c>
      <c r="C63" s="28">
        <v>53.4971305338319</v>
      </c>
      <c r="D63" s="28">
        <v>10.0007741042147</v>
      </c>
      <c r="E63" s="28" t="s">
        <v>25</v>
      </c>
      <c r="F63" s="28" t="s">
        <v>14</v>
      </c>
      <c r="G63" s="29" t="s">
        <v>37</v>
      </c>
      <c r="H63" s="30" t="str">
        <f>HYPERLINK("https://www.munzee.com/m/Ansofin/1483", "Ansofin/1483")</f>
        <v>Ansofin/1483</v>
      </c>
      <c r="J63" s="31">
        <f t="shared" si="1"/>
        <v>11</v>
      </c>
    </row>
    <row r="64">
      <c r="A64" s="28">
        <v>1.0</v>
      </c>
      <c r="B64" s="28">
        <v>47.0</v>
      </c>
      <c r="C64" s="28">
        <v>53.4971180066564</v>
      </c>
      <c r="D64" s="28">
        <v>10.001014804098</v>
      </c>
      <c r="E64" s="28" t="s">
        <v>25</v>
      </c>
      <c r="F64" s="28" t="s">
        <v>14</v>
      </c>
      <c r="G64" s="29" t="s">
        <v>27</v>
      </c>
      <c r="H64" s="30" t="str">
        <f>HYPERLINK("https://www.munzee.com/m/DarkHaribo/12778", "DarkHaribo/12778")</f>
        <v>DarkHaribo/12778</v>
      </c>
      <c r="J64" s="31">
        <f t="shared" si="1"/>
        <v>103</v>
      </c>
    </row>
    <row r="65">
      <c r="A65" s="28">
        <v>1.0</v>
      </c>
      <c r="B65" s="28">
        <v>48.0</v>
      </c>
      <c r="C65" s="28">
        <v>53.4971054794809</v>
      </c>
      <c r="D65" s="28">
        <v>10.0012555039103</v>
      </c>
      <c r="E65" s="28" t="s">
        <v>25</v>
      </c>
      <c r="F65" s="28" t="s">
        <v>14</v>
      </c>
      <c r="G65" s="29" t="s">
        <v>40</v>
      </c>
      <c r="H65" s="30" t="str">
        <f>HYPERLINK("https://www.munzee.com/m/csThanner/2508", "csThanner/2508")</f>
        <v>csThanner/2508</v>
      </c>
      <c r="J65" s="31">
        <f t="shared" si="1"/>
        <v>88</v>
      </c>
    </row>
    <row r="66">
      <c r="A66" s="28">
        <v>1.0</v>
      </c>
      <c r="B66" s="28">
        <v>49.0</v>
      </c>
      <c r="C66" s="28">
        <v>53.4970929523054</v>
      </c>
      <c r="D66" s="28">
        <v>10.0014962036514</v>
      </c>
      <c r="E66" s="28" t="s">
        <v>25</v>
      </c>
      <c r="F66" s="28" t="s">
        <v>14</v>
      </c>
      <c r="G66" s="29" t="s">
        <v>41</v>
      </c>
      <c r="H66" s="30" t="str">
        <f>HYPERLINK("https://www.munzee.com/m/cvdchiller/7767/", "cvdchiller/7767")</f>
        <v>cvdchiller/7767</v>
      </c>
      <c r="J66" s="31">
        <f t="shared" si="1"/>
        <v>3</v>
      </c>
    </row>
    <row r="67">
      <c r="A67" s="28">
        <v>1.0</v>
      </c>
      <c r="B67" s="28">
        <v>50.0</v>
      </c>
      <c r="C67" s="28">
        <v>53.4970804251299</v>
      </c>
      <c r="D67" s="28">
        <v>10.0017369033214</v>
      </c>
      <c r="E67" s="28" t="s">
        <v>25</v>
      </c>
      <c r="F67" s="28" t="s">
        <v>14</v>
      </c>
      <c r="G67" s="29" t="s">
        <v>27</v>
      </c>
      <c r="H67" s="30" t="str">
        <f>HYPERLINK("https://www.munzee.com/m/DarkHaribo/12774", "DarkHaribo/12774")</f>
        <v>DarkHaribo/12774</v>
      </c>
      <c r="J67" s="31">
        <f t="shared" si="1"/>
        <v>103</v>
      </c>
    </row>
    <row r="68">
      <c r="A68" s="28">
        <v>1.0</v>
      </c>
      <c r="B68" s="28">
        <v>51.0</v>
      </c>
      <c r="C68" s="28">
        <v>53.4970678979545</v>
      </c>
      <c r="D68" s="28">
        <v>10.0019776029203</v>
      </c>
      <c r="E68" s="28" t="s">
        <v>25</v>
      </c>
      <c r="F68" s="28" t="s">
        <v>14</v>
      </c>
      <c r="G68" s="29" t="s">
        <v>42</v>
      </c>
      <c r="H68" s="30" t="str">
        <f>HYPERLINK("https://www.munzee.com/m/Soitenlysue/588/", "Soitenlysue/588")</f>
        <v>Soitenlysue/588</v>
      </c>
      <c r="J68" s="31">
        <f t="shared" si="1"/>
        <v>3</v>
      </c>
    </row>
    <row r="69">
      <c r="A69" s="28">
        <v>1.0</v>
      </c>
      <c r="B69" s="28">
        <v>52.0</v>
      </c>
      <c r="C69" s="28">
        <v>53.497055370779</v>
      </c>
      <c r="D69" s="28">
        <v>10.0022183024481</v>
      </c>
      <c r="E69" s="28" t="s">
        <v>25</v>
      </c>
      <c r="F69" s="28" t="s">
        <v>14</v>
      </c>
      <c r="G69" s="29" t="s">
        <v>41</v>
      </c>
      <c r="H69" s="30" t="str">
        <f>HYPERLINK("https://www.munzee.com/m/cvdchiller/7768", "cvdchiller/7768")</f>
        <v>cvdchiller/7768</v>
      </c>
      <c r="J69" s="31">
        <f t="shared" si="1"/>
        <v>3</v>
      </c>
    </row>
    <row r="70">
      <c r="A70" s="28">
        <v>1.0</v>
      </c>
      <c r="B70" s="28">
        <v>53.0</v>
      </c>
      <c r="C70" s="28">
        <v>53.4970428436035</v>
      </c>
      <c r="D70" s="28">
        <v>10.0024590019047</v>
      </c>
      <c r="E70" s="28" t="s">
        <v>25</v>
      </c>
      <c r="F70" s="28" t="s">
        <v>14</v>
      </c>
      <c r="G70" s="29" t="s">
        <v>27</v>
      </c>
      <c r="H70" s="30" t="str">
        <f>HYPERLINK("https://www.munzee.com/m/DarkHaribo/12773", "DarkHaribo/12773")</f>
        <v>DarkHaribo/12773</v>
      </c>
      <c r="J70" s="31">
        <f t="shared" si="1"/>
        <v>103</v>
      </c>
    </row>
    <row r="71">
      <c r="A71" s="28">
        <v>1.0</v>
      </c>
      <c r="B71" s="28">
        <v>54.0</v>
      </c>
      <c r="C71" s="28">
        <v>53.497030316428</v>
      </c>
      <c r="D71" s="28">
        <v>10.0026997012903</v>
      </c>
      <c r="E71" s="28" t="s">
        <v>25</v>
      </c>
      <c r="F71" s="28" t="s">
        <v>14</v>
      </c>
      <c r="G71" s="29" t="s">
        <v>26</v>
      </c>
      <c r="H71" s="30" t="str">
        <f>HYPERLINK("https://www.munzee.com/m/Elli/6237/", "Elli/6237")</f>
        <v>Elli/6237</v>
      </c>
      <c r="J71" s="31">
        <f t="shared" si="1"/>
        <v>143</v>
      </c>
    </row>
    <row r="72">
      <c r="A72" s="28">
        <v>1.0</v>
      </c>
      <c r="B72" s="28">
        <v>55.0</v>
      </c>
      <c r="C72" s="28">
        <v>53.4970177892525</v>
      </c>
      <c r="D72" s="28">
        <v>10.0029404006047</v>
      </c>
      <c r="E72" s="28" t="s">
        <v>25</v>
      </c>
      <c r="F72" s="28" t="s">
        <v>14</v>
      </c>
      <c r="G72" s="29" t="s">
        <v>41</v>
      </c>
      <c r="H72" s="30" t="str">
        <f>HYPERLINK("https://www.munzee.com/m/cvdchiller/7769", "cvdchiller/7769")</f>
        <v>cvdchiller/7769</v>
      </c>
      <c r="J72" s="31">
        <f t="shared" si="1"/>
        <v>3</v>
      </c>
    </row>
    <row r="73">
      <c r="A73" s="28">
        <v>1.0</v>
      </c>
      <c r="B73" s="28">
        <v>56.0</v>
      </c>
      <c r="C73" s="28">
        <v>53.497005262077</v>
      </c>
      <c r="D73" s="28">
        <v>10.0031810998481</v>
      </c>
      <c r="E73" s="28" t="s">
        <v>25</v>
      </c>
      <c r="F73" s="28" t="s">
        <v>14</v>
      </c>
      <c r="G73" s="29" t="s">
        <v>27</v>
      </c>
      <c r="H73" s="30" t="str">
        <f>HYPERLINK("https://www.munzee.com/m/DarkHaribo/12770", "DarkHaribo/12770")</f>
        <v>DarkHaribo/12770</v>
      </c>
      <c r="J73" s="31">
        <f t="shared" si="1"/>
        <v>103</v>
      </c>
    </row>
    <row r="74">
      <c r="A74" s="28">
        <v>1.0</v>
      </c>
      <c r="B74" s="28">
        <v>57.0</v>
      </c>
      <c r="C74" s="28">
        <v>53.4969927349015</v>
      </c>
      <c r="D74" s="28">
        <v>10.0034217990203</v>
      </c>
      <c r="E74" s="28" t="s">
        <v>25</v>
      </c>
      <c r="F74" s="28" t="s">
        <v>14</v>
      </c>
      <c r="G74" s="29" t="s">
        <v>26</v>
      </c>
      <c r="H74" s="30" t="str">
        <f>HYPERLINK("https://www.munzee.com/m/Elli/6238/", "Elli/6238")</f>
        <v>Elli/6238</v>
      </c>
      <c r="J74" s="31">
        <f t="shared" si="1"/>
        <v>143</v>
      </c>
    </row>
    <row r="75">
      <c r="A75" s="28">
        <v>1.0</v>
      </c>
      <c r="B75" s="28">
        <v>58.0</v>
      </c>
      <c r="C75" s="28">
        <v>53.4969802077261</v>
      </c>
      <c r="D75" s="28">
        <v>10.0036624981214</v>
      </c>
      <c r="E75" s="28" t="s">
        <v>25</v>
      </c>
      <c r="F75" s="28" t="s">
        <v>14</v>
      </c>
      <c r="G75" s="29" t="s">
        <v>43</v>
      </c>
      <c r="H75" s="30" t="s">
        <v>44</v>
      </c>
      <c r="J75" s="31">
        <f t="shared" si="1"/>
        <v>5</v>
      </c>
    </row>
    <row r="76">
      <c r="A76" s="28">
        <v>1.0</v>
      </c>
      <c r="B76" s="28">
        <v>59.0</v>
      </c>
      <c r="C76" s="28">
        <v>53.4969676805506</v>
      </c>
      <c r="D76" s="28">
        <v>10.0039031971514</v>
      </c>
      <c r="E76" s="28" t="s">
        <v>25</v>
      </c>
      <c r="F76" s="28" t="s">
        <v>14</v>
      </c>
      <c r="G76" s="29" t="s">
        <v>27</v>
      </c>
      <c r="H76" s="30" t="str">
        <f>HYPERLINK("https://www.munzee.com/m/DarkHaribo/12757", "DarkHaribo/12757")</f>
        <v>DarkHaribo/12757</v>
      </c>
      <c r="J76" s="31">
        <f t="shared" si="1"/>
        <v>103</v>
      </c>
    </row>
    <row r="77">
      <c r="A77" s="28">
        <v>1.0</v>
      </c>
      <c r="B77" s="28">
        <v>60.0</v>
      </c>
      <c r="C77" s="28">
        <v>53.4969551533751</v>
      </c>
      <c r="D77" s="28">
        <v>10.0041438961103</v>
      </c>
      <c r="E77" s="28" t="s">
        <v>25</v>
      </c>
      <c r="F77" s="28" t="s">
        <v>14</v>
      </c>
      <c r="G77" s="29" t="s">
        <v>45</v>
      </c>
      <c r="H77" s="30" t="str">
        <f>HYPERLINK("https://www.munzee.com/m/ageta/18268/", "ageta/18268")</f>
        <v>ageta/18268</v>
      </c>
      <c r="J77" s="31">
        <f t="shared" si="1"/>
        <v>5</v>
      </c>
    </row>
    <row r="78">
      <c r="A78" s="28">
        <v>2.0</v>
      </c>
      <c r="B78" s="28">
        <v>1.0</v>
      </c>
      <c r="C78" s="28">
        <v>53.4975510732192</v>
      </c>
      <c r="D78" s="28">
        <v>9.98992147713465</v>
      </c>
      <c r="E78" s="28" t="s">
        <v>25</v>
      </c>
      <c r="F78" s="28" t="s">
        <v>14</v>
      </c>
      <c r="G78" s="29" t="s">
        <v>46</v>
      </c>
      <c r="H78" s="30" t="str">
        <f>HYPERLINK("https://www.munzee.com/m/paulus2012/3135", "paulus2012/3135")</f>
        <v>paulus2012/3135</v>
      </c>
      <c r="J78" s="31">
        <f t="shared" si="1"/>
        <v>1</v>
      </c>
    </row>
    <row r="79">
      <c r="A79" s="28">
        <v>2.0</v>
      </c>
      <c r="B79" s="28">
        <v>2.0</v>
      </c>
      <c r="C79" s="28">
        <v>53.4975385460437</v>
      </c>
      <c r="D79" s="28">
        <v>9.99016217940538</v>
      </c>
      <c r="E79" s="28" t="s">
        <v>25</v>
      </c>
      <c r="F79" s="28" t="s">
        <v>14</v>
      </c>
      <c r="G79" s="29" t="s">
        <v>47</v>
      </c>
      <c r="H79" s="30" t="str">
        <f>HYPERLINK("https://www.munzee.com/m/Dad35/10477/", "Dad35/10477")</f>
        <v>Dad35/10477</v>
      </c>
      <c r="J79" s="31">
        <f t="shared" si="1"/>
        <v>44</v>
      </c>
    </row>
    <row r="80">
      <c r="A80" s="28">
        <v>2.0</v>
      </c>
      <c r="B80" s="28">
        <v>3.0</v>
      </c>
      <c r="C80" s="28">
        <v>53.4975260188682</v>
      </c>
      <c r="D80" s="28">
        <v>9.99040288160495</v>
      </c>
      <c r="E80" s="28" t="s">
        <v>25</v>
      </c>
      <c r="F80" s="28" t="s">
        <v>14</v>
      </c>
      <c r="G80" s="29" t="s">
        <v>48</v>
      </c>
      <c r="H80" s="30" t="str">
        <f>HYPERLINK("https://www.munzee.com/m/Herbie/9392/", "Herbie/9392")</f>
        <v>Herbie/9392</v>
      </c>
      <c r="J80" s="31">
        <f t="shared" si="1"/>
        <v>6</v>
      </c>
    </row>
    <row r="81">
      <c r="A81" s="28">
        <v>2.0</v>
      </c>
      <c r="B81" s="28">
        <v>4.0</v>
      </c>
      <c r="C81" s="28">
        <v>53.4975134916928</v>
      </c>
      <c r="D81" s="28">
        <v>9.99064358373334</v>
      </c>
      <c r="E81" s="28" t="s">
        <v>25</v>
      </c>
      <c r="F81" s="28" t="s">
        <v>14</v>
      </c>
      <c r="G81" s="29" t="s">
        <v>49</v>
      </c>
      <c r="H81" s="30" t="str">
        <f>HYPERLINK("https://www.munzee.com/m/geckofreund/3403/", "geckofreund/3403")</f>
        <v>geckofreund/3403</v>
      </c>
      <c r="J81" s="31">
        <f t="shared" si="1"/>
        <v>8</v>
      </c>
    </row>
    <row r="82">
      <c r="A82" s="28">
        <v>2.0</v>
      </c>
      <c r="B82" s="28">
        <v>5.0</v>
      </c>
      <c r="C82" s="28">
        <v>53.4975009645173</v>
      </c>
      <c r="D82" s="28">
        <v>9.99088428579068</v>
      </c>
      <c r="E82" s="28" t="s">
        <v>25</v>
      </c>
      <c r="F82" s="28" t="s">
        <v>14</v>
      </c>
      <c r="G82" s="29" t="s">
        <v>50</v>
      </c>
      <c r="H82" s="30" t="str">
        <f>HYPERLINK("https://www.munzee.com/m/Syrtene/2725/", "Syrtene/2725")</f>
        <v>Syrtene/2725</v>
      </c>
      <c r="J82" s="31">
        <f t="shared" si="1"/>
        <v>8</v>
      </c>
    </row>
    <row r="83">
      <c r="A83" s="28">
        <v>2.0</v>
      </c>
      <c r="B83" s="28">
        <v>6.0</v>
      </c>
      <c r="C83" s="28">
        <v>53.4974884373418</v>
      </c>
      <c r="D83" s="28">
        <v>9.99112498777685</v>
      </c>
      <c r="E83" s="28" t="s">
        <v>25</v>
      </c>
      <c r="F83" s="28" t="s">
        <v>14</v>
      </c>
      <c r="G83" s="29" t="s">
        <v>48</v>
      </c>
      <c r="H83" s="30" t="str">
        <f>HYPERLINK("https://www.munzee.com/m/Herbie/9396/", "Herbie/9396")</f>
        <v>Herbie/9396</v>
      </c>
      <c r="J83" s="31">
        <f t="shared" si="1"/>
        <v>6</v>
      </c>
    </row>
    <row r="84">
      <c r="A84" s="28">
        <v>2.0</v>
      </c>
      <c r="B84" s="28">
        <v>7.0</v>
      </c>
      <c r="C84" s="28">
        <v>53.4974759101663</v>
      </c>
      <c r="D84" s="28">
        <v>9.99136568969197</v>
      </c>
      <c r="E84" s="28" t="s">
        <v>25</v>
      </c>
      <c r="F84" s="28" t="s">
        <v>14</v>
      </c>
      <c r="G84" s="29" t="s">
        <v>47</v>
      </c>
      <c r="H84" s="30" t="str">
        <f>HYPERLINK("https://www.munzee.com/m/Dad35/10476/", "Dad35/10476")</f>
        <v>Dad35/10476</v>
      </c>
      <c r="J84" s="31">
        <f t="shared" si="1"/>
        <v>44</v>
      </c>
    </row>
    <row r="85">
      <c r="A85" s="28">
        <v>2.0</v>
      </c>
      <c r="B85" s="28">
        <v>8.0</v>
      </c>
      <c r="C85" s="28">
        <v>53.4974633829908</v>
      </c>
      <c r="D85" s="28">
        <v>9.99160639153592</v>
      </c>
      <c r="E85" s="28" t="s">
        <v>25</v>
      </c>
      <c r="F85" s="28" t="s">
        <v>14</v>
      </c>
      <c r="G85" s="29" t="s">
        <v>51</v>
      </c>
      <c r="H85" s="30" t="str">
        <f>HYPERLINK("https://www.munzee.com/m/silversurfer47/4209/", "silversurfer47/4209")</f>
        <v>silversurfer47/4209</v>
      </c>
      <c r="J85" s="31">
        <f t="shared" si="1"/>
        <v>6</v>
      </c>
    </row>
    <row r="86">
      <c r="A86" s="28">
        <v>2.0</v>
      </c>
      <c r="B86" s="28">
        <v>9.0</v>
      </c>
      <c r="C86" s="28">
        <v>53.4974508558153</v>
      </c>
      <c r="D86" s="28">
        <v>9.99184709330882</v>
      </c>
      <c r="E86" s="28" t="s">
        <v>25</v>
      </c>
      <c r="F86" s="28" t="s">
        <v>14</v>
      </c>
      <c r="G86" s="29" t="s">
        <v>48</v>
      </c>
      <c r="H86" s="30" t="str">
        <f>HYPERLINK("https://www.munzee.com/m/Herbie/9397/", "Herbie/9397")</f>
        <v>Herbie/9397</v>
      </c>
      <c r="J86" s="31">
        <f t="shared" si="1"/>
        <v>6</v>
      </c>
    </row>
    <row r="87">
      <c r="A87" s="28">
        <v>2.0</v>
      </c>
      <c r="B87" s="28">
        <v>10.0</v>
      </c>
      <c r="C87" s="28">
        <v>53.4974383286398</v>
      </c>
      <c r="D87" s="28">
        <v>9.99208779501054</v>
      </c>
      <c r="E87" s="28" t="s">
        <v>25</v>
      </c>
      <c r="F87" s="28" t="s">
        <v>14</v>
      </c>
      <c r="G87" s="29" t="s">
        <v>52</v>
      </c>
      <c r="H87" s="30" t="str">
        <f>HYPERLINK("https://www.munzee.com/m/marleyfanct/1552/", "marleyfanct/1552")</f>
        <v>marleyfanct/1552</v>
      </c>
      <c r="J87" s="31">
        <f t="shared" si="1"/>
        <v>1</v>
      </c>
    </row>
    <row r="88">
      <c r="A88" s="28">
        <v>2.0</v>
      </c>
      <c r="B88" s="28">
        <v>11.0</v>
      </c>
      <c r="C88" s="28">
        <v>53.4974258014643</v>
      </c>
      <c r="D88" s="28">
        <v>9.99232849664122</v>
      </c>
      <c r="E88" s="28" t="s">
        <v>25</v>
      </c>
      <c r="F88" s="28" t="s">
        <v>14</v>
      </c>
      <c r="G88" s="29" t="s">
        <v>53</v>
      </c>
      <c r="H88" s="30" t="str">
        <f>HYPERLINK("https://www.munzee.com/m/EagleDadandXenia/17517/", "EagleDadandXenia/17517")</f>
        <v>EagleDadandXenia/17517</v>
      </c>
      <c r="J88" s="31">
        <f t="shared" si="1"/>
        <v>1</v>
      </c>
    </row>
    <row r="89">
      <c r="A89" s="28">
        <v>2.0</v>
      </c>
      <c r="B89" s="28">
        <v>12.0</v>
      </c>
      <c r="C89" s="28">
        <v>53.4974132742889</v>
      </c>
      <c r="D89" s="28">
        <v>9.99256919820072</v>
      </c>
      <c r="E89" s="28" t="s">
        <v>25</v>
      </c>
      <c r="F89" s="28" t="s">
        <v>14</v>
      </c>
      <c r="G89" s="29" t="s">
        <v>48</v>
      </c>
      <c r="H89" s="30" t="str">
        <f>HYPERLINK("https://www.munzee.com/m/Herbie/9455/", "Herbie/9455")</f>
        <v>Herbie/9455</v>
      </c>
      <c r="J89" s="31">
        <f t="shared" si="1"/>
        <v>6</v>
      </c>
    </row>
    <row r="90">
      <c r="A90" s="28">
        <v>2.0</v>
      </c>
      <c r="B90" s="28">
        <v>13.0</v>
      </c>
      <c r="C90" s="28">
        <v>53.4974007471134</v>
      </c>
      <c r="D90" s="28">
        <v>9.99280989968917</v>
      </c>
      <c r="E90" s="28" t="s">
        <v>25</v>
      </c>
      <c r="F90" s="28" t="s">
        <v>14</v>
      </c>
      <c r="G90" s="29" t="s">
        <v>54</v>
      </c>
      <c r="H90" s="30" t="str">
        <f>HYPERLINK("https://www.munzee.com/m/malof/9254/", "malof/9254")</f>
        <v>malof/9254</v>
      </c>
      <c r="I90" s="32"/>
      <c r="J90" s="31">
        <f t="shared" si="1"/>
        <v>5</v>
      </c>
    </row>
    <row r="91">
      <c r="A91" s="28">
        <v>2.0</v>
      </c>
      <c r="B91" s="28">
        <v>14.0</v>
      </c>
      <c r="C91" s="28">
        <v>53.4973882199379</v>
      </c>
      <c r="D91" s="28">
        <v>9.99305060110646</v>
      </c>
      <c r="E91" s="28" t="s">
        <v>25</v>
      </c>
      <c r="F91" s="28" t="s">
        <v>14</v>
      </c>
      <c r="G91" s="29" t="s">
        <v>55</v>
      </c>
      <c r="H91" s="30" t="str">
        <f>HYPERLINK("https://www.munzee.com/m/boerse82/5474/", "boerse82/5474")</f>
        <v>boerse82/5474</v>
      </c>
      <c r="J91" s="31">
        <f t="shared" si="1"/>
        <v>51</v>
      </c>
    </row>
    <row r="92">
      <c r="A92" s="28">
        <v>2.0</v>
      </c>
      <c r="B92" s="28">
        <v>15.0</v>
      </c>
      <c r="C92" s="28">
        <v>53.4973756927624</v>
      </c>
      <c r="D92" s="28">
        <v>9.99329130245269</v>
      </c>
      <c r="E92" s="28" t="s">
        <v>25</v>
      </c>
      <c r="F92" s="28" t="s">
        <v>14</v>
      </c>
      <c r="G92" s="29" t="s">
        <v>56</v>
      </c>
      <c r="H92" s="30" t="str">
        <f>HYPERLINK("https://www.munzee.com/m/Flattermaus/3463/", "Flattermaus/3463")</f>
        <v>Flattermaus/3463</v>
      </c>
      <c r="J92" s="31">
        <f t="shared" si="1"/>
        <v>55</v>
      </c>
    </row>
    <row r="93">
      <c r="A93" s="28">
        <v>2.0</v>
      </c>
      <c r="B93" s="28">
        <v>16.0</v>
      </c>
      <c r="C93" s="28">
        <v>53.4973631655869</v>
      </c>
      <c r="D93" s="28">
        <v>9.99353200372775</v>
      </c>
      <c r="E93" s="28" t="s">
        <v>25</v>
      </c>
      <c r="F93" s="28" t="s">
        <v>14</v>
      </c>
      <c r="G93" s="29" t="s">
        <v>54</v>
      </c>
      <c r="H93" s="30" t="str">
        <f>HYPERLINK("https://www.munzee.com/m/malof/9251/", "malof/9251")</f>
        <v>malof/9251</v>
      </c>
      <c r="I93" s="32"/>
      <c r="J93" s="31">
        <f t="shared" si="1"/>
        <v>5</v>
      </c>
    </row>
    <row r="94">
      <c r="A94" s="28">
        <v>2.0</v>
      </c>
      <c r="B94" s="28">
        <v>17.0</v>
      </c>
      <c r="C94" s="28">
        <v>53.4973506384114</v>
      </c>
      <c r="D94" s="28">
        <v>9.99377270493164</v>
      </c>
      <c r="E94" s="28" t="s">
        <v>25</v>
      </c>
      <c r="F94" s="28" t="s">
        <v>14</v>
      </c>
      <c r="G94" s="29" t="s">
        <v>55</v>
      </c>
      <c r="H94" s="30" t="str">
        <f>HYPERLINK("https://www.munzee.com/m/boerse82/5473/", "boerse82/5473")</f>
        <v>boerse82/5473</v>
      </c>
      <c r="J94" s="31">
        <f t="shared" si="1"/>
        <v>51</v>
      </c>
    </row>
    <row r="95">
      <c r="A95" s="28">
        <v>2.0</v>
      </c>
      <c r="B95" s="28">
        <v>18.0</v>
      </c>
      <c r="C95" s="28">
        <v>53.497338111236</v>
      </c>
      <c r="D95" s="28">
        <v>9.99401340606448</v>
      </c>
      <c r="E95" s="28" t="s">
        <v>25</v>
      </c>
      <c r="F95" s="28" t="s">
        <v>14</v>
      </c>
      <c r="G95" s="29" t="s">
        <v>56</v>
      </c>
      <c r="H95" s="30" t="str">
        <f>HYPERLINK("https://www.munzee.com/m/Flattermaus/3458/", "Flattermaus/3458")</f>
        <v>Flattermaus/3458</v>
      </c>
      <c r="J95" s="31">
        <f t="shared" si="1"/>
        <v>55</v>
      </c>
    </row>
    <row r="96">
      <c r="A96" s="28">
        <v>2.0</v>
      </c>
      <c r="B96" s="28">
        <v>19.0</v>
      </c>
      <c r="C96" s="28">
        <v>53.4973255840605</v>
      </c>
      <c r="D96" s="28">
        <v>9.99425410712615</v>
      </c>
      <c r="E96" s="28" t="s">
        <v>25</v>
      </c>
      <c r="F96" s="28" t="s">
        <v>14</v>
      </c>
      <c r="G96" s="29" t="s">
        <v>54</v>
      </c>
      <c r="H96" s="30" t="str">
        <f>HYPERLINK("https://www.munzee.com/m/malof/9250/", "malof/9250")</f>
        <v>malof/9250</v>
      </c>
      <c r="I96" s="32"/>
      <c r="J96" s="31">
        <f t="shared" si="1"/>
        <v>5</v>
      </c>
    </row>
    <row r="97">
      <c r="A97" s="28">
        <v>2.0</v>
      </c>
      <c r="B97" s="28">
        <v>20.0</v>
      </c>
      <c r="C97" s="28">
        <v>53.497313056885</v>
      </c>
      <c r="D97" s="28">
        <v>9.99449480811677</v>
      </c>
      <c r="E97" s="28" t="s">
        <v>25</v>
      </c>
      <c r="F97" s="28" t="s">
        <v>14</v>
      </c>
      <c r="G97" s="29" t="s">
        <v>55</v>
      </c>
      <c r="H97" s="30" t="str">
        <f>HYPERLINK("https://www.munzee.com/m/boerse82/5466/", "boerse82/5466")</f>
        <v>boerse82/5466</v>
      </c>
      <c r="J97" s="31">
        <f t="shared" si="1"/>
        <v>51</v>
      </c>
    </row>
    <row r="98">
      <c r="A98" s="28">
        <v>2.0</v>
      </c>
      <c r="B98" s="28">
        <v>21.0</v>
      </c>
      <c r="C98" s="28">
        <v>53.4973005297095</v>
      </c>
      <c r="D98" s="28">
        <v>9.99473550903621</v>
      </c>
      <c r="E98" s="28" t="s">
        <v>25</v>
      </c>
      <c r="F98" s="28" t="s">
        <v>14</v>
      </c>
      <c r="G98" s="29" t="s">
        <v>56</v>
      </c>
      <c r="H98" s="30" t="str">
        <f>HYPERLINK("https://www.munzee.com/m/Flattermaus/3448/", "Flattermaus/3448")</f>
        <v>Flattermaus/3448</v>
      </c>
      <c r="J98" s="31">
        <f t="shared" si="1"/>
        <v>55</v>
      </c>
    </row>
    <row r="99">
      <c r="A99" s="28">
        <v>2.0</v>
      </c>
      <c r="B99" s="28">
        <v>22.0</v>
      </c>
      <c r="C99" s="28">
        <v>53.497288002534</v>
      </c>
      <c r="D99" s="28">
        <v>9.99497620988461</v>
      </c>
      <c r="E99" s="28" t="s">
        <v>25</v>
      </c>
      <c r="F99" s="28" t="s">
        <v>14</v>
      </c>
      <c r="G99" s="29" t="s">
        <v>54</v>
      </c>
      <c r="H99" s="30" t="str">
        <f>HYPERLINK("https://www.munzee.com/m/malof/9249/", "malof/9249")</f>
        <v>malof/9249</v>
      </c>
      <c r="I99" s="32"/>
      <c r="J99" s="31">
        <f t="shared" si="1"/>
        <v>5</v>
      </c>
    </row>
    <row r="100">
      <c r="A100" s="28">
        <v>2.0</v>
      </c>
      <c r="B100" s="28">
        <v>23.0</v>
      </c>
      <c r="C100" s="28">
        <v>53.4972754753585</v>
      </c>
      <c r="D100" s="28">
        <v>9.99521691066183</v>
      </c>
      <c r="E100" s="28" t="s">
        <v>25</v>
      </c>
      <c r="F100" s="28" t="s">
        <v>14</v>
      </c>
      <c r="G100" s="29" t="s">
        <v>55</v>
      </c>
      <c r="H100" s="30" t="str">
        <f>HYPERLINK("https://www.munzee.com/m/boerse82/5445/", "boerse82/5445")</f>
        <v>boerse82/5445</v>
      </c>
      <c r="J100" s="31">
        <f t="shared" si="1"/>
        <v>51</v>
      </c>
    </row>
    <row r="101">
      <c r="A101" s="28">
        <v>2.0</v>
      </c>
      <c r="B101" s="28">
        <v>24.0</v>
      </c>
      <c r="C101" s="28">
        <v>53.497262948183</v>
      </c>
      <c r="D101" s="28">
        <v>9.99545761136801</v>
      </c>
      <c r="E101" s="28" t="s">
        <v>25</v>
      </c>
      <c r="F101" s="28" t="s">
        <v>14</v>
      </c>
      <c r="G101" s="29" t="s">
        <v>31</v>
      </c>
      <c r="H101" s="30" t="str">
        <f>HYPERLINK("https://www.munzee.com/m/FeuerBrake/3823/", "FeuerBrake/3823")</f>
        <v>FeuerBrake/3823</v>
      </c>
      <c r="J101" s="31">
        <f t="shared" si="1"/>
        <v>5</v>
      </c>
    </row>
    <row r="102">
      <c r="A102" s="28">
        <v>2.0</v>
      </c>
      <c r="B102" s="28">
        <v>25.0</v>
      </c>
      <c r="C102" s="28">
        <v>53.4972504210076</v>
      </c>
      <c r="D102" s="28">
        <v>9.99569831200301</v>
      </c>
      <c r="E102" s="28" t="s">
        <v>25</v>
      </c>
      <c r="F102" s="28" t="s">
        <v>14</v>
      </c>
      <c r="G102" s="29" t="s">
        <v>54</v>
      </c>
      <c r="H102" s="30" t="str">
        <f>HYPERLINK("https://www.munzee.com/m/malof/9248/", "malof/9248")</f>
        <v>malof/9248</v>
      </c>
      <c r="I102" s="32"/>
      <c r="J102" s="31">
        <f t="shared" si="1"/>
        <v>5</v>
      </c>
    </row>
    <row r="103">
      <c r="A103" s="28">
        <v>2.0</v>
      </c>
      <c r="B103" s="28">
        <v>26.0</v>
      </c>
      <c r="C103" s="28">
        <v>53.4972378938321</v>
      </c>
      <c r="D103" s="28">
        <v>9.99593901256696</v>
      </c>
      <c r="E103" s="28" t="s">
        <v>25</v>
      </c>
      <c r="F103" s="28" t="s">
        <v>14</v>
      </c>
      <c r="G103" s="29" t="s">
        <v>55</v>
      </c>
      <c r="H103" s="30" t="str">
        <f>HYPERLINK("https://www.munzee.com/m/boerse82/5440/", "boerse82/5440")</f>
        <v>boerse82/5440</v>
      </c>
      <c r="J103" s="31">
        <f t="shared" si="1"/>
        <v>51</v>
      </c>
    </row>
    <row r="104">
      <c r="A104" s="28">
        <v>2.0</v>
      </c>
      <c r="B104" s="28">
        <v>27.0</v>
      </c>
      <c r="C104" s="28">
        <v>53.4972253666566</v>
      </c>
      <c r="D104" s="28">
        <v>9.99617971305974</v>
      </c>
      <c r="E104" s="28" t="s">
        <v>25</v>
      </c>
      <c r="F104" s="28" t="s">
        <v>14</v>
      </c>
      <c r="G104" s="29" t="s">
        <v>57</v>
      </c>
      <c r="H104" s="30" t="str">
        <f>HYPERLINK("https://www.munzee.com/m/Steerzer/7522/", "Steerzer/7522")</f>
        <v>Steerzer/7522</v>
      </c>
      <c r="J104" s="31">
        <f t="shared" si="1"/>
        <v>20</v>
      </c>
    </row>
    <row r="105">
      <c r="A105" s="28">
        <v>2.0</v>
      </c>
      <c r="B105" s="28">
        <v>28.0</v>
      </c>
      <c r="C105" s="28">
        <v>53.4972128394811</v>
      </c>
      <c r="D105" s="28">
        <v>9.99642041348147</v>
      </c>
      <c r="E105" s="28" t="s">
        <v>25</v>
      </c>
      <c r="F105" s="28" t="s">
        <v>14</v>
      </c>
      <c r="G105" s="29" t="s">
        <v>42</v>
      </c>
      <c r="H105" s="30" t="str">
        <f>HYPERLINK("https://www.munzee.com/m/Soitenlysue/586/", "Soitenlysue/586")</f>
        <v>Soitenlysue/586</v>
      </c>
      <c r="J105" s="31">
        <f t="shared" si="1"/>
        <v>3</v>
      </c>
    </row>
    <row r="106">
      <c r="A106" s="28">
        <v>2.0</v>
      </c>
      <c r="B106" s="28">
        <v>29.0</v>
      </c>
      <c r="C106" s="28">
        <v>53.4972003123056</v>
      </c>
      <c r="D106" s="28">
        <v>9.99666111383203</v>
      </c>
      <c r="E106" s="28" t="s">
        <v>25</v>
      </c>
      <c r="F106" s="28" t="s">
        <v>14</v>
      </c>
      <c r="G106" s="29" t="s">
        <v>58</v>
      </c>
      <c r="H106" s="33" t="s">
        <v>59</v>
      </c>
      <c r="J106" s="31">
        <f t="shared" si="1"/>
        <v>6</v>
      </c>
    </row>
    <row r="107">
      <c r="A107" s="28">
        <v>2.0</v>
      </c>
      <c r="B107" s="28">
        <v>30.0</v>
      </c>
      <c r="C107" s="28">
        <v>53.4971877851301</v>
      </c>
      <c r="D107" s="28">
        <v>9.99690181411153</v>
      </c>
      <c r="E107" s="28" t="s">
        <v>25</v>
      </c>
      <c r="F107" s="28" t="s">
        <v>14</v>
      </c>
      <c r="G107" s="29" t="s">
        <v>57</v>
      </c>
      <c r="H107" s="30" t="str">
        <f>HYPERLINK("https://www.munzee.com/m/Steerzer/7523/", "Steerzer/7523")</f>
        <v>Steerzer/7523</v>
      </c>
      <c r="J107" s="31">
        <f t="shared" si="1"/>
        <v>20</v>
      </c>
    </row>
    <row r="108">
      <c r="A108" s="28">
        <v>2.0</v>
      </c>
      <c r="B108" s="28">
        <v>31.0</v>
      </c>
      <c r="C108" s="28">
        <v>53.4971752579547</v>
      </c>
      <c r="D108" s="28">
        <v>9.99714251431987</v>
      </c>
      <c r="E108" s="28" t="s">
        <v>25</v>
      </c>
      <c r="F108" s="28" t="s">
        <v>14</v>
      </c>
      <c r="G108" s="29" t="s">
        <v>60</v>
      </c>
      <c r="H108" s="33" t="s">
        <v>61</v>
      </c>
      <c r="J108" s="31">
        <f t="shared" si="1"/>
        <v>4</v>
      </c>
    </row>
    <row r="109">
      <c r="A109" s="28">
        <v>2.0</v>
      </c>
      <c r="B109" s="28">
        <v>32.0</v>
      </c>
      <c r="C109" s="28">
        <v>53.4971627307792</v>
      </c>
      <c r="D109" s="28">
        <v>9.99738321445715</v>
      </c>
      <c r="E109" s="28" t="s">
        <v>25</v>
      </c>
      <c r="F109" s="28" t="s">
        <v>14</v>
      </c>
      <c r="G109" s="29" t="s">
        <v>62</v>
      </c>
      <c r="H109" s="34" t="s">
        <v>63</v>
      </c>
      <c r="J109" s="31">
        <f t="shared" si="1"/>
        <v>2</v>
      </c>
    </row>
    <row r="110">
      <c r="A110" s="28">
        <v>2.0</v>
      </c>
      <c r="B110" s="28">
        <v>33.0</v>
      </c>
      <c r="C110" s="28">
        <v>53.4971502036037</v>
      </c>
      <c r="D110" s="28">
        <v>9.99762391452327</v>
      </c>
      <c r="E110" s="28" t="s">
        <v>25</v>
      </c>
      <c r="F110" s="28" t="s">
        <v>14</v>
      </c>
      <c r="G110" s="29" t="s">
        <v>64</v>
      </c>
      <c r="H110" s="35" t="s">
        <v>65</v>
      </c>
      <c r="I110" s="29"/>
      <c r="J110" s="31">
        <f t="shared" si="1"/>
        <v>133</v>
      </c>
    </row>
    <row r="111">
      <c r="A111" s="28">
        <v>2.0</v>
      </c>
      <c r="B111" s="28">
        <v>34.0</v>
      </c>
      <c r="C111" s="28">
        <v>53.4971376764282</v>
      </c>
      <c r="D111" s="28">
        <v>9.99786461451833</v>
      </c>
      <c r="E111" s="28" t="s">
        <v>25</v>
      </c>
      <c r="F111" s="28" t="s">
        <v>14</v>
      </c>
      <c r="G111" s="29" t="s">
        <v>66</v>
      </c>
      <c r="H111" s="30" t="s">
        <v>67</v>
      </c>
      <c r="J111" s="31">
        <f t="shared" si="1"/>
        <v>6</v>
      </c>
    </row>
    <row r="112">
      <c r="A112" s="28">
        <v>2.0</v>
      </c>
      <c r="B112" s="28">
        <v>35.0</v>
      </c>
      <c r="C112" s="28">
        <v>53.4971251492527</v>
      </c>
      <c r="D112" s="28">
        <v>9.99810531444222</v>
      </c>
      <c r="E112" s="28" t="s">
        <v>25</v>
      </c>
      <c r="F112" s="28" t="s">
        <v>14</v>
      </c>
      <c r="G112" s="29" t="s">
        <v>60</v>
      </c>
      <c r="H112" s="33" t="s">
        <v>68</v>
      </c>
      <c r="J112" s="31">
        <f t="shared" si="1"/>
        <v>4</v>
      </c>
    </row>
    <row r="113">
      <c r="A113" s="28">
        <v>2.0</v>
      </c>
      <c r="B113" s="28">
        <v>36.0</v>
      </c>
      <c r="C113" s="28">
        <v>53.4971126220773</v>
      </c>
      <c r="D113" s="28">
        <v>9.99834601429506</v>
      </c>
      <c r="E113" s="28" t="s">
        <v>25</v>
      </c>
      <c r="F113" s="28" t="s">
        <v>14</v>
      </c>
      <c r="G113" s="29" t="s">
        <v>57</v>
      </c>
      <c r="H113" s="30" t="str">
        <f>HYPERLINK("https://www.munzee.com/m/Steerzer/7526/", "Steerzer/7526")</f>
        <v>Steerzer/7526</v>
      </c>
      <c r="J113" s="31">
        <f t="shared" si="1"/>
        <v>20</v>
      </c>
    </row>
    <row r="114">
      <c r="A114" s="28">
        <v>2.0</v>
      </c>
      <c r="B114" s="28">
        <v>37.0</v>
      </c>
      <c r="C114" s="28">
        <v>53.4971000949018</v>
      </c>
      <c r="D114" s="28">
        <v>9.99858671407673</v>
      </c>
      <c r="E114" s="28" t="s">
        <v>25</v>
      </c>
      <c r="F114" s="28" t="s">
        <v>14</v>
      </c>
      <c r="G114" s="29" t="s">
        <v>43</v>
      </c>
      <c r="H114" s="30" t="s">
        <v>69</v>
      </c>
      <c r="J114" s="31">
        <f t="shared" si="1"/>
        <v>5</v>
      </c>
    </row>
    <row r="115">
      <c r="A115" s="28">
        <v>2.0</v>
      </c>
      <c r="B115" s="28">
        <v>38.0</v>
      </c>
      <c r="C115" s="28">
        <v>53.4970875677263</v>
      </c>
      <c r="D115" s="28">
        <v>9.99882741378724</v>
      </c>
      <c r="E115" s="28" t="s">
        <v>25</v>
      </c>
      <c r="F115" s="28" t="s">
        <v>14</v>
      </c>
      <c r="G115" s="29" t="s">
        <v>60</v>
      </c>
      <c r="H115" s="33" t="s">
        <v>70</v>
      </c>
      <c r="J115" s="31">
        <f t="shared" si="1"/>
        <v>4</v>
      </c>
    </row>
    <row r="116">
      <c r="A116" s="28">
        <v>2.0</v>
      </c>
      <c r="B116" s="28">
        <v>39.0</v>
      </c>
      <c r="C116" s="28">
        <v>53.4970750405508</v>
      </c>
      <c r="D116" s="28">
        <v>9.99906811342668</v>
      </c>
      <c r="E116" s="28" t="s">
        <v>25</v>
      </c>
      <c r="F116" s="28" t="s">
        <v>14</v>
      </c>
      <c r="G116" s="29" t="s">
        <v>57</v>
      </c>
      <c r="H116" s="30" t="str">
        <f>HYPERLINK("https://www.munzee.com/m/Steerzer/7535/", "Steerzer/7535")</f>
        <v>Steerzer/7535</v>
      </c>
      <c r="J116" s="31">
        <f t="shared" si="1"/>
        <v>20</v>
      </c>
    </row>
    <row r="117">
      <c r="A117" s="28">
        <v>2.0</v>
      </c>
      <c r="B117" s="28">
        <v>40.0</v>
      </c>
      <c r="C117" s="28">
        <v>53.4970625133753</v>
      </c>
      <c r="D117" s="28">
        <v>9.99930881299496</v>
      </c>
      <c r="E117" s="28" t="s">
        <v>25</v>
      </c>
      <c r="F117" s="28" t="s">
        <v>14</v>
      </c>
      <c r="G117" s="29" t="s">
        <v>71</v>
      </c>
      <c r="H117" s="33" t="s">
        <v>72</v>
      </c>
      <c r="J117" s="31">
        <f t="shared" si="1"/>
        <v>2</v>
      </c>
    </row>
    <row r="118">
      <c r="A118" s="28">
        <v>2.0</v>
      </c>
      <c r="B118" s="28">
        <v>41.0</v>
      </c>
      <c r="C118" s="28">
        <v>53.4970499861998</v>
      </c>
      <c r="D118" s="28">
        <v>9.99954951249219</v>
      </c>
      <c r="E118" s="28" t="s">
        <v>25</v>
      </c>
      <c r="F118" s="28" t="s">
        <v>14</v>
      </c>
      <c r="G118" s="29" t="s">
        <v>60</v>
      </c>
      <c r="H118" s="33" t="s">
        <v>73</v>
      </c>
      <c r="J118" s="31">
        <f t="shared" si="1"/>
        <v>4</v>
      </c>
    </row>
    <row r="119">
      <c r="A119" s="28">
        <v>2.0</v>
      </c>
      <c r="B119" s="28">
        <v>42.0</v>
      </c>
      <c r="C119" s="28">
        <v>53.4970374590243</v>
      </c>
      <c r="D119" s="28">
        <v>9.99979021191825</v>
      </c>
      <c r="E119" s="28" t="s">
        <v>25</v>
      </c>
      <c r="F119" s="28" t="s">
        <v>14</v>
      </c>
      <c r="G119" s="29" t="s">
        <v>57</v>
      </c>
      <c r="H119" s="30" t="str">
        <f>HYPERLINK("https://www.munzee.com/m/Steerzer/7579/", "Steerzer/7579")</f>
        <v>Steerzer/7579</v>
      </c>
      <c r="J119" s="31">
        <f t="shared" si="1"/>
        <v>20</v>
      </c>
    </row>
    <row r="120">
      <c r="A120" s="28">
        <v>2.0</v>
      </c>
      <c r="B120" s="28">
        <v>43.0</v>
      </c>
      <c r="C120" s="28">
        <v>53.4970249318489</v>
      </c>
      <c r="D120" s="28">
        <v>10.0000309112732</v>
      </c>
      <c r="E120" s="28" t="s">
        <v>25</v>
      </c>
      <c r="F120" s="28" t="s">
        <v>14</v>
      </c>
      <c r="G120" s="29" t="s">
        <v>74</v>
      </c>
      <c r="H120" s="33" t="s">
        <v>75</v>
      </c>
      <c r="J120" s="31">
        <f t="shared" si="1"/>
        <v>4</v>
      </c>
    </row>
    <row r="121">
      <c r="A121" s="28">
        <v>2.0</v>
      </c>
      <c r="B121" s="28">
        <v>44.0</v>
      </c>
      <c r="C121" s="28">
        <v>53.4970124046734</v>
      </c>
      <c r="D121" s="28">
        <v>10.000271610557</v>
      </c>
      <c r="E121" s="28" t="s">
        <v>25</v>
      </c>
      <c r="F121" s="28" t="s">
        <v>14</v>
      </c>
      <c r="G121" s="29" t="s">
        <v>76</v>
      </c>
      <c r="H121" s="33" t="s">
        <v>77</v>
      </c>
      <c r="J121" s="31">
        <f t="shared" si="1"/>
        <v>1</v>
      </c>
    </row>
    <row r="122">
      <c r="A122" s="28">
        <v>2.0</v>
      </c>
      <c r="B122" s="28">
        <v>45.0</v>
      </c>
      <c r="C122" s="28">
        <v>53.4969998774979</v>
      </c>
      <c r="D122" s="28">
        <v>10.0005123097698</v>
      </c>
      <c r="E122" s="28" t="s">
        <v>25</v>
      </c>
      <c r="F122" s="28" t="s">
        <v>14</v>
      </c>
      <c r="G122" s="29" t="s">
        <v>57</v>
      </c>
      <c r="H122" s="30" t="str">
        <f>HYPERLINK("https://www.munzee.com/m/Steerzer/7580/", "Steerzer/7580")</f>
        <v>Steerzer/7580</v>
      </c>
      <c r="J122" s="31">
        <f t="shared" si="1"/>
        <v>20</v>
      </c>
    </row>
    <row r="123">
      <c r="A123" s="28">
        <v>2.0</v>
      </c>
      <c r="B123" s="28">
        <v>46.0</v>
      </c>
      <c r="C123" s="28">
        <v>53.4969873503224</v>
      </c>
      <c r="D123" s="28">
        <v>10.0007530089114</v>
      </c>
      <c r="E123" s="28" t="s">
        <v>25</v>
      </c>
      <c r="F123" s="28" t="s">
        <v>14</v>
      </c>
      <c r="G123" s="29" t="s">
        <v>74</v>
      </c>
      <c r="H123" s="33" t="s">
        <v>78</v>
      </c>
      <c r="J123" s="31">
        <f t="shared" si="1"/>
        <v>4</v>
      </c>
    </row>
    <row r="124">
      <c r="A124" s="28">
        <v>2.0</v>
      </c>
      <c r="B124" s="28">
        <v>47.0</v>
      </c>
      <c r="C124" s="28">
        <v>53.4969748231469</v>
      </c>
      <c r="D124" s="28">
        <v>10.000993707982</v>
      </c>
      <c r="E124" s="28" t="s">
        <v>25</v>
      </c>
      <c r="F124" s="28" t="s">
        <v>14</v>
      </c>
      <c r="G124" s="29" t="s">
        <v>79</v>
      </c>
      <c r="H124" s="30" t="s">
        <v>80</v>
      </c>
      <c r="J124" s="31">
        <f t="shared" si="1"/>
        <v>3</v>
      </c>
    </row>
    <row r="125">
      <c r="A125" s="28">
        <v>2.0</v>
      </c>
      <c r="B125" s="28">
        <v>48.0</v>
      </c>
      <c r="C125" s="28">
        <v>53.4969622959714</v>
      </c>
      <c r="D125" s="28">
        <v>10.0012344069814</v>
      </c>
      <c r="E125" s="28" t="s">
        <v>25</v>
      </c>
      <c r="F125" s="28" t="s">
        <v>14</v>
      </c>
      <c r="G125" s="29" t="s">
        <v>57</v>
      </c>
      <c r="H125" s="30" t="str">
        <f>HYPERLINK("https://www.munzee.com/m/Steerzer/7600/", "Steerzer/7600")</f>
        <v>Steerzer/7600</v>
      </c>
      <c r="J125" s="31">
        <f t="shared" si="1"/>
        <v>20</v>
      </c>
    </row>
    <row r="126">
      <c r="A126" s="28">
        <v>2.0</v>
      </c>
      <c r="B126" s="28">
        <v>49.0</v>
      </c>
      <c r="C126" s="28">
        <v>53.496949768796</v>
      </c>
      <c r="D126" s="28">
        <v>10.0014751059097</v>
      </c>
      <c r="E126" s="28" t="s">
        <v>25</v>
      </c>
      <c r="F126" s="28" t="s">
        <v>14</v>
      </c>
      <c r="G126" s="29" t="s">
        <v>74</v>
      </c>
      <c r="H126" s="33" t="s">
        <v>81</v>
      </c>
      <c r="J126" s="31">
        <f t="shared" si="1"/>
        <v>4</v>
      </c>
    </row>
    <row r="127">
      <c r="A127" s="28">
        <v>2.0</v>
      </c>
      <c r="B127" s="28">
        <v>50.0</v>
      </c>
      <c r="C127" s="28">
        <v>53.4969372416205</v>
      </c>
      <c r="D127" s="28">
        <v>10.0017158047669</v>
      </c>
      <c r="E127" s="28" t="s">
        <v>25</v>
      </c>
      <c r="F127" s="28" t="s">
        <v>14</v>
      </c>
      <c r="G127" s="29" t="s">
        <v>79</v>
      </c>
      <c r="H127" s="30" t="s">
        <v>82</v>
      </c>
      <c r="J127" s="31">
        <f t="shared" si="1"/>
        <v>3</v>
      </c>
    </row>
    <row r="128">
      <c r="A128" s="28">
        <v>2.0</v>
      </c>
      <c r="B128" s="28">
        <v>51.0</v>
      </c>
      <c r="C128" s="28">
        <v>53.496924714445</v>
      </c>
      <c r="D128" s="28">
        <v>10.001956503553</v>
      </c>
      <c r="E128" s="28" t="s">
        <v>25</v>
      </c>
      <c r="F128" s="28" t="s">
        <v>14</v>
      </c>
      <c r="G128" s="29" t="s">
        <v>57</v>
      </c>
      <c r="H128" s="30" t="str">
        <f>HYPERLINK("https://www.munzee.com/m/Steerzer/8113/", "Steerzer/8113")</f>
        <v>Steerzer/8113</v>
      </c>
      <c r="J128" s="31">
        <f t="shared" si="1"/>
        <v>20</v>
      </c>
    </row>
    <row r="129">
      <c r="A129" s="28">
        <v>2.0</v>
      </c>
      <c r="B129" s="28">
        <v>52.0</v>
      </c>
      <c r="C129" s="28">
        <v>53.4969121872695</v>
      </c>
      <c r="D129" s="28">
        <v>10.002197202268</v>
      </c>
      <c r="E129" s="28" t="s">
        <v>25</v>
      </c>
      <c r="F129" s="28" t="s">
        <v>14</v>
      </c>
      <c r="G129" s="29" t="s">
        <v>74</v>
      </c>
      <c r="H129" s="33" t="s">
        <v>83</v>
      </c>
      <c r="J129" s="31">
        <f t="shared" si="1"/>
        <v>4</v>
      </c>
    </row>
    <row r="130">
      <c r="A130" s="28">
        <v>2.0</v>
      </c>
      <c r="B130" s="28">
        <v>53.0</v>
      </c>
      <c r="C130" s="28">
        <v>53.496899660094</v>
      </c>
      <c r="D130" s="28">
        <v>10.0024379009119</v>
      </c>
      <c r="E130" s="28" t="s">
        <v>25</v>
      </c>
      <c r="F130" s="28" t="s">
        <v>14</v>
      </c>
      <c r="G130" s="29" t="s">
        <v>79</v>
      </c>
      <c r="H130" s="30" t="s">
        <v>84</v>
      </c>
      <c r="J130" s="31">
        <f t="shared" si="1"/>
        <v>3</v>
      </c>
    </row>
    <row r="131">
      <c r="A131" s="28">
        <v>2.0</v>
      </c>
      <c r="B131" s="28">
        <v>54.0</v>
      </c>
      <c r="C131" s="28">
        <v>53.4968871329186</v>
      </c>
      <c r="D131" s="28">
        <v>10.0026785994846</v>
      </c>
      <c r="E131" s="28" t="s">
        <v>25</v>
      </c>
      <c r="F131" s="28" t="s">
        <v>14</v>
      </c>
      <c r="G131" s="29" t="s">
        <v>57</v>
      </c>
      <c r="H131" s="30" t="str">
        <f>HYPERLINK("https://www.munzee.com/m/Steerzer/8114/", "Steerzer/8114")</f>
        <v>Steerzer/8114</v>
      </c>
      <c r="J131" s="31">
        <f t="shared" si="1"/>
        <v>20</v>
      </c>
    </row>
    <row r="132">
      <c r="A132" s="28">
        <v>2.0</v>
      </c>
      <c r="B132" s="28">
        <v>55.0</v>
      </c>
      <c r="C132" s="28">
        <v>53.4968746057431</v>
      </c>
      <c r="D132" s="28">
        <v>10.0029192979862</v>
      </c>
      <c r="E132" s="28" t="s">
        <v>25</v>
      </c>
      <c r="F132" s="28" t="s">
        <v>14</v>
      </c>
      <c r="G132" s="29" t="s">
        <v>85</v>
      </c>
      <c r="H132" s="30" t="s">
        <v>86</v>
      </c>
      <c r="J132" s="31">
        <f t="shared" si="1"/>
        <v>1</v>
      </c>
    </row>
    <row r="133">
      <c r="A133" s="28">
        <v>2.0</v>
      </c>
      <c r="B133" s="28">
        <v>56.0</v>
      </c>
      <c r="C133" s="28">
        <v>53.4968620785676</v>
      </c>
      <c r="D133" s="28">
        <v>10.0031599964167</v>
      </c>
      <c r="E133" s="28" t="s">
        <v>25</v>
      </c>
      <c r="F133" s="28" t="s">
        <v>14</v>
      </c>
      <c r="G133" s="29" t="s">
        <v>71</v>
      </c>
      <c r="H133" s="33" t="s">
        <v>87</v>
      </c>
      <c r="J133" s="31">
        <f t="shared" si="1"/>
        <v>2</v>
      </c>
    </row>
    <row r="134">
      <c r="A134" s="28">
        <v>2.0</v>
      </c>
      <c r="B134" s="28">
        <v>57.0</v>
      </c>
      <c r="C134" s="28">
        <v>53.4968495513921</v>
      </c>
      <c r="D134" s="28">
        <v>10.0034006947762</v>
      </c>
      <c r="E134" s="28" t="s">
        <v>25</v>
      </c>
      <c r="F134" s="28" t="s">
        <v>14</v>
      </c>
      <c r="G134" s="29" t="s">
        <v>57</v>
      </c>
      <c r="H134" s="30" t="str">
        <f>HYPERLINK("https://www.munzee.com/m/Steerzer/8141/", "Steerzer/8141")</f>
        <v>Steerzer/8141</v>
      </c>
      <c r="J134" s="31">
        <f t="shared" si="1"/>
        <v>20</v>
      </c>
    </row>
    <row r="135">
      <c r="A135" s="28">
        <v>2.0</v>
      </c>
      <c r="B135" s="28">
        <v>58.0</v>
      </c>
      <c r="C135" s="28">
        <v>53.4968370242166</v>
      </c>
      <c r="D135" s="28">
        <v>10.0036413930645</v>
      </c>
      <c r="E135" s="28" t="s">
        <v>25</v>
      </c>
      <c r="F135" s="28" t="s">
        <v>14</v>
      </c>
      <c r="G135" s="29" t="s">
        <v>56</v>
      </c>
      <c r="H135" s="30" t="str">
        <f>HYPERLINK("https://www.munzee.com/m/Flattermaus/3425/", "Flattermaus/3425")</f>
        <v>Flattermaus/3425</v>
      </c>
      <c r="J135" s="31">
        <f t="shared" si="1"/>
        <v>55</v>
      </c>
    </row>
    <row r="136">
      <c r="A136" s="28">
        <v>2.0</v>
      </c>
      <c r="B136" s="28">
        <v>59.0</v>
      </c>
      <c r="C136" s="28">
        <v>53.4968244970411</v>
      </c>
      <c r="D136" s="28">
        <v>10.0038820912817</v>
      </c>
      <c r="E136" s="28" t="s">
        <v>25</v>
      </c>
      <c r="F136" s="28" t="s">
        <v>14</v>
      </c>
      <c r="G136" s="29" t="s">
        <v>88</v>
      </c>
      <c r="H136" s="30" t="str">
        <f>HYPERLINK("https://www.munzee.com/m/RoversEnd/2544/", "RoversEnd/2544")</f>
        <v>RoversEnd/2544</v>
      </c>
      <c r="J136" s="31">
        <f t="shared" si="1"/>
        <v>3</v>
      </c>
    </row>
    <row r="137">
      <c r="A137" s="28">
        <v>2.0</v>
      </c>
      <c r="B137" s="28">
        <v>60.0</v>
      </c>
      <c r="C137" s="28">
        <v>53.4968119698657</v>
      </c>
      <c r="D137" s="28">
        <v>10.0041227894278</v>
      </c>
      <c r="E137" s="28" t="s">
        <v>25</v>
      </c>
      <c r="F137" s="28" t="s">
        <v>14</v>
      </c>
      <c r="G137" s="29" t="s">
        <v>89</v>
      </c>
      <c r="H137" s="30" t="str">
        <f>HYPERLINK("https://www.munzee.com/m/KaraReke/1838/", "KaraReke/1838")</f>
        <v>KaraReke/1838</v>
      </c>
      <c r="J137" s="31">
        <f t="shared" si="1"/>
        <v>4</v>
      </c>
    </row>
    <row r="138">
      <c r="A138" s="28">
        <v>3.0</v>
      </c>
      <c r="B138" s="28">
        <v>1.0</v>
      </c>
      <c r="C138" s="28">
        <v>53.4974078897096</v>
      </c>
      <c r="D138" s="28">
        <v>9.98990041847957</v>
      </c>
      <c r="E138" s="28" t="s">
        <v>25</v>
      </c>
      <c r="F138" s="28" t="s">
        <v>14</v>
      </c>
      <c r="G138" s="29" t="s">
        <v>30</v>
      </c>
      <c r="H138" s="30" t="str">
        <f>HYPERLINK("https://www.munzee.com/m/SachensucherHB/1384/", "SachensucherHB/1384")</f>
        <v>SachensucherHB/1384</v>
      </c>
      <c r="J138" s="31">
        <f t="shared" si="1"/>
        <v>62</v>
      </c>
    </row>
    <row r="139">
      <c r="A139" s="28">
        <v>3.0</v>
      </c>
      <c r="B139" s="28">
        <v>2.0</v>
      </c>
      <c r="C139" s="28">
        <v>53.4973953625342</v>
      </c>
      <c r="D139" s="28">
        <v>9.99014111993744</v>
      </c>
      <c r="E139" s="28" t="s">
        <v>25</v>
      </c>
      <c r="F139" s="28" t="s">
        <v>14</v>
      </c>
      <c r="G139" s="29" t="s">
        <v>56</v>
      </c>
      <c r="H139" s="30" t="str">
        <f>HYPERLINK("https://www.munzee.com/m/Flattermaus/3423/", "Flattermaus/3423")</f>
        <v>Flattermaus/3423</v>
      </c>
      <c r="J139" s="31">
        <f t="shared" si="1"/>
        <v>55</v>
      </c>
    </row>
    <row r="140">
      <c r="A140" s="28">
        <v>3.0</v>
      </c>
      <c r="B140" s="28">
        <v>3.0</v>
      </c>
      <c r="C140" s="28">
        <v>53.4973828353587</v>
      </c>
      <c r="D140" s="28">
        <v>9.99038182132415</v>
      </c>
      <c r="E140" s="28" t="s">
        <v>25</v>
      </c>
      <c r="F140" s="28" t="s">
        <v>14</v>
      </c>
      <c r="G140" s="29" t="s">
        <v>90</v>
      </c>
      <c r="H140" s="33" t="s">
        <v>91</v>
      </c>
      <c r="J140" s="31">
        <f t="shared" si="1"/>
        <v>1</v>
      </c>
    </row>
    <row r="141">
      <c r="A141" s="28">
        <v>3.0</v>
      </c>
      <c r="B141" s="28">
        <v>4.0</v>
      </c>
      <c r="C141" s="28">
        <v>53.4973703081832</v>
      </c>
      <c r="D141" s="28">
        <v>9.99062252263979</v>
      </c>
      <c r="E141" s="28" t="s">
        <v>25</v>
      </c>
      <c r="F141" s="28" t="s">
        <v>14</v>
      </c>
      <c r="G141" s="29" t="s">
        <v>30</v>
      </c>
      <c r="H141" s="30" t="str">
        <f>HYPERLINK("https://www.munzee.com/m/SachensucherHB/1390/", "SachensucherHB/1390")</f>
        <v>SachensucherHB/1390</v>
      </c>
      <c r="J141" s="31">
        <f t="shared" si="1"/>
        <v>62</v>
      </c>
    </row>
    <row r="142">
      <c r="A142" s="28">
        <v>3.0</v>
      </c>
      <c r="B142" s="28">
        <v>5.0</v>
      </c>
      <c r="C142" s="28">
        <v>53.4973577810077</v>
      </c>
      <c r="D142" s="28">
        <v>9.99086322388427</v>
      </c>
      <c r="E142" s="28" t="s">
        <v>25</v>
      </c>
      <c r="F142" s="28" t="s">
        <v>14</v>
      </c>
      <c r="G142" s="29" t="s">
        <v>56</v>
      </c>
      <c r="H142" s="30" t="str">
        <f>HYPERLINK("https://www.munzee.com/m/Flattermaus/3410/", "Flattermaus/3410")</f>
        <v>Flattermaus/3410</v>
      </c>
      <c r="J142" s="31">
        <f t="shared" si="1"/>
        <v>55</v>
      </c>
    </row>
    <row r="143">
      <c r="A143" s="28">
        <v>3.0</v>
      </c>
      <c r="B143" s="28">
        <v>6.0</v>
      </c>
      <c r="C143" s="28">
        <v>53.4973452538322</v>
      </c>
      <c r="D143" s="28">
        <v>9.9911039250577</v>
      </c>
      <c r="E143" s="28" t="s">
        <v>25</v>
      </c>
      <c r="F143" s="28" t="s">
        <v>14</v>
      </c>
      <c r="G143" s="29" t="s">
        <v>92</v>
      </c>
      <c r="H143" s="30" t="s">
        <v>93</v>
      </c>
      <c r="J143" s="31">
        <f t="shared" si="1"/>
        <v>9</v>
      </c>
    </row>
    <row r="144">
      <c r="A144" s="28">
        <v>3.0</v>
      </c>
      <c r="B144" s="28">
        <v>7.0</v>
      </c>
      <c r="C144" s="28">
        <v>53.4973327266568</v>
      </c>
      <c r="D144" s="28">
        <v>9.99134462615995</v>
      </c>
      <c r="E144" s="28" t="s">
        <v>25</v>
      </c>
      <c r="F144" s="28" t="s">
        <v>14</v>
      </c>
      <c r="G144" s="29" t="s">
        <v>94</v>
      </c>
      <c r="H144" s="33" t="s">
        <v>95</v>
      </c>
      <c r="J144" s="31">
        <f t="shared" si="1"/>
        <v>42</v>
      </c>
    </row>
    <row r="145">
      <c r="A145" s="28">
        <v>3.0</v>
      </c>
      <c r="B145" s="28">
        <v>8.0</v>
      </c>
      <c r="C145" s="28">
        <v>53.4973201994813</v>
      </c>
      <c r="D145" s="28">
        <v>9.99158532719116</v>
      </c>
      <c r="E145" s="28" t="s">
        <v>25</v>
      </c>
      <c r="F145" s="28" t="s">
        <v>14</v>
      </c>
      <c r="G145" s="29" t="s">
        <v>96</v>
      </c>
      <c r="H145" s="30" t="s">
        <v>97</v>
      </c>
      <c r="J145" s="31">
        <f t="shared" si="1"/>
        <v>1</v>
      </c>
    </row>
    <row r="146">
      <c r="A146" s="28">
        <v>3.0</v>
      </c>
      <c r="B146" s="28">
        <v>9.0</v>
      </c>
      <c r="C146" s="28">
        <v>53.4973076723058</v>
      </c>
      <c r="D146" s="28">
        <v>9.99182602815119</v>
      </c>
      <c r="E146" s="28" t="s">
        <v>25</v>
      </c>
      <c r="F146" s="28" t="s">
        <v>14</v>
      </c>
      <c r="G146" s="29" t="s">
        <v>92</v>
      </c>
      <c r="H146" s="30" t="s">
        <v>98</v>
      </c>
      <c r="J146" s="31">
        <f t="shared" si="1"/>
        <v>9</v>
      </c>
    </row>
    <row r="147">
      <c r="A147" s="28">
        <v>3.0</v>
      </c>
      <c r="B147" s="28">
        <v>10.0</v>
      </c>
      <c r="C147" s="28">
        <v>53.4972951451303</v>
      </c>
      <c r="D147" s="28">
        <v>9.99206672904006</v>
      </c>
      <c r="E147" s="28" t="s">
        <v>25</v>
      </c>
      <c r="F147" s="28" t="s">
        <v>14</v>
      </c>
      <c r="G147" s="29" t="s">
        <v>94</v>
      </c>
      <c r="H147" s="33" t="s">
        <v>99</v>
      </c>
      <c r="J147" s="31">
        <f t="shared" si="1"/>
        <v>42</v>
      </c>
    </row>
    <row r="148">
      <c r="A148" s="28">
        <v>3.0</v>
      </c>
      <c r="B148" s="28">
        <v>11.0</v>
      </c>
      <c r="C148" s="28">
        <v>53.4972826179548</v>
      </c>
      <c r="D148" s="28">
        <v>9.99230742985787</v>
      </c>
      <c r="E148" s="28" t="s">
        <v>25</v>
      </c>
      <c r="F148" s="28" t="s">
        <v>14</v>
      </c>
      <c r="G148" s="29" t="s">
        <v>100</v>
      </c>
      <c r="H148" s="30" t="s">
        <v>101</v>
      </c>
      <c r="J148" s="31">
        <f t="shared" si="1"/>
        <v>1</v>
      </c>
    </row>
    <row r="149">
      <c r="A149" s="28">
        <v>3.0</v>
      </c>
      <c r="B149" s="28">
        <v>12.0</v>
      </c>
      <c r="C149" s="28">
        <v>53.4972700907793</v>
      </c>
      <c r="D149" s="28">
        <v>9.99254813060451</v>
      </c>
      <c r="E149" s="28" t="s">
        <v>25</v>
      </c>
      <c r="F149" s="28" t="s">
        <v>14</v>
      </c>
      <c r="G149" s="29" t="s">
        <v>102</v>
      </c>
      <c r="H149" s="36" t="s">
        <v>103</v>
      </c>
      <c r="J149" s="31">
        <f t="shared" si="1"/>
        <v>8</v>
      </c>
    </row>
    <row r="150">
      <c r="A150" s="28">
        <v>3.0</v>
      </c>
      <c r="B150" s="28">
        <v>13.0</v>
      </c>
      <c r="C150" s="28">
        <v>53.4972575636038</v>
      </c>
      <c r="D150" s="28">
        <v>9.9927888312801</v>
      </c>
      <c r="E150" s="28" t="s">
        <v>25</v>
      </c>
      <c r="F150" s="28" t="s">
        <v>14</v>
      </c>
      <c r="G150" s="29" t="s">
        <v>104</v>
      </c>
      <c r="H150" s="29" t="s">
        <v>105</v>
      </c>
      <c r="J150" s="31">
        <f t="shared" si="1"/>
        <v>2</v>
      </c>
    </row>
    <row r="151">
      <c r="A151" s="28">
        <v>3.0</v>
      </c>
      <c r="B151" s="28">
        <v>14.0</v>
      </c>
      <c r="C151" s="28">
        <v>53.4972450364283</v>
      </c>
      <c r="D151" s="28">
        <v>9.99302953188453</v>
      </c>
      <c r="E151" s="28" t="s">
        <v>25</v>
      </c>
      <c r="F151" s="28" t="s">
        <v>14</v>
      </c>
      <c r="G151" s="29" t="s">
        <v>106</v>
      </c>
      <c r="H151" s="30" t="s">
        <v>107</v>
      </c>
      <c r="J151" s="31">
        <f t="shared" si="1"/>
        <v>9</v>
      </c>
    </row>
    <row r="152">
      <c r="A152" s="28">
        <v>3.0</v>
      </c>
      <c r="B152" s="28">
        <v>15.0</v>
      </c>
      <c r="C152" s="28">
        <v>53.4972325092528</v>
      </c>
      <c r="D152" s="28">
        <v>9.99327023241789</v>
      </c>
      <c r="E152" s="28" t="s">
        <v>25</v>
      </c>
      <c r="F152" s="28" t="s">
        <v>14</v>
      </c>
      <c r="G152" s="29" t="s">
        <v>94</v>
      </c>
      <c r="H152" s="33" t="s">
        <v>108</v>
      </c>
      <c r="J152" s="31">
        <f t="shared" si="1"/>
        <v>42</v>
      </c>
    </row>
    <row r="153">
      <c r="A153" s="28">
        <v>3.0</v>
      </c>
      <c r="B153" s="28">
        <v>16.0</v>
      </c>
      <c r="C153" s="28">
        <v>53.4972199820774</v>
      </c>
      <c r="D153" s="28">
        <v>9.99351093288009</v>
      </c>
      <c r="E153" s="28" t="s">
        <v>25</v>
      </c>
      <c r="F153" s="28" t="s">
        <v>14</v>
      </c>
      <c r="G153" s="29" t="s">
        <v>109</v>
      </c>
      <c r="H153" s="30" t="s">
        <v>110</v>
      </c>
      <c r="J153" s="31">
        <f t="shared" si="1"/>
        <v>2</v>
      </c>
    </row>
    <row r="154">
      <c r="A154" s="28">
        <v>3.0</v>
      </c>
      <c r="B154" s="28">
        <v>17.0</v>
      </c>
      <c r="C154" s="28">
        <v>53.4972074549019</v>
      </c>
      <c r="D154" s="28">
        <v>9.99375163327124</v>
      </c>
      <c r="E154" s="28" t="s">
        <v>25</v>
      </c>
      <c r="F154" s="28" t="s">
        <v>14</v>
      </c>
      <c r="G154" s="29" t="s">
        <v>111</v>
      </c>
      <c r="H154" s="30" t="s">
        <v>112</v>
      </c>
      <c r="J154" s="31">
        <f t="shared" si="1"/>
        <v>5</v>
      </c>
    </row>
    <row r="155">
      <c r="A155" s="28">
        <v>3.0</v>
      </c>
      <c r="B155" s="28">
        <v>18.0</v>
      </c>
      <c r="C155" s="28">
        <v>53.4971949277264</v>
      </c>
      <c r="D155" s="28">
        <v>9.99399233359122</v>
      </c>
      <c r="E155" s="28" t="s">
        <v>25</v>
      </c>
      <c r="F155" s="28" t="s">
        <v>14</v>
      </c>
      <c r="G155" s="29" t="s">
        <v>94</v>
      </c>
      <c r="H155" s="33" t="s">
        <v>113</v>
      </c>
      <c r="J155" s="31">
        <f t="shared" si="1"/>
        <v>42</v>
      </c>
    </row>
    <row r="156">
      <c r="A156" s="28">
        <v>3.0</v>
      </c>
      <c r="B156" s="28">
        <v>19.0</v>
      </c>
      <c r="C156" s="28">
        <v>53.4971824005509</v>
      </c>
      <c r="D156" s="28">
        <v>9.99423303384014</v>
      </c>
      <c r="E156" s="28" t="s">
        <v>25</v>
      </c>
      <c r="F156" s="28" t="s">
        <v>14</v>
      </c>
      <c r="G156" s="29" t="s">
        <v>30</v>
      </c>
      <c r="H156" s="30" t="str">
        <f>HYPERLINK("https://www.munzee.com/m/SachensucherHB/1394/", "SachensucherHB/1394")</f>
        <v>SachensucherHB/1394</v>
      </c>
      <c r="J156" s="31">
        <f t="shared" si="1"/>
        <v>62</v>
      </c>
    </row>
    <row r="157">
      <c r="A157" s="28">
        <v>3.0</v>
      </c>
      <c r="B157" s="28">
        <v>20.0</v>
      </c>
      <c r="C157" s="28">
        <v>53.4971698733754</v>
      </c>
      <c r="D157" s="28">
        <v>9.9944737340179</v>
      </c>
      <c r="E157" s="28" t="s">
        <v>25</v>
      </c>
      <c r="F157" s="28" t="s">
        <v>14</v>
      </c>
      <c r="G157" s="29" t="s">
        <v>106</v>
      </c>
      <c r="H157" s="30" t="s">
        <v>114</v>
      </c>
      <c r="J157" s="31">
        <f t="shared" si="1"/>
        <v>9</v>
      </c>
    </row>
    <row r="158">
      <c r="A158" s="28">
        <v>3.0</v>
      </c>
      <c r="B158" s="28">
        <v>21.0</v>
      </c>
      <c r="C158" s="28">
        <v>53.4971573461999</v>
      </c>
      <c r="D158" s="28">
        <v>9.9947144341246</v>
      </c>
      <c r="E158" s="28" t="s">
        <v>25</v>
      </c>
      <c r="F158" s="28" t="s">
        <v>14</v>
      </c>
      <c r="G158" s="29" t="s">
        <v>94</v>
      </c>
      <c r="H158" s="33" t="s">
        <v>115</v>
      </c>
      <c r="J158" s="31">
        <f t="shared" si="1"/>
        <v>42</v>
      </c>
    </row>
    <row r="159">
      <c r="A159" s="28">
        <v>3.0</v>
      </c>
      <c r="B159" s="28">
        <v>22.0</v>
      </c>
      <c r="C159" s="28">
        <v>53.4971448190244</v>
      </c>
      <c r="D159" s="28">
        <v>9.99495513416013</v>
      </c>
      <c r="E159" s="28" t="s">
        <v>25</v>
      </c>
      <c r="F159" s="28" t="s">
        <v>14</v>
      </c>
      <c r="G159" s="29" t="s">
        <v>30</v>
      </c>
      <c r="H159" s="30" t="str">
        <f>HYPERLINK("https://www.munzee.com/m/SachensucherHB/1395/", "SachensucherHB/1395")</f>
        <v>SachensucherHB/1395</v>
      </c>
      <c r="J159" s="31">
        <f t="shared" si="1"/>
        <v>62</v>
      </c>
    </row>
    <row r="160">
      <c r="A160" s="28">
        <v>3.0</v>
      </c>
      <c r="B160" s="28">
        <v>23.0</v>
      </c>
      <c r="C160" s="28">
        <v>53.497132291849</v>
      </c>
      <c r="D160" s="28">
        <v>9.99519583412461</v>
      </c>
      <c r="E160" s="28" t="s">
        <v>25</v>
      </c>
      <c r="F160" s="28" t="s">
        <v>14</v>
      </c>
      <c r="G160" s="29" t="s">
        <v>111</v>
      </c>
      <c r="H160" s="30" t="s">
        <v>116</v>
      </c>
      <c r="J160" s="31">
        <f t="shared" si="1"/>
        <v>5</v>
      </c>
    </row>
    <row r="161">
      <c r="A161" s="28">
        <v>3.0</v>
      </c>
      <c r="B161" s="28">
        <v>24.0</v>
      </c>
      <c r="C161" s="28">
        <v>53.4971197646735</v>
      </c>
      <c r="D161" s="28">
        <v>9.99543653401792</v>
      </c>
      <c r="E161" s="28" t="s">
        <v>25</v>
      </c>
      <c r="F161" s="28" t="s">
        <v>14</v>
      </c>
      <c r="G161" s="29" t="s">
        <v>94</v>
      </c>
      <c r="H161" s="33" t="s">
        <v>117</v>
      </c>
      <c r="J161" s="31">
        <f t="shared" si="1"/>
        <v>42</v>
      </c>
    </row>
    <row r="162">
      <c r="A162" s="28">
        <v>3.0</v>
      </c>
      <c r="B162" s="28">
        <v>25.0</v>
      </c>
      <c r="C162" s="28">
        <v>53.497107237498</v>
      </c>
      <c r="D162" s="28">
        <v>9.99567723384018</v>
      </c>
      <c r="E162" s="28" t="s">
        <v>25</v>
      </c>
      <c r="F162" s="28" t="s">
        <v>14</v>
      </c>
      <c r="G162" s="29" t="s">
        <v>118</v>
      </c>
      <c r="H162" s="36" t="s">
        <v>119</v>
      </c>
      <c r="J162" s="31">
        <f t="shared" si="1"/>
        <v>13</v>
      </c>
    </row>
    <row r="163">
      <c r="A163" s="28">
        <v>3.0</v>
      </c>
      <c r="B163" s="28">
        <v>26.0</v>
      </c>
      <c r="C163" s="28">
        <v>53.4970947103225</v>
      </c>
      <c r="D163" s="28">
        <v>9.99591793359127</v>
      </c>
      <c r="E163" s="28" t="s">
        <v>25</v>
      </c>
      <c r="F163" s="28" t="s">
        <v>14</v>
      </c>
      <c r="G163" s="29" t="s">
        <v>120</v>
      </c>
      <c r="H163" s="30" t="s">
        <v>121</v>
      </c>
      <c r="J163" s="31">
        <f t="shared" si="1"/>
        <v>4</v>
      </c>
    </row>
    <row r="164">
      <c r="A164" s="28">
        <v>3.0</v>
      </c>
      <c r="B164" s="28">
        <v>27.0</v>
      </c>
      <c r="C164" s="28">
        <v>53.497082183147</v>
      </c>
      <c r="D164" s="28">
        <v>9.9961586332713</v>
      </c>
      <c r="E164" s="28" t="s">
        <v>25</v>
      </c>
      <c r="F164" s="28" t="s">
        <v>14</v>
      </c>
      <c r="G164" s="29" t="s">
        <v>94</v>
      </c>
      <c r="H164" s="33" t="s">
        <v>122</v>
      </c>
      <c r="J164" s="31">
        <f t="shared" si="1"/>
        <v>42</v>
      </c>
    </row>
    <row r="165">
      <c r="A165" s="28">
        <v>3.0</v>
      </c>
      <c r="B165" s="28">
        <v>28.0</v>
      </c>
      <c r="C165" s="28">
        <v>53.4970696559715</v>
      </c>
      <c r="D165" s="28">
        <v>9.99639933288017</v>
      </c>
      <c r="E165" s="28" t="s">
        <v>25</v>
      </c>
      <c r="F165" s="28" t="s">
        <v>14</v>
      </c>
      <c r="G165" s="29" t="s">
        <v>123</v>
      </c>
      <c r="H165" s="30" t="s">
        <v>124</v>
      </c>
      <c r="J165" s="31">
        <f t="shared" si="1"/>
        <v>5</v>
      </c>
    </row>
    <row r="166">
      <c r="A166" s="28">
        <v>3.0</v>
      </c>
      <c r="B166" s="28">
        <v>29.0</v>
      </c>
      <c r="C166" s="28">
        <v>53.497057128796</v>
      </c>
      <c r="D166" s="28">
        <v>9.99664003241798</v>
      </c>
      <c r="E166" s="28" t="s">
        <v>25</v>
      </c>
      <c r="F166" s="28" t="s">
        <v>14</v>
      </c>
      <c r="G166" s="29" t="s">
        <v>125</v>
      </c>
      <c r="H166" s="30" t="s">
        <v>126</v>
      </c>
      <c r="J166" s="31">
        <f t="shared" si="1"/>
        <v>5</v>
      </c>
    </row>
    <row r="167">
      <c r="A167" s="28">
        <v>3.0</v>
      </c>
      <c r="B167" s="28">
        <v>30.0</v>
      </c>
      <c r="C167" s="28">
        <v>53.4970446016205</v>
      </c>
      <c r="D167" s="28">
        <v>9.99688073188463</v>
      </c>
      <c r="E167" s="28" t="s">
        <v>25</v>
      </c>
      <c r="F167" s="28" t="s">
        <v>14</v>
      </c>
      <c r="G167" s="29" t="s">
        <v>94</v>
      </c>
      <c r="H167" s="33" t="s">
        <v>127</v>
      </c>
      <c r="J167" s="31">
        <f t="shared" si="1"/>
        <v>42</v>
      </c>
    </row>
    <row r="168">
      <c r="A168" s="28">
        <v>3.0</v>
      </c>
      <c r="B168" s="28">
        <v>31.0</v>
      </c>
      <c r="C168" s="28">
        <v>53.4970320744451</v>
      </c>
      <c r="D168" s="28">
        <v>9.99712143128022</v>
      </c>
      <c r="E168" s="28" t="s">
        <v>25</v>
      </c>
      <c r="F168" s="28" t="s">
        <v>14</v>
      </c>
      <c r="G168" s="29" t="s">
        <v>123</v>
      </c>
      <c r="H168" s="30" t="s">
        <v>128</v>
      </c>
      <c r="J168" s="31">
        <f t="shared" si="1"/>
        <v>5</v>
      </c>
    </row>
    <row r="169">
      <c r="A169" s="28">
        <v>3.0</v>
      </c>
      <c r="B169" s="28">
        <v>32.0</v>
      </c>
      <c r="C169" s="28">
        <v>53.4970195472696</v>
      </c>
      <c r="D169" s="28">
        <v>9.99736213060464</v>
      </c>
      <c r="E169" s="28" t="s">
        <v>25</v>
      </c>
      <c r="F169" s="28" t="s">
        <v>14</v>
      </c>
      <c r="G169" s="29" t="s">
        <v>125</v>
      </c>
      <c r="H169" s="30" t="s">
        <v>129</v>
      </c>
      <c r="J169" s="31">
        <f t="shared" si="1"/>
        <v>5</v>
      </c>
    </row>
    <row r="170">
      <c r="A170" s="28">
        <v>3.0</v>
      </c>
      <c r="B170" s="28">
        <v>33.0</v>
      </c>
      <c r="C170" s="28">
        <v>53.4970070200941</v>
      </c>
      <c r="D170" s="28">
        <v>9.99760282985789</v>
      </c>
      <c r="E170" s="28" t="s">
        <v>25</v>
      </c>
      <c r="F170" s="28" t="s">
        <v>14</v>
      </c>
      <c r="G170" s="37" t="s">
        <v>130</v>
      </c>
      <c r="H170" s="35" t="s">
        <v>131</v>
      </c>
      <c r="J170" s="31">
        <f t="shared" si="1"/>
        <v>4</v>
      </c>
    </row>
    <row r="171">
      <c r="A171" s="28">
        <v>3.0</v>
      </c>
      <c r="B171" s="28">
        <v>34.0</v>
      </c>
      <c r="C171" s="28">
        <v>53.4969944929186</v>
      </c>
      <c r="D171" s="28">
        <v>9.99784352904009</v>
      </c>
      <c r="E171" s="28" t="s">
        <v>25</v>
      </c>
      <c r="F171" s="28" t="s">
        <v>14</v>
      </c>
      <c r="G171" s="29" t="s">
        <v>132</v>
      </c>
      <c r="H171" s="30" t="s">
        <v>133</v>
      </c>
      <c r="J171" s="31">
        <f t="shared" si="1"/>
        <v>4</v>
      </c>
    </row>
    <row r="172">
      <c r="A172" s="28">
        <v>3.0</v>
      </c>
      <c r="B172" s="28">
        <v>35.0</v>
      </c>
      <c r="C172" s="28">
        <v>53.4969819657431</v>
      </c>
      <c r="D172" s="28">
        <v>9.99808422815112</v>
      </c>
      <c r="E172" s="28" t="s">
        <v>25</v>
      </c>
      <c r="F172" s="28" t="s">
        <v>14</v>
      </c>
      <c r="G172" s="29" t="s">
        <v>134</v>
      </c>
      <c r="H172" s="30" t="s">
        <v>135</v>
      </c>
      <c r="J172" s="31">
        <f t="shared" si="1"/>
        <v>5</v>
      </c>
    </row>
    <row r="173">
      <c r="A173" s="28">
        <v>3.0</v>
      </c>
      <c r="B173" s="28">
        <v>36.0</v>
      </c>
      <c r="C173" s="28">
        <v>53.4969694385676</v>
      </c>
      <c r="D173" s="28">
        <v>9.9983249271911</v>
      </c>
      <c r="E173" s="28" t="s">
        <v>25</v>
      </c>
      <c r="F173" s="28" t="s">
        <v>14</v>
      </c>
      <c r="G173" s="29" t="s">
        <v>109</v>
      </c>
      <c r="H173" s="30" t="s">
        <v>136</v>
      </c>
      <c r="J173" s="31">
        <f t="shared" si="1"/>
        <v>2</v>
      </c>
    </row>
    <row r="174">
      <c r="A174" s="28">
        <v>3.0</v>
      </c>
      <c r="B174" s="28">
        <v>37.0</v>
      </c>
      <c r="C174" s="28">
        <v>53.4969569113921</v>
      </c>
      <c r="D174" s="28">
        <v>9.99856562615991</v>
      </c>
      <c r="E174" s="28" t="s">
        <v>25</v>
      </c>
      <c r="F174" s="28" t="s">
        <v>14</v>
      </c>
      <c r="G174" s="29" t="s">
        <v>132</v>
      </c>
      <c r="H174" s="36" t="s">
        <v>137</v>
      </c>
      <c r="J174" s="31">
        <f t="shared" si="1"/>
        <v>4</v>
      </c>
    </row>
    <row r="175">
      <c r="A175" s="28">
        <v>3.0</v>
      </c>
      <c r="B175" s="28">
        <v>38.0</v>
      </c>
      <c r="C175" s="28">
        <v>53.4969443842167</v>
      </c>
      <c r="D175" s="28">
        <v>9.99880632505767</v>
      </c>
      <c r="E175" s="28" t="s">
        <v>25</v>
      </c>
      <c r="F175" s="28" t="s">
        <v>14</v>
      </c>
      <c r="G175" s="29" t="s">
        <v>138</v>
      </c>
      <c r="H175" s="36" t="s">
        <v>139</v>
      </c>
      <c r="J175" s="31">
        <f t="shared" si="1"/>
        <v>4</v>
      </c>
    </row>
    <row r="176">
      <c r="A176" s="28">
        <v>3.0</v>
      </c>
      <c r="B176" s="28">
        <v>39.0</v>
      </c>
      <c r="C176" s="28">
        <v>53.4969318570412</v>
      </c>
      <c r="D176" s="28">
        <v>9.99904702388425</v>
      </c>
      <c r="E176" s="28" t="s">
        <v>25</v>
      </c>
      <c r="F176" s="28" t="s">
        <v>14</v>
      </c>
      <c r="G176" s="29" t="s">
        <v>134</v>
      </c>
      <c r="H176" s="30" t="s">
        <v>140</v>
      </c>
      <c r="J176" s="31">
        <f t="shared" si="1"/>
        <v>5</v>
      </c>
    </row>
    <row r="177">
      <c r="A177" s="28">
        <v>3.0</v>
      </c>
      <c r="B177" s="28">
        <v>40.0</v>
      </c>
      <c r="C177" s="28">
        <v>53.4969193298657</v>
      </c>
      <c r="D177" s="28">
        <v>9.99928772263979</v>
      </c>
      <c r="E177" s="28" t="s">
        <v>25</v>
      </c>
      <c r="F177" s="28" t="s">
        <v>14</v>
      </c>
      <c r="G177" s="29" t="s">
        <v>141</v>
      </c>
      <c r="H177" s="30" t="s">
        <v>142</v>
      </c>
      <c r="J177" s="31">
        <f t="shared" si="1"/>
        <v>51</v>
      </c>
    </row>
    <row r="178">
      <c r="A178" s="28">
        <v>3.0</v>
      </c>
      <c r="B178" s="28">
        <v>41.0</v>
      </c>
      <c r="C178" s="28">
        <v>53.4969068026902</v>
      </c>
      <c r="D178" s="28">
        <v>9.99952842132415</v>
      </c>
      <c r="E178" s="28" t="s">
        <v>25</v>
      </c>
      <c r="F178" s="28" t="s">
        <v>14</v>
      </c>
      <c r="G178" s="29" t="s">
        <v>143</v>
      </c>
      <c r="H178" s="30" t="s">
        <v>144</v>
      </c>
      <c r="J178" s="31">
        <f t="shared" si="1"/>
        <v>10</v>
      </c>
    </row>
    <row r="179">
      <c r="A179" s="28">
        <v>3.0</v>
      </c>
      <c r="B179" s="28">
        <v>42.0</v>
      </c>
      <c r="C179" s="28">
        <v>53.4968942755147</v>
      </c>
      <c r="D179" s="28">
        <v>9.99976911993746</v>
      </c>
      <c r="E179" s="28" t="s">
        <v>25</v>
      </c>
      <c r="F179" s="28" t="s">
        <v>14</v>
      </c>
      <c r="G179" s="29" t="s">
        <v>145</v>
      </c>
      <c r="H179" s="38"/>
      <c r="J179" s="31">
        <f t="shared" si="1"/>
        <v>40</v>
      </c>
    </row>
    <row r="180">
      <c r="A180" s="28">
        <v>3.0</v>
      </c>
      <c r="B180" s="28">
        <v>43.0</v>
      </c>
      <c r="C180" s="28">
        <v>53.4968817483393</v>
      </c>
      <c r="D180" s="28">
        <v>10.0000098184796</v>
      </c>
      <c r="E180" s="28" t="s">
        <v>25</v>
      </c>
      <c r="F180" s="28" t="s">
        <v>14</v>
      </c>
      <c r="G180" s="29" t="s">
        <v>146</v>
      </c>
      <c r="H180" s="30" t="s">
        <v>147</v>
      </c>
      <c r="J180" s="31">
        <f t="shared" si="1"/>
        <v>4</v>
      </c>
    </row>
    <row r="181">
      <c r="A181" s="28">
        <v>3.0</v>
      </c>
      <c r="B181" s="28">
        <v>44.0</v>
      </c>
      <c r="C181" s="28">
        <v>53.4968692211638</v>
      </c>
      <c r="D181" s="28">
        <v>10.0002505169507</v>
      </c>
      <c r="E181" s="28" t="s">
        <v>25</v>
      </c>
      <c r="F181" s="28" t="s">
        <v>14</v>
      </c>
      <c r="G181" s="29" t="s">
        <v>143</v>
      </c>
      <c r="H181" s="30" t="s">
        <v>148</v>
      </c>
      <c r="J181" s="31">
        <f t="shared" si="1"/>
        <v>10</v>
      </c>
    </row>
    <row r="182">
      <c r="A182" s="28">
        <v>3.0</v>
      </c>
      <c r="B182" s="28">
        <v>45.0</v>
      </c>
      <c r="C182" s="28">
        <v>53.4968566939883</v>
      </c>
      <c r="D182" s="28">
        <v>10.0004912153506</v>
      </c>
      <c r="E182" s="28" t="s">
        <v>25</v>
      </c>
      <c r="F182" s="28" t="s">
        <v>14</v>
      </c>
      <c r="G182" s="29" t="s">
        <v>149</v>
      </c>
      <c r="H182" s="30" t="s">
        <v>150</v>
      </c>
      <c r="J182" s="31">
        <f t="shared" si="1"/>
        <v>9</v>
      </c>
    </row>
    <row r="183">
      <c r="A183" s="28">
        <v>3.0</v>
      </c>
      <c r="B183" s="28">
        <v>46.0</v>
      </c>
      <c r="C183" s="28">
        <v>53.4968441668128</v>
      </c>
      <c r="D183" s="28">
        <v>10.0007319136794</v>
      </c>
      <c r="E183" s="28" t="s">
        <v>25</v>
      </c>
      <c r="F183" s="28" t="s">
        <v>14</v>
      </c>
      <c r="G183" s="29" t="s">
        <v>145</v>
      </c>
      <c r="H183" s="30" t="s">
        <v>151</v>
      </c>
      <c r="J183" s="31">
        <f t="shared" si="1"/>
        <v>40</v>
      </c>
    </row>
    <row r="184">
      <c r="A184" s="28">
        <v>3.0</v>
      </c>
      <c r="B184" s="28">
        <v>47.0</v>
      </c>
      <c r="C184" s="28">
        <v>53.4968316396374</v>
      </c>
      <c r="D184" s="28">
        <v>10.0009726119371</v>
      </c>
      <c r="E184" s="28" t="s">
        <v>25</v>
      </c>
      <c r="F184" s="28" t="s">
        <v>14</v>
      </c>
      <c r="G184" s="29" t="s">
        <v>143</v>
      </c>
      <c r="H184" s="30" t="s">
        <v>152</v>
      </c>
      <c r="J184" s="31">
        <f t="shared" si="1"/>
        <v>10</v>
      </c>
    </row>
    <row r="185">
      <c r="A185" s="28">
        <v>3.0</v>
      </c>
      <c r="B185" s="28">
        <v>48.0</v>
      </c>
      <c r="C185" s="28">
        <v>53.4968191124619</v>
      </c>
      <c r="D185" s="28">
        <v>10.0012133101238</v>
      </c>
      <c r="E185" s="28" t="s">
        <v>25</v>
      </c>
      <c r="F185" s="28" t="s">
        <v>14</v>
      </c>
      <c r="G185" s="29" t="s">
        <v>149</v>
      </c>
      <c r="H185" s="30" t="s">
        <v>153</v>
      </c>
      <c r="J185" s="31">
        <f t="shared" si="1"/>
        <v>9</v>
      </c>
    </row>
    <row r="186">
      <c r="A186" s="28">
        <v>3.0</v>
      </c>
      <c r="B186" s="28">
        <v>49.0</v>
      </c>
      <c r="C186" s="28">
        <v>53.4968065852864</v>
      </c>
      <c r="D186" s="28">
        <v>10.0014540082393</v>
      </c>
      <c r="E186" s="28" t="s">
        <v>25</v>
      </c>
      <c r="F186" s="28" t="s">
        <v>14</v>
      </c>
      <c r="G186" s="29" t="s">
        <v>145</v>
      </c>
      <c r="H186" s="30" t="s">
        <v>154</v>
      </c>
      <c r="J186" s="31">
        <f t="shared" si="1"/>
        <v>40</v>
      </c>
    </row>
    <row r="187">
      <c r="A187" s="28">
        <v>3.0</v>
      </c>
      <c r="B187" s="28">
        <v>50.0</v>
      </c>
      <c r="C187" s="28">
        <v>53.4967940581109</v>
      </c>
      <c r="D187" s="28">
        <v>10.0016947062837</v>
      </c>
      <c r="E187" s="28" t="s">
        <v>25</v>
      </c>
      <c r="F187" s="28" t="s">
        <v>14</v>
      </c>
      <c r="G187" s="29" t="s">
        <v>143</v>
      </c>
      <c r="H187" s="30" t="s">
        <v>155</v>
      </c>
      <c r="J187" s="31">
        <f t="shared" si="1"/>
        <v>10</v>
      </c>
    </row>
    <row r="188">
      <c r="A188" s="28">
        <v>3.0</v>
      </c>
      <c r="B188" s="28">
        <v>51.0</v>
      </c>
      <c r="C188" s="28">
        <v>53.4967815309354</v>
      </c>
      <c r="D188" s="28">
        <v>10.0019354042569</v>
      </c>
      <c r="E188" s="28" t="s">
        <v>25</v>
      </c>
      <c r="F188" s="28" t="s">
        <v>14</v>
      </c>
      <c r="G188" s="29" t="s">
        <v>149</v>
      </c>
      <c r="H188" s="30" t="s">
        <v>156</v>
      </c>
      <c r="J188" s="31">
        <f t="shared" si="1"/>
        <v>9</v>
      </c>
    </row>
    <row r="189">
      <c r="A189" s="28">
        <v>3.0</v>
      </c>
      <c r="B189" s="28">
        <v>52.0</v>
      </c>
      <c r="C189" s="28">
        <v>53.4967690037599</v>
      </c>
      <c r="D189" s="28">
        <v>10.0021761021591</v>
      </c>
      <c r="E189" s="28" t="s">
        <v>25</v>
      </c>
      <c r="F189" s="28" t="s">
        <v>14</v>
      </c>
      <c r="G189" s="29" t="s">
        <v>145</v>
      </c>
      <c r="H189" s="30" t="s">
        <v>157</v>
      </c>
      <c r="J189" s="31">
        <f t="shared" si="1"/>
        <v>40</v>
      </c>
    </row>
    <row r="190">
      <c r="A190" s="28">
        <v>3.0</v>
      </c>
      <c r="B190" s="28">
        <v>53.0</v>
      </c>
      <c r="C190" s="28">
        <v>53.4967564765845</v>
      </c>
      <c r="D190" s="28">
        <v>10.0024167999902</v>
      </c>
      <c r="E190" s="28" t="s">
        <v>25</v>
      </c>
      <c r="F190" s="28" t="s">
        <v>14</v>
      </c>
      <c r="G190" s="29" t="s">
        <v>143</v>
      </c>
      <c r="H190" s="30" t="s">
        <v>158</v>
      </c>
      <c r="J190" s="31">
        <f t="shared" si="1"/>
        <v>10</v>
      </c>
    </row>
    <row r="191">
      <c r="A191" s="28">
        <v>3.0</v>
      </c>
      <c r="B191" s="28">
        <v>54.0</v>
      </c>
      <c r="C191" s="28">
        <v>53.496743949409</v>
      </c>
      <c r="D191" s="28">
        <v>10.0026574977501</v>
      </c>
      <c r="E191" s="28" t="s">
        <v>25</v>
      </c>
      <c r="F191" s="28" t="s">
        <v>14</v>
      </c>
      <c r="G191" s="29" t="s">
        <v>149</v>
      </c>
      <c r="H191" s="30" t="s">
        <v>159</v>
      </c>
      <c r="J191" s="31">
        <f t="shared" si="1"/>
        <v>9</v>
      </c>
    </row>
    <row r="192">
      <c r="A192" s="28">
        <v>3.0</v>
      </c>
      <c r="B192" s="28">
        <v>55.0</v>
      </c>
      <c r="C192" s="28">
        <v>53.4967314222335</v>
      </c>
      <c r="D192" s="28">
        <v>10.002898195439</v>
      </c>
      <c r="E192" s="28" t="s">
        <v>25</v>
      </c>
      <c r="F192" s="28" t="s">
        <v>14</v>
      </c>
      <c r="G192" s="29" t="s">
        <v>145</v>
      </c>
      <c r="H192" s="30" t="s">
        <v>160</v>
      </c>
      <c r="J192" s="31">
        <f t="shared" si="1"/>
        <v>40</v>
      </c>
    </row>
    <row r="193">
      <c r="A193" s="28">
        <v>3.0</v>
      </c>
      <c r="B193" s="28">
        <v>56.0</v>
      </c>
      <c r="C193" s="28">
        <v>53.496718895058</v>
      </c>
      <c r="D193" s="28">
        <v>10.0031388930567</v>
      </c>
      <c r="E193" s="28" t="s">
        <v>25</v>
      </c>
      <c r="F193" s="28" t="s">
        <v>14</v>
      </c>
      <c r="G193" s="29" t="s">
        <v>66</v>
      </c>
      <c r="H193" s="30" t="s">
        <v>161</v>
      </c>
      <c r="J193" s="31">
        <f t="shared" si="1"/>
        <v>6</v>
      </c>
    </row>
    <row r="194">
      <c r="A194" s="28">
        <v>3.0</v>
      </c>
      <c r="B194" s="28">
        <v>57.0</v>
      </c>
      <c r="C194" s="28">
        <v>53.4967063678825</v>
      </c>
      <c r="D194" s="28">
        <v>10.0033795906033</v>
      </c>
      <c r="E194" s="28" t="s">
        <v>25</v>
      </c>
      <c r="F194" s="28" t="s">
        <v>14</v>
      </c>
      <c r="G194" s="29" t="s">
        <v>149</v>
      </c>
      <c r="H194" s="30" t="s">
        <v>162</v>
      </c>
      <c r="J194" s="31">
        <f t="shared" si="1"/>
        <v>9</v>
      </c>
    </row>
    <row r="195">
      <c r="A195" s="28">
        <v>3.0</v>
      </c>
      <c r="B195" s="28">
        <v>58.0</v>
      </c>
      <c r="C195" s="28">
        <v>53.4966938407071</v>
      </c>
      <c r="D195" s="28">
        <v>10.0036202880788</v>
      </c>
      <c r="E195" s="28" t="s">
        <v>25</v>
      </c>
      <c r="F195" s="28" t="s">
        <v>14</v>
      </c>
      <c r="G195" s="29" t="s">
        <v>145</v>
      </c>
      <c r="H195" s="30" t="s">
        <v>163</v>
      </c>
      <c r="J195" s="31">
        <f t="shared" si="1"/>
        <v>40</v>
      </c>
    </row>
    <row r="196">
      <c r="A196" s="28">
        <v>3.0</v>
      </c>
      <c r="B196" s="28">
        <v>59.0</v>
      </c>
      <c r="C196" s="28">
        <v>53.4966813135316</v>
      </c>
      <c r="D196" s="28">
        <v>10.0038609854832</v>
      </c>
      <c r="E196" s="28" t="s">
        <v>25</v>
      </c>
      <c r="F196" s="28" t="s">
        <v>14</v>
      </c>
      <c r="G196" s="29" t="s">
        <v>164</v>
      </c>
      <c r="H196" s="35" t="s">
        <v>165</v>
      </c>
      <c r="J196" s="31">
        <f t="shared" si="1"/>
        <v>133</v>
      </c>
    </row>
    <row r="197">
      <c r="A197" s="28">
        <v>3.0</v>
      </c>
      <c r="B197" s="28">
        <v>60.0</v>
      </c>
      <c r="C197" s="28">
        <v>53.4966687863561</v>
      </c>
      <c r="D197" s="28">
        <v>10.0041016828165</v>
      </c>
      <c r="E197" s="28" t="s">
        <v>25</v>
      </c>
      <c r="F197" s="28" t="s">
        <v>14</v>
      </c>
      <c r="G197" s="29" t="s">
        <v>166</v>
      </c>
      <c r="H197" s="30" t="str">
        <f>HYPERLINK("https://www.munzee.com/m/rabe85/2641/", "rabe85/2641")</f>
        <v>rabe85/2641</v>
      </c>
      <c r="J197" s="31">
        <f t="shared" si="1"/>
        <v>1</v>
      </c>
    </row>
    <row r="198">
      <c r="A198" s="28">
        <v>4.0</v>
      </c>
      <c r="B198" s="28">
        <v>1.0</v>
      </c>
      <c r="C198" s="28">
        <v>53.4972647062001</v>
      </c>
      <c r="D198" s="28">
        <v>9.98987935989566</v>
      </c>
      <c r="E198" s="28" t="s">
        <v>25</v>
      </c>
      <c r="F198" s="28" t="s">
        <v>14</v>
      </c>
      <c r="G198" s="29" t="s">
        <v>145</v>
      </c>
      <c r="H198" s="30" t="s">
        <v>167</v>
      </c>
      <c r="J198" s="31">
        <f t="shared" si="1"/>
        <v>40</v>
      </c>
    </row>
    <row r="199">
      <c r="A199" s="28">
        <v>4.0</v>
      </c>
      <c r="B199" s="28">
        <v>2.0</v>
      </c>
      <c r="C199" s="28">
        <v>53.4972521790246</v>
      </c>
      <c r="D199" s="28">
        <v>9.99012006054067</v>
      </c>
      <c r="E199" s="28" t="s">
        <v>15</v>
      </c>
      <c r="F199" s="28" t="s">
        <v>168</v>
      </c>
      <c r="G199" s="29" t="s">
        <v>26</v>
      </c>
      <c r="H199" s="30" t="str">
        <f>HYPERLINK("https://www.munzee.com/m/Elli/6173/", "Elli/6173")</f>
        <v>Elli/6173</v>
      </c>
      <c r="J199" s="31">
        <f t="shared" si="1"/>
        <v>143</v>
      </c>
    </row>
    <row r="200">
      <c r="A200" s="28">
        <v>4.0</v>
      </c>
      <c r="B200" s="28">
        <v>3.0</v>
      </c>
      <c r="C200" s="28">
        <v>53.4972396518491</v>
      </c>
      <c r="D200" s="28">
        <v>9.99036076111451</v>
      </c>
      <c r="E200" s="28" t="s">
        <v>15</v>
      </c>
      <c r="F200" s="28" t="s">
        <v>168</v>
      </c>
      <c r="G200" s="29" t="s">
        <v>27</v>
      </c>
      <c r="H200" s="30" t="str">
        <f>HYPERLINK("https://www.munzee.com/m/DarkHaribo/12874", "DarkHaribo/12874")</f>
        <v>DarkHaribo/12874</v>
      </c>
      <c r="J200" s="31">
        <f t="shared" si="1"/>
        <v>103</v>
      </c>
    </row>
    <row r="201">
      <c r="A201" s="28">
        <v>4.0</v>
      </c>
      <c r="B201" s="28">
        <v>4.0</v>
      </c>
      <c r="C201" s="28">
        <v>53.4972271246736</v>
      </c>
      <c r="D201" s="28">
        <v>9.9906014616173</v>
      </c>
      <c r="E201" s="28" t="s">
        <v>15</v>
      </c>
      <c r="F201" s="28" t="s">
        <v>168</v>
      </c>
      <c r="G201" s="29" t="s">
        <v>118</v>
      </c>
      <c r="H201" s="30" t="str">
        <f>HYPERLINK("https://www.munzee.com/m/Sjael/1457/", "Sjael/1457")</f>
        <v>Sjael/1457</v>
      </c>
      <c r="J201" s="31">
        <f t="shared" si="1"/>
        <v>13</v>
      </c>
    </row>
    <row r="202">
      <c r="A202" s="28">
        <v>4.0</v>
      </c>
      <c r="B202" s="28">
        <v>5.0</v>
      </c>
      <c r="C202" s="28">
        <v>53.4972145974981</v>
      </c>
      <c r="D202" s="28">
        <v>9.99084216204892</v>
      </c>
      <c r="E202" s="28" t="s">
        <v>15</v>
      </c>
      <c r="F202" s="28" t="s">
        <v>168</v>
      </c>
      <c r="G202" s="29" t="s">
        <v>26</v>
      </c>
      <c r="H202" s="30" t="str">
        <f>HYPERLINK("https://www.munzee.com/m/Elli/6210/", "Elli/6210")</f>
        <v>Elli/6210</v>
      </c>
      <c r="J202" s="31">
        <f t="shared" si="1"/>
        <v>143</v>
      </c>
    </row>
    <row r="203">
      <c r="A203" s="28">
        <v>4.0</v>
      </c>
      <c r="B203" s="28">
        <v>6.0</v>
      </c>
      <c r="C203" s="28">
        <v>53.4972020703226</v>
      </c>
      <c r="D203" s="28">
        <v>9.99108286240948</v>
      </c>
      <c r="E203" s="28" t="s">
        <v>15</v>
      </c>
      <c r="F203" s="28" t="s">
        <v>168</v>
      </c>
      <c r="G203" s="29" t="s">
        <v>27</v>
      </c>
      <c r="H203" s="30" t="str">
        <f>HYPERLINK("https://www.munzee.com/m/DarkHaribo/12869", "DarkHaribo/12869")</f>
        <v>DarkHaribo/12869</v>
      </c>
      <c r="J203" s="31">
        <f t="shared" si="1"/>
        <v>103</v>
      </c>
    </row>
    <row r="204">
      <c r="A204" s="28">
        <v>4.0</v>
      </c>
      <c r="B204" s="28">
        <v>7.0</v>
      </c>
      <c r="C204" s="28">
        <v>53.4971895431472</v>
      </c>
      <c r="D204" s="28">
        <v>9.99132356269888</v>
      </c>
      <c r="E204" s="28" t="s">
        <v>15</v>
      </c>
      <c r="F204" s="28" t="s">
        <v>168</v>
      </c>
      <c r="G204" s="29" t="s">
        <v>118</v>
      </c>
      <c r="H204" s="30" t="str">
        <f>HYPERLINK("https://www.munzee.com/m/Sjael/1469/", "Sjael/1469")</f>
        <v>Sjael/1469</v>
      </c>
      <c r="J204" s="31">
        <f t="shared" si="1"/>
        <v>13</v>
      </c>
    </row>
    <row r="205">
      <c r="A205" s="28">
        <v>4.0</v>
      </c>
      <c r="B205" s="28">
        <v>8.0</v>
      </c>
      <c r="C205" s="28">
        <v>53.4971770159717</v>
      </c>
      <c r="D205" s="28">
        <v>9.99156426291722</v>
      </c>
      <c r="E205" s="28" t="s">
        <v>15</v>
      </c>
      <c r="F205" s="28" t="s">
        <v>168</v>
      </c>
      <c r="G205" s="29" t="s">
        <v>26</v>
      </c>
      <c r="H205" s="30" t="str">
        <f>HYPERLINK("https://www.munzee.com/m/Elli/6208/", "Elli/6208")</f>
        <v>Elli/6208</v>
      </c>
      <c r="J205" s="31">
        <f t="shared" si="1"/>
        <v>143</v>
      </c>
    </row>
    <row r="206">
      <c r="A206" s="28">
        <v>4.0</v>
      </c>
      <c r="B206" s="28">
        <v>9.0</v>
      </c>
      <c r="C206" s="28">
        <v>53.4971644887962</v>
      </c>
      <c r="D206" s="28">
        <v>9.99180496306439</v>
      </c>
      <c r="E206" s="28" t="s">
        <v>15</v>
      </c>
      <c r="F206" s="28" t="s">
        <v>168</v>
      </c>
      <c r="G206" s="29" t="s">
        <v>27</v>
      </c>
      <c r="H206" s="30" t="str">
        <f>HYPERLINK("https://www.munzee.com/m/DarkHaribo/12868", "DarkHaribo/12868")</f>
        <v>DarkHaribo/12868</v>
      </c>
      <c r="J206" s="31">
        <f t="shared" si="1"/>
        <v>103</v>
      </c>
    </row>
    <row r="207">
      <c r="A207" s="28">
        <v>4.0</v>
      </c>
      <c r="B207" s="28">
        <v>10.0</v>
      </c>
      <c r="C207" s="28">
        <v>53.4971519616207</v>
      </c>
      <c r="D207" s="28">
        <v>9.99204566314051</v>
      </c>
      <c r="E207" s="28" t="s">
        <v>15</v>
      </c>
      <c r="F207" s="28" t="s">
        <v>168</v>
      </c>
      <c r="G207" s="29" t="s">
        <v>118</v>
      </c>
      <c r="H207" s="30" t="str">
        <f>HYPERLINK("https://www.munzee.com/m/Sjael/1614/", "Sjael/1614")</f>
        <v>Sjael/1614</v>
      </c>
      <c r="J207" s="31">
        <f t="shared" si="1"/>
        <v>13</v>
      </c>
    </row>
    <row r="208">
      <c r="A208" s="28">
        <v>4.0</v>
      </c>
      <c r="B208" s="28">
        <v>11.0</v>
      </c>
      <c r="C208" s="28">
        <v>53.4971394344452</v>
      </c>
      <c r="D208" s="28">
        <v>9.99228636314546</v>
      </c>
      <c r="E208" s="28" t="s">
        <v>15</v>
      </c>
      <c r="F208" s="28" t="s">
        <v>168</v>
      </c>
      <c r="G208" s="29" t="s">
        <v>26</v>
      </c>
      <c r="H208" s="30" t="str">
        <f>HYPERLINK("https://www.munzee.com/m/Elli/6142/", "Elli/6142")</f>
        <v>Elli/6142</v>
      </c>
      <c r="J208" s="31">
        <f t="shared" si="1"/>
        <v>143</v>
      </c>
    </row>
    <row r="209">
      <c r="A209" s="28">
        <v>4.0</v>
      </c>
      <c r="B209" s="28">
        <v>12.0</v>
      </c>
      <c r="C209" s="28">
        <v>53.4971269072697</v>
      </c>
      <c r="D209" s="28">
        <v>9.99252706307936</v>
      </c>
      <c r="E209" s="28" t="s">
        <v>15</v>
      </c>
      <c r="F209" s="28" t="s">
        <v>168</v>
      </c>
      <c r="G209" s="29" t="s">
        <v>27</v>
      </c>
      <c r="H209" s="30" t="str">
        <f>HYPERLINK("https://www.munzee.com/m/DarkHaribo/12866", "DarkHaribo/12866")</f>
        <v>DarkHaribo/12866</v>
      </c>
      <c r="J209" s="31">
        <f t="shared" si="1"/>
        <v>103</v>
      </c>
    </row>
    <row r="210">
      <c r="A210" s="28">
        <v>4.0</v>
      </c>
      <c r="B210" s="28">
        <v>13.0</v>
      </c>
      <c r="C210" s="28">
        <v>53.4971143800942</v>
      </c>
      <c r="D210" s="28">
        <v>9.99276776294209</v>
      </c>
      <c r="E210" s="28" t="s">
        <v>15</v>
      </c>
      <c r="F210" s="28" t="s">
        <v>168</v>
      </c>
      <c r="G210" s="29" t="s">
        <v>118</v>
      </c>
      <c r="H210" s="30" t="str">
        <f>HYPERLINK("https://www.munzee.com/m/Sjael/1633/", "Sjael/1633")</f>
        <v>Sjael/1633</v>
      </c>
      <c r="J210" s="31">
        <f t="shared" si="1"/>
        <v>13</v>
      </c>
    </row>
    <row r="211">
      <c r="A211" s="28">
        <v>4.0</v>
      </c>
      <c r="B211" s="28">
        <v>14.0</v>
      </c>
      <c r="C211" s="28">
        <v>53.4971018529187</v>
      </c>
      <c r="D211" s="28">
        <v>9.99300846273377</v>
      </c>
      <c r="E211" s="28" t="s">
        <v>15</v>
      </c>
      <c r="F211" s="28" t="s">
        <v>168</v>
      </c>
      <c r="G211" s="29" t="s">
        <v>26</v>
      </c>
      <c r="H211" s="30" t="str">
        <f>HYPERLINK("https://www.munzee.com/m/Elli/6140/", "Elli/6140")</f>
        <v>Elli/6140</v>
      </c>
      <c r="J211" s="31">
        <f t="shared" si="1"/>
        <v>143</v>
      </c>
    </row>
    <row r="212">
      <c r="A212" s="28">
        <v>4.0</v>
      </c>
      <c r="B212" s="28">
        <v>15.0</v>
      </c>
      <c r="C212" s="28">
        <v>53.4970893257433</v>
      </c>
      <c r="D212" s="28">
        <v>9.99324916245427</v>
      </c>
      <c r="E212" s="28" t="s">
        <v>15</v>
      </c>
      <c r="F212" s="28" t="s">
        <v>168</v>
      </c>
      <c r="G212" s="29" t="s">
        <v>27</v>
      </c>
      <c r="H212" s="30" t="str">
        <f>HYPERLINK("https://www.munzee.com/m/DarkHaribo/12863", "DarkHaribo/12863")</f>
        <v>DarkHaribo/12863</v>
      </c>
      <c r="J212" s="31">
        <f t="shared" si="1"/>
        <v>103</v>
      </c>
    </row>
    <row r="213">
      <c r="A213" s="28">
        <v>4.0</v>
      </c>
      <c r="B213" s="28">
        <v>16.0</v>
      </c>
      <c r="C213" s="28">
        <v>53.4970767985678</v>
      </c>
      <c r="D213" s="28">
        <v>9.99348986210373</v>
      </c>
      <c r="E213" s="28" t="s">
        <v>15</v>
      </c>
      <c r="F213" s="28" t="s">
        <v>168</v>
      </c>
      <c r="G213" s="29" t="s">
        <v>118</v>
      </c>
      <c r="H213" s="30" t="str">
        <f>HYPERLINK("https://www.munzee.com/m/Sjael/1635/", "Sjael/1635")</f>
        <v>Sjael/1635</v>
      </c>
      <c r="J213" s="31">
        <f t="shared" si="1"/>
        <v>13</v>
      </c>
    </row>
    <row r="214">
      <c r="A214" s="28">
        <v>4.0</v>
      </c>
      <c r="B214" s="28">
        <v>17.0</v>
      </c>
      <c r="C214" s="28">
        <v>53.4970642713923</v>
      </c>
      <c r="D214" s="28">
        <v>9.99373056168201</v>
      </c>
      <c r="E214" s="28" t="s">
        <v>15</v>
      </c>
      <c r="F214" s="28" t="s">
        <v>168</v>
      </c>
      <c r="G214" s="29" t="s">
        <v>26</v>
      </c>
      <c r="H214" s="30" t="str">
        <f>HYPERLINK("https://www.munzee.com/m/Elli/6139/", "Elli/6139")</f>
        <v>Elli/6139</v>
      </c>
      <c r="J214" s="31">
        <f t="shared" si="1"/>
        <v>143</v>
      </c>
    </row>
    <row r="215">
      <c r="A215" s="28">
        <v>4.0</v>
      </c>
      <c r="B215" s="28">
        <v>18.0</v>
      </c>
      <c r="C215" s="28">
        <v>53.4970517442168</v>
      </c>
      <c r="D215" s="28">
        <v>9.99397126118924</v>
      </c>
      <c r="E215" s="28" t="s">
        <v>15</v>
      </c>
      <c r="F215" s="28" t="s">
        <v>168</v>
      </c>
      <c r="G215" s="29" t="s">
        <v>27</v>
      </c>
      <c r="H215" s="30" t="str">
        <f>HYPERLINK("https://www.munzee.com/m/DarkHaribo/12862", "DarkHaribo/12862")</f>
        <v>DarkHaribo/12862</v>
      </c>
      <c r="J215" s="31">
        <f t="shared" si="1"/>
        <v>103</v>
      </c>
    </row>
    <row r="216">
      <c r="A216" s="28">
        <v>4.0</v>
      </c>
      <c r="B216" s="28">
        <v>19.0</v>
      </c>
      <c r="C216" s="28">
        <v>53.4970392170413</v>
      </c>
      <c r="D216" s="28">
        <v>9.9942119606253</v>
      </c>
      <c r="E216" s="28" t="s">
        <v>15</v>
      </c>
      <c r="F216" s="28" t="s">
        <v>168</v>
      </c>
      <c r="G216" s="29" t="s">
        <v>118</v>
      </c>
      <c r="H216" s="30" t="str">
        <f>HYPERLINK("https://www.munzee.com/m/Sjael/1643/", "Sjael/1643")</f>
        <v>Sjael/1643</v>
      </c>
      <c r="J216" s="31">
        <f t="shared" si="1"/>
        <v>13</v>
      </c>
    </row>
    <row r="217">
      <c r="A217" s="28">
        <v>4.0</v>
      </c>
      <c r="B217" s="28">
        <v>20.0</v>
      </c>
      <c r="C217" s="28">
        <v>53.4970266898659</v>
      </c>
      <c r="D217" s="28">
        <v>9.99445265999031</v>
      </c>
      <c r="E217" s="28" t="s">
        <v>15</v>
      </c>
      <c r="F217" s="28" t="s">
        <v>168</v>
      </c>
      <c r="G217" s="29" t="s">
        <v>26</v>
      </c>
      <c r="H217" s="30" t="str">
        <f>HYPERLINK("https://www.munzee.com/m/Elli/6136/", "Elli/6136")</f>
        <v>Elli/6136</v>
      </c>
      <c r="J217" s="31">
        <f t="shared" si="1"/>
        <v>143</v>
      </c>
    </row>
    <row r="218">
      <c r="A218" s="28">
        <v>4.0</v>
      </c>
      <c r="B218" s="28">
        <v>21.0</v>
      </c>
      <c r="C218" s="28">
        <v>53.4970141626904</v>
      </c>
      <c r="D218" s="28">
        <v>9.99469335928415</v>
      </c>
      <c r="E218" s="28" t="s">
        <v>15</v>
      </c>
      <c r="F218" s="28" t="s">
        <v>168</v>
      </c>
      <c r="G218" s="29" t="s">
        <v>28</v>
      </c>
      <c r="H218" s="30" t="str">
        <f>HYPERLINK("https://www.munzee.com/m/dreiengel/7885/", "dreiengel/7885")</f>
        <v>dreiengel/7885</v>
      </c>
      <c r="J218" s="31">
        <f t="shared" si="1"/>
        <v>9</v>
      </c>
    </row>
    <row r="219">
      <c r="A219" s="28">
        <v>4.0</v>
      </c>
      <c r="B219" s="28">
        <v>22.0</v>
      </c>
      <c r="C219" s="28">
        <v>53.4970016355149</v>
      </c>
      <c r="D219" s="28">
        <v>9.99493405850694</v>
      </c>
      <c r="E219" s="28" t="s">
        <v>15</v>
      </c>
      <c r="F219" s="28" t="s">
        <v>168</v>
      </c>
      <c r="G219" s="29" t="s">
        <v>118</v>
      </c>
      <c r="H219" s="30" t="str">
        <f>HYPERLINK("https://www.munzee.com/m/Sjael/1644/", "Sjael/1644")</f>
        <v>Sjael/1644</v>
      </c>
      <c r="J219" s="31">
        <f t="shared" si="1"/>
        <v>13</v>
      </c>
    </row>
    <row r="220">
      <c r="A220" s="28">
        <v>4.0</v>
      </c>
      <c r="B220" s="28">
        <v>23.0</v>
      </c>
      <c r="C220" s="28">
        <v>53.4969891083394</v>
      </c>
      <c r="D220" s="28">
        <v>9.99517475765856</v>
      </c>
      <c r="E220" s="28" t="s">
        <v>15</v>
      </c>
      <c r="F220" s="28" t="s">
        <v>168</v>
      </c>
      <c r="G220" s="29" t="s">
        <v>26</v>
      </c>
      <c r="H220" s="30" t="str">
        <f>HYPERLINK("https://www.munzee.com/m/Elli/6135/", "Elli/6135")</f>
        <v>Elli/6135</v>
      </c>
      <c r="J220" s="31">
        <f t="shared" si="1"/>
        <v>143</v>
      </c>
    </row>
    <row r="221">
      <c r="A221" s="28">
        <v>4.0</v>
      </c>
      <c r="B221" s="28">
        <v>24.0</v>
      </c>
      <c r="C221" s="28">
        <v>53.4969765811639</v>
      </c>
      <c r="D221" s="28">
        <v>9.99541545673912</v>
      </c>
      <c r="E221" s="28" t="s">
        <v>15</v>
      </c>
      <c r="F221" s="28" t="s">
        <v>168</v>
      </c>
      <c r="G221" s="29" t="s">
        <v>32</v>
      </c>
      <c r="H221" s="30" t="str">
        <f>HYPERLINK("https://www.munzee.com/m/Lewini/2127/", "Lewini/2127")</f>
        <v>Lewini/2127</v>
      </c>
      <c r="J221" s="31">
        <f t="shared" si="1"/>
        <v>6</v>
      </c>
    </row>
    <row r="222">
      <c r="A222" s="28">
        <v>4.0</v>
      </c>
      <c r="B222" s="28">
        <v>25.0</v>
      </c>
      <c r="C222" s="28">
        <v>53.4969640539885</v>
      </c>
      <c r="D222" s="28">
        <v>9.99565615574852</v>
      </c>
      <c r="E222" s="28" t="s">
        <v>15</v>
      </c>
      <c r="F222" s="28" t="s">
        <v>168</v>
      </c>
      <c r="G222" s="29" t="s">
        <v>56</v>
      </c>
      <c r="H222" s="30" t="str">
        <f>HYPERLINK("https://www.munzee.com/m/Flattermaus/3278/", "Flattermaus/3278")</f>
        <v>Flattermaus/3278</v>
      </c>
      <c r="J222" s="31">
        <f t="shared" si="1"/>
        <v>55</v>
      </c>
    </row>
    <row r="223">
      <c r="A223" s="28">
        <v>4.0</v>
      </c>
      <c r="B223" s="28">
        <v>26.0</v>
      </c>
      <c r="C223" s="28">
        <v>53.496951526813</v>
      </c>
      <c r="D223" s="28">
        <v>9.99589685468686</v>
      </c>
      <c r="E223" s="28" t="s">
        <v>15</v>
      </c>
      <c r="F223" s="28" t="s">
        <v>168</v>
      </c>
      <c r="G223" s="29" t="s">
        <v>26</v>
      </c>
      <c r="H223" s="30" t="str">
        <f>HYPERLINK("https://www.munzee.com/m/Elli/6131/", "Elli/6131")</f>
        <v>Elli/6131</v>
      </c>
      <c r="J223" s="31">
        <f t="shared" si="1"/>
        <v>143</v>
      </c>
    </row>
    <row r="224">
      <c r="A224" s="28">
        <v>4.0</v>
      </c>
      <c r="B224" s="28">
        <v>27.0</v>
      </c>
      <c r="C224" s="28">
        <v>53.4969389996375</v>
      </c>
      <c r="D224" s="28">
        <v>9.99613755355403</v>
      </c>
      <c r="E224" s="28" t="s">
        <v>15</v>
      </c>
      <c r="F224" s="28" t="s">
        <v>168</v>
      </c>
      <c r="G224" s="29" t="s">
        <v>45</v>
      </c>
      <c r="H224" s="30" t="str">
        <f>HYPERLINK("https://www.munzee.com/m/ageta/18582/", "ageta/18582")</f>
        <v>ageta/18582</v>
      </c>
      <c r="J224" s="31">
        <f t="shared" si="1"/>
        <v>5</v>
      </c>
    </row>
    <row r="225">
      <c r="A225" s="28">
        <v>4.0</v>
      </c>
      <c r="B225" s="28">
        <v>28.0</v>
      </c>
      <c r="C225" s="28">
        <v>53.496926472462</v>
      </c>
      <c r="D225" s="28">
        <v>9.99637825235004</v>
      </c>
      <c r="E225" s="28" t="s">
        <v>15</v>
      </c>
      <c r="F225" s="28" t="s">
        <v>168</v>
      </c>
      <c r="G225" s="29" t="s">
        <v>56</v>
      </c>
      <c r="H225" s="30" t="str">
        <f>HYPERLINK("https://www.munzee.com/m/Flattermaus/3288/", "Flattermaus/3288")</f>
        <v>Flattermaus/3288</v>
      </c>
      <c r="J225" s="31">
        <f t="shared" si="1"/>
        <v>55</v>
      </c>
    </row>
    <row r="226">
      <c r="A226" s="28">
        <v>4.0</v>
      </c>
      <c r="B226" s="28">
        <v>29.0</v>
      </c>
      <c r="C226" s="28">
        <v>53.4969139452865</v>
      </c>
      <c r="D226" s="28">
        <v>9.99661895107499</v>
      </c>
      <c r="E226" s="28" t="s">
        <v>15</v>
      </c>
      <c r="F226" s="28" t="s">
        <v>168</v>
      </c>
      <c r="G226" s="29" t="s">
        <v>26</v>
      </c>
      <c r="H226" s="30" t="str">
        <f>HYPERLINK("https://www.munzee.com/m/Elli/6130/", "Elli/6130")</f>
        <v>Elli/6130</v>
      </c>
      <c r="J226" s="31">
        <f t="shared" si="1"/>
        <v>143</v>
      </c>
    </row>
    <row r="227">
      <c r="A227" s="28">
        <v>4.0</v>
      </c>
      <c r="B227" s="28">
        <v>30.0</v>
      </c>
      <c r="C227" s="28">
        <v>53.496901418111</v>
      </c>
      <c r="D227" s="28">
        <v>9.99685964972877</v>
      </c>
      <c r="E227" s="28" t="s">
        <v>15</v>
      </c>
      <c r="F227" s="28" t="s">
        <v>168</v>
      </c>
      <c r="G227" s="29" t="s">
        <v>45</v>
      </c>
      <c r="H227" s="30" t="str">
        <f>HYPERLINK("https://www.munzee.com/m/ageta/18586/", "ageta/18586")</f>
        <v>ageta/18586</v>
      </c>
      <c r="J227" s="31">
        <f t="shared" si="1"/>
        <v>5</v>
      </c>
    </row>
    <row r="228">
      <c r="A228" s="28">
        <v>4.0</v>
      </c>
      <c r="B228" s="28">
        <v>31.0</v>
      </c>
      <c r="C228" s="28">
        <v>53.4968888909355</v>
      </c>
      <c r="D228" s="28">
        <v>9.9971003483115</v>
      </c>
      <c r="E228" s="28" t="s">
        <v>15</v>
      </c>
      <c r="F228" s="28" t="s">
        <v>168</v>
      </c>
      <c r="G228" s="29" t="s">
        <v>56</v>
      </c>
      <c r="H228" s="30" t="str">
        <f>HYPERLINK("https://www.munzee.com/m/Flattermaus/3294/", "Flattermaus/3294")</f>
        <v>Flattermaus/3294</v>
      </c>
      <c r="J228" s="31">
        <f t="shared" si="1"/>
        <v>55</v>
      </c>
    </row>
    <row r="229">
      <c r="A229" s="28">
        <v>4.0</v>
      </c>
      <c r="B229" s="28">
        <v>32.0</v>
      </c>
      <c r="C229" s="28">
        <v>53.4968763637601</v>
      </c>
      <c r="D229" s="28">
        <v>9.99734104682306</v>
      </c>
      <c r="E229" s="28" t="s">
        <v>15</v>
      </c>
      <c r="F229" s="28" t="s">
        <v>168</v>
      </c>
      <c r="G229" s="29" t="s">
        <v>26</v>
      </c>
      <c r="H229" s="30" t="str">
        <f>HYPERLINK("https://www.munzee.com/m/Elli/6129/", "Elli/6129")</f>
        <v>Elli/6129</v>
      </c>
      <c r="J229" s="31">
        <f t="shared" si="1"/>
        <v>143</v>
      </c>
    </row>
    <row r="230">
      <c r="A230" s="28">
        <v>4.0</v>
      </c>
      <c r="B230" s="28">
        <v>33.0</v>
      </c>
      <c r="C230" s="28">
        <v>53.4968638365846</v>
      </c>
      <c r="D230" s="28">
        <v>9.99758174526357</v>
      </c>
      <c r="E230" s="28" t="s">
        <v>15</v>
      </c>
      <c r="F230" s="28" t="s">
        <v>168</v>
      </c>
      <c r="G230" s="29" t="s">
        <v>45</v>
      </c>
      <c r="H230" s="30" t="str">
        <f>HYPERLINK("https://www.munzee.com/m/ageta/18269/", "ageta/18269")</f>
        <v>ageta/18269</v>
      </c>
      <c r="J230" s="31">
        <f t="shared" si="1"/>
        <v>5</v>
      </c>
    </row>
    <row r="231">
      <c r="A231" s="28">
        <v>4.0</v>
      </c>
      <c r="B231" s="28">
        <v>34.0</v>
      </c>
      <c r="C231" s="28">
        <v>53.4968513094091</v>
      </c>
      <c r="D231" s="28">
        <v>9.99782244363291</v>
      </c>
      <c r="E231" s="28" t="s">
        <v>15</v>
      </c>
      <c r="F231" s="28" t="s">
        <v>168</v>
      </c>
      <c r="G231" s="29" t="s">
        <v>56</v>
      </c>
      <c r="H231" s="30" t="str">
        <f>HYPERLINK("https://www.munzee.com/m/Flattermaus/3296/", "Flattermaus/3296")</f>
        <v>Flattermaus/3296</v>
      </c>
      <c r="J231" s="31">
        <f t="shared" si="1"/>
        <v>55</v>
      </c>
    </row>
    <row r="232">
      <c r="A232" s="28">
        <v>4.0</v>
      </c>
      <c r="B232" s="28">
        <v>35.0</v>
      </c>
      <c r="C232" s="28">
        <v>53.4968387822336</v>
      </c>
      <c r="D232" s="28">
        <v>9.99806314193119</v>
      </c>
      <c r="E232" s="28" t="s">
        <v>15</v>
      </c>
      <c r="F232" s="28" t="s">
        <v>168</v>
      </c>
      <c r="G232" s="29" t="s">
        <v>26</v>
      </c>
      <c r="H232" s="30" t="str">
        <f>HYPERLINK("https://www.munzee.com/m/Elli/6124/", "Elli/6124")</f>
        <v>Elli/6124</v>
      </c>
      <c r="J232" s="31">
        <f t="shared" si="1"/>
        <v>143</v>
      </c>
    </row>
    <row r="233">
      <c r="A233" s="28">
        <v>4.0</v>
      </c>
      <c r="B233" s="28">
        <v>36.0</v>
      </c>
      <c r="C233" s="28">
        <v>53.4968262550581</v>
      </c>
      <c r="D233" s="28">
        <v>9.99830384015831</v>
      </c>
      <c r="E233" s="28" t="s">
        <v>15</v>
      </c>
      <c r="F233" s="28" t="s">
        <v>168</v>
      </c>
      <c r="G233" s="29" t="s">
        <v>45</v>
      </c>
      <c r="H233" s="30" t="str">
        <f>HYPERLINK("https://www.munzee.com/m/ageta/18273/", "ageta/18273")</f>
        <v>ageta/18273</v>
      </c>
      <c r="J233" s="31">
        <f t="shared" si="1"/>
        <v>5</v>
      </c>
    </row>
    <row r="234">
      <c r="A234" s="28">
        <v>4.0</v>
      </c>
      <c r="B234" s="28">
        <v>37.0</v>
      </c>
      <c r="C234" s="28">
        <v>53.4968137278826</v>
      </c>
      <c r="D234" s="28">
        <v>9.99854453831437</v>
      </c>
      <c r="E234" s="28" t="s">
        <v>15</v>
      </c>
      <c r="F234" s="28" t="s">
        <v>168</v>
      </c>
      <c r="G234" s="29" t="s">
        <v>56</v>
      </c>
      <c r="H234" s="30" t="str">
        <f>HYPERLINK("https://www.munzee.com/m/Flattermaus/3295/", "Flattermaus/3295")</f>
        <v>Flattermaus/3295</v>
      </c>
      <c r="J234" s="31">
        <f t="shared" si="1"/>
        <v>55</v>
      </c>
    </row>
    <row r="235">
      <c r="A235" s="28">
        <v>4.0</v>
      </c>
      <c r="B235" s="28">
        <v>38.0</v>
      </c>
      <c r="C235" s="28">
        <v>53.4968012007071</v>
      </c>
      <c r="D235" s="28">
        <v>9.99878523639927</v>
      </c>
      <c r="E235" s="28" t="s">
        <v>15</v>
      </c>
      <c r="F235" s="28" t="s">
        <v>168</v>
      </c>
      <c r="G235" s="29" t="s">
        <v>26</v>
      </c>
      <c r="H235" s="30" t="str">
        <f>HYPERLINK("https://www.munzee.com/m/Elli/6119/", "Elli/6119")</f>
        <v>Elli/6119</v>
      </c>
      <c r="J235" s="31">
        <f t="shared" si="1"/>
        <v>143</v>
      </c>
    </row>
    <row r="236">
      <c r="A236" s="28">
        <v>4.0</v>
      </c>
      <c r="B236" s="28">
        <v>39.0</v>
      </c>
      <c r="C236" s="28">
        <v>53.4967886735317</v>
      </c>
      <c r="D236" s="28">
        <v>9.99902593441311</v>
      </c>
      <c r="E236" s="28" t="s">
        <v>15</v>
      </c>
      <c r="F236" s="28" t="s">
        <v>168</v>
      </c>
      <c r="G236" s="29" t="s">
        <v>118</v>
      </c>
      <c r="H236" s="30" t="str">
        <f>HYPERLINK("https://www.munzee.com/m/Sjael/1616/", "Sjael/1616")</f>
        <v>Sjael/1616</v>
      </c>
      <c r="J236" s="31">
        <f t="shared" si="1"/>
        <v>13</v>
      </c>
    </row>
    <row r="237">
      <c r="A237" s="28">
        <v>4.0</v>
      </c>
      <c r="B237" s="28">
        <v>40.0</v>
      </c>
      <c r="C237" s="28">
        <v>53.4967761463562</v>
      </c>
      <c r="D237" s="28">
        <v>9.99926663235578</v>
      </c>
      <c r="E237" s="28" t="s">
        <v>15</v>
      </c>
      <c r="F237" s="28" t="s">
        <v>168</v>
      </c>
      <c r="G237" s="29" t="s">
        <v>56</v>
      </c>
      <c r="H237" s="30" t="str">
        <f>HYPERLINK("https://www.munzee.com/m/Flattermaus/3307/", "Flattermaus/3307")</f>
        <v>Flattermaus/3307</v>
      </c>
      <c r="J237" s="31">
        <f t="shared" si="1"/>
        <v>55</v>
      </c>
    </row>
    <row r="238">
      <c r="A238" s="28">
        <v>4.0</v>
      </c>
      <c r="B238" s="28">
        <v>41.0</v>
      </c>
      <c r="C238" s="28">
        <v>53.4967636191807</v>
      </c>
      <c r="D238" s="28">
        <v>9.9995073302274</v>
      </c>
      <c r="E238" s="28" t="s">
        <v>15</v>
      </c>
      <c r="F238" s="28" t="s">
        <v>168</v>
      </c>
      <c r="G238" s="29" t="s">
        <v>26</v>
      </c>
      <c r="H238" s="30" t="str">
        <f>HYPERLINK("https://www.munzee.com/m/Elli/6116/", "Elli/6116")</f>
        <v>Elli/6116</v>
      </c>
      <c r="J238" s="31">
        <f t="shared" si="1"/>
        <v>143</v>
      </c>
    </row>
    <row r="239">
      <c r="A239" s="28">
        <v>4.0</v>
      </c>
      <c r="B239" s="28">
        <v>42.0</v>
      </c>
      <c r="C239" s="28">
        <v>53.4967510920052</v>
      </c>
      <c r="D239" s="28">
        <v>9.99974802802785</v>
      </c>
      <c r="E239" s="28" t="s">
        <v>15</v>
      </c>
      <c r="F239" s="28" t="s">
        <v>168</v>
      </c>
      <c r="G239" s="29" t="s">
        <v>118</v>
      </c>
      <c r="H239" s="30" t="str">
        <f>HYPERLINK("https://www.munzee.com/m/Sjael/1631/", "Sjael/1631")</f>
        <v>Sjael/1631</v>
      </c>
      <c r="J239" s="31">
        <f t="shared" si="1"/>
        <v>13</v>
      </c>
    </row>
    <row r="240">
      <c r="A240" s="28">
        <v>4.0</v>
      </c>
      <c r="B240" s="28">
        <v>43.0</v>
      </c>
      <c r="C240" s="28">
        <v>53.4967385648297</v>
      </c>
      <c r="D240" s="28">
        <v>9.99998872575724</v>
      </c>
      <c r="E240" s="28" t="s">
        <v>15</v>
      </c>
      <c r="F240" s="28" t="s">
        <v>168</v>
      </c>
      <c r="G240" s="29" t="s">
        <v>56</v>
      </c>
      <c r="H240" s="30" t="str">
        <f>HYPERLINK("https://www.munzee.com/m/Flattermaus/3309/", "Flattermaus/3309")</f>
        <v>Flattermaus/3309</v>
      </c>
      <c r="J240" s="31">
        <f t="shared" si="1"/>
        <v>55</v>
      </c>
    </row>
    <row r="241">
      <c r="A241" s="28">
        <v>4.0</v>
      </c>
      <c r="B241" s="28">
        <v>44.0</v>
      </c>
      <c r="C241" s="28">
        <v>53.4967260376543</v>
      </c>
      <c r="D241" s="28">
        <v>10.0002294234154</v>
      </c>
      <c r="E241" s="28" t="s">
        <v>15</v>
      </c>
      <c r="F241" s="28" t="s">
        <v>168</v>
      </c>
      <c r="G241" s="29" t="s">
        <v>26</v>
      </c>
      <c r="H241" s="30" t="str">
        <f>HYPERLINK("https://www.munzee.com/m/Elli/6115/", "Elli/6115")</f>
        <v>Elli/6115</v>
      </c>
      <c r="J241" s="31">
        <f t="shared" si="1"/>
        <v>143</v>
      </c>
    </row>
    <row r="242">
      <c r="A242" s="28">
        <v>4.0</v>
      </c>
      <c r="B242" s="28">
        <v>45.0</v>
      </c>
      <c r="C242" s="28">
        <v>53.4967135104788</v>
      </c>
      <c r="D242" s="28">
        <v>10.0004701210026</v>
      </c>
      <c r="E242" s="28" t="s">
        <v>15</v>
      </c>
      <c r="F242" s="28" t="s">
        <v>168</v>
      </c>
      <c r="G242" s="29" t="s">
        <v>169</v>
      </c>
      <c r="H242" s="30" t="str">
        <f>HYPERLINK("https://www.munzee.com/m/Muecke10/143/", "Muecke10/143")</f>
        <v>Muecke10/143</v>
      </c>
      <c r="J242" s="31">
        <f t="shared" si="1"/>
        <v>5</v>
      </c>
    </row>
    <row r="243">
      <c r="A243" s="28">
        <v>4.0</v>
      </c>
      <c r="B243" s="28">
        <v>46.0</v>
      </c>
      <c r="C243" s="28">
        <v>53.4967009833033</v>
      </c>
      <c r="D243" s="28">
        <v>10.0007108185186</v>
      </c>
      <c r="E243" s="28" t="s">
        <v>15</v>
      </c>
      <c r="F243" s="28" t="s">
        <v>168</v>
      </c>
      <c r="G243" s="29" t="s">
        <v>56</v>
      </c>
      <c r="H243" s="30" t="str">
        <f>HYPERLINK("https://www.munzee.com/m/Flattermaus/3311/", "Flattermaus/3311")</f>
        <v>Flattermaus/3311</v>
      </c>
      <c r="J243" s="31">
        <f t="shared" si="1"/>
        <v>55</v>
      </c>
    </row>
    <row r="244">
      <c r="A244" s="28">
        <v>4.0</v>
      </c>
      <c r="B244" s="28">
        <v>47.0</v>
      </c>
      <c r="C244" s="28">
        <v>53.4966884561278</v>
      </c>
      <c r="D244" s="28">
        <v>10.0009515159636</v>
      </c>
      <c r="E244" s="28" t="s">
        <v>15</v>
      </c>
      <c r="F244" s="28" t="s">
        <v>168</v>
      </c>
      <c r="G244" s="29" t="s">
        <v>26</v>
      </c>
      <c r="H244" s="30" t="str">
        <f>HYPERLINK("https://www.munzee.com/m/Elli/6112/", "Elli/6112")</f>
        <v>Elli/6112</v>
      </c>
      <c r="J244" s="31">
        <f t="shared" si="1"/>
        <v>143</v>
      </c>
    </row>
    <row r="245">
      <c r="A245" s="28">
        <v>4.0</v>
      </c>
      <c r="B245" s="28">
        <v>48.0</v>
      </c>
      <c r="C245" s="28">
        <v>53.4966759289523</v>
      </c>
      <c r="D245" s="28">
        <v>10.0011922133373</v>
      </c>
      <c r="E245" s="28" t="s">
        <v>15</v>
      </c>
      <c r="F245" s="28" t="s">
        <v>168</v>
      </c>
      <c r="G245" s="29" t="s">
        <v>169</v>
      </c>
      <c r="H245" s="30" t="str">
        <f>HYPERLINK("https://www.munzee.com/m/Muecke10/189/", "Muecke10/189")</f>
        <v>Muecke10/189</v>
      </c>
      <c r="J245" s="31">
        <f t="shared" si="1"/>
        <v>5</v>
      </c>
    </row>
    <row r="246">
      <c r="A246" s="28">
        <v>4.0</v>
      </c>
      <c r="B246" s="28">
        <v>49.0</v>
      </c>
      <c r="C246" s="28">
        <v>53.4966634017768</v>
      </c>
      <c r="D246" s="28">
        <v>10.0014329106401</v>
      </c>
      <c r="E246" s="28" t="s">
        <v>15</v>
      </c>
      <c r="F246" s="28" t="s">
        <v>168</v>
      </c>
      <c r="G246" s="29" t="s">
        <v>55</v>
      </c>
      <c r="H246" s="30" t="str">
        <f>HYPERLINK("https://www.munzee.com/m/boerse82/5329/", "boerse82/5329")</f>
        <v>boerse82/5329</v>
      </c>
      <c r="J246" s="31">
        <f t="shared" si="1"/>
        <v>51</v>
      </c>
    </row>
    <row r="247">
      <c r="A247" s="28">
        <v>4.0</v>
      </c>
      <c r="B247" s="28">
        <v>50.0</v>
      </c>
      <c r="C247" s="28">
        <v>53.4966508746014</v>
      </c>
      <c r="D247" s="28">
        <v>10.0016736078716</v>
      </c>
      <c r="E247" s="28" t="s">
        <v>15</v>
      </c>
      <c r="F247" s="28" t="s">
        <v>168</v>
      </c>
      <c r="G247" s="29" t="s">
        <v>26</v>
      </c>
      <c r="H247" s="30" t="str">
        <f>HYPERLINK("https://www.munzee.com/m/Elli/6111/", "Elli/6111")</f>
        <v>Elli/6111</v>
      </c>
      <c r="J247" s="31">
        <f t="shared" si="1"/>
        <v>143</v>
      </c>
    </row>
    <row r="248">
      <c r="A248" s="28">
        <v>4.0</v>
      </c>
      <c r="B248" s="28">
        <v>51.0</v>
      </c>
      <c r="C248" s="28">
        <v>53.4966383474259</v>
      </c>
      <c r="D248" s="28">
        <v>10.0019143050321</v>
      </c>
      <c r="E248" s="28" t="s">
        <v>15</v>
      </c>
      <c r="F248" s="28" t="s">
        <v>168</v>
      </c>
      <c r="G248" s="29" t="s">
        <v>169</v>
      </c>
      <c r="H248" s="30" t="str">
        <f>HYPERLINK("https://www.munzee.com/m/Muecke10/205/", "Muecke10/205")</f>
        <v>Muecke10/205</v>
      </c>
      <c r="J248" s="31">
        <f t="shared" si="1"/>
        <v>5</v>
      </c>
    </row>
    <row r="249">
      <c r="A249" s="28">
        <v>4.0</v>
      </c>
      <c r="B249" s="28">
        <v>52.0</v>
      </c>
      <c r="C249" s="28">
        <v>53.4966258202504</v>
      </c>
      <c r="D249" s="28">
        <v>10.0021550021215</v>
      </c>
      <c r="E249" s="28" t="s">
        <v>15</v>
      </c>
      <c r="F249" s="28" t="s">
        <v>168</v>
      </c>
      <c r="G249" s="29" t="s">
        <v>55</v>
      </c>
      <c r="H249" s="30" t="str">
        <f>HYPERLINK("https://www.munzee.com/m/boerse82/5336/", "boerse82/5336")</f>
        <v>boerse82/5336</v>
      </c>
      <c r="J249" s="31">
        <f t="shared" si="1"/>
        <v>51</v>
      </c>
    </row>
    <row r="250">
      <c r="A250" s="28">
        <v>4.0</v>
      </c>
      <c r="B250" s="28">
        <v>53.0</v>
      </c>
      <c r="C250" s="28">
        <v>53.4966132930749</v>
      </c>
      <c r="D250" s="28">
        <v>10.0023956991398</v>
      </c>
      <c r="E250" s="28" t="s">
        <v>15</v>
      </c>
      <c r="F250" s="28" t="s">
        <v>168</v>
      </c>
      <c r="G250" s="29" t="s">
        <v>26</v>
      </c>
      <c r="H250" s="30" t="str">
        <f>HYPERLINK("https://www.munzee.com/m/Elli/6110/", "Elli/6110")</f>
        <v>Elli/6110</v>
      </c>
      <c r="J250" s="31">
        <f t="shared" si="1"/>
        <v>143</v>
      </c>
    </row>
    <row r="251">
      <c r="A251" s="28">
        <v>4.0</v>
      </c>
      <c r="B251" s="28">
        <v>54.0</v>
      </c>
      <c r="C251" s="28">
        <v>53.4966007658994</v>
      </c>
      <c r="D251" s="28">
        <v>10.0026363960869</v>
      </c>
      <c r="E251" s="28" t="s">
        <v>15</v>
      </c>
      <c r="F251" s="28" t="s">
        <v>168</v>
      </c>
      <c r="G251" s="29" t="s">
        <v>169</v>
      </c>
      <c r="H251" s="30" t="str">
        <f>HYPERLINK("https://www.munzee.com/m/Muecke10/207/", "Muecke10/207")</f>
        <v>Muecke10/207</v>
      </c>
      <c r="J251" s="31">
        <f t="shared" si="1"/>
        <v>5</v>
      </c>
    </row>
    <row r="252">
      <c r="A252" s="28">
        <v>4.0</v>
      </c>
      <c r="B252" s="28">
        <v>55.0</v>
      </c>
      <c r="C252" s="28">
        <v>53.4965882387239</v>
      </c>
      <c r="D252" s="28">
        <v>10.0028770929629</v>
      </c>
      <c r="E252" s="28" t="s">
        <v>15</v>
      </c>
      <c r="F252" s="28" t="s">
        <v>168</v>
      </c>
      <c r="G252" s="29" t="s">
        <v>55</v>
      </c>
      <c r="H252" s="30" t="str">
        <f>HYPERLINK("https://www.munzee.com/m/boerse82/5337/", "boerse82/5337")</f>
        <v>boerse82/5337</v>
      </c>
      <c r="J252" s="31">
        <f t="shared" si="1"/>
        <v>51</v>
      </c>
    </row>
    <row r="253">
      <c r="A253" s="28">
        <v>4.0</v>
      </c>
      <c r="B253" s="28">
        <v>56.0</v>
      </c>
      <c r="C253" s="28">
        <v>53.4965757115485</v>
      </c>
      <c r="D253" s="28">
        <v>10.0031177897678</v>
      </c>
      <c r="E253" s="28" t="s">
        <v>15</v>
      </c>
      <c r="F253" s="28" t="s">
        <v>168</v>
      </c>
      <c r="G253" s="29" t="s">
        <v>26</v>
      </c>
      <c r="H253" s="30" t="str">
        <f>HYPERLINK("https://www.munzee.com/m/Elli/6109/", "Elli/6109")</f>
        <v>Elli/6109</v>
      </c>
      <c r="J253" s="31">
        <f t="shared" si="1"/>
        <v>143</v>
      </c>
    </row>
    <row r="254">
      <c r="A254" s="28">
        <v>4.0</v>
      </c>
      <c r="B254" s="28">
        <v>57.0</v>
      </c>
      <c r="C254" s="28">
        <v>53.496563184373</v>
      </c>
      <c r="D254" s="28">
        <v>10.0033584865017</v>
      </c>
      <c r="E254" s="28" t="s">
        <v>15</v>
      </c>
      <c r="F254" s="28" t="s">
        <v>168</v>
      </c>
      <c r="G254" s="29" t="s">
        <v>169</v>
      </c>
      <c r="H254" s="30" t="str">
        <f>HYPERLINK("https://www.munzee.com/m/Muecke10/211/", "Muecke10/211")</f>
        <v>Muecke10/211</v>
      </c>
      <c r="J254" s="31">
        <f t="shared" si="1"/>
        <v>5</v>
      </c>
    </row>
    <row r="255">
      <c r="A255" s="28">
        <v>4.0</v>
      </c>
      <c r="B255" s="28">
        <v>58.0</v>
      </c>
      <c r="C255" s="28">
        <v>53.4965506571975</v>
      </c>
      <c r="D255" s="28">
        <v>10.0035991831643</v>
      </c>
      <c r="E255" s="28" t="s">
        <v>15</v>
      </c>
      <c r="F255" s="28" t="s">
        <v>168</v>
      </c>
      <c r="G255" s="29" t="s">
        <v>55</v>
      </c>
      <c r="H255" s="30" t="str">
        <f>HYPERLINK("https://www.munzee.com/m/boerse82/5339/", "boerse82/5339")</f>
        <v>boerse82/5339</v>
      </c>
      <c r="J255" s="31">
        <f t="shared" si="1"/>
        <v>51</v>
      </c>
    </row>
    <row r="256">
      <c r="A256" s="28">
        <v>4.0</v>
      </c>
      <c r="B256" s="28">
        <v>59.0</v>
      </c>
      <c r="C256" s="28">
        <v>53.496538130022</v>
      </c>
      <c r="D256" s="28">
        <v>10.003839879756</v>
      </c>
      <c r="E256" s="28" t="s">
        <v>15</v>
      </c>
      <c r="F256" s="28" t="s">
        <v>168</v>
      </c>
      <c r="G256" s="29" t="s">
        <v>26</v>
      </c>
      <c r="H256" s="30" t="str">
        <f>HYPERLINK("https://www.munzee.com/m/Elli/6101/", "Elli/6101")</f>
        <v>Elli/6101</v>
      </c>
      <c r="J256" s="31">
        <f t="shared" si="1"/>
        <v>143</v>
      </c>
    </row>
    <row r="257">
      <c r="A257" s="28">
        <v>4.0</v>
      </c>
      <c r="B257" s="28">
        <v>60.0</v>
      </c>
      <c r="C257" s="28">
        <v>53.4965256028465</v>
      </c>
      <c r="D257" s="28">
        <v>10.0040805762764</v>
      </c>
      <c r="E257" s="28" t="s">
        <v>25</v>
      </c>
      <c r="F257" s="28" t="s">
        <v>14</v>
      </c>
      <c r="G257" s="29" t="s">
        <v>27</v>
      </c>
      <c r="H257" s="30" t="str">
        <f>HYPERLINK("https://www.munzee.com/m/DarkHaribo/12186", "DarkHaribo/12186")</f>
        <v>DarkHaribo/12186</v>
      </c>
      <c r="J257" s="31">
        <f t="shared" si="1"/>
        <v>103</v>
      </c>
    </row>
    <row r="258">
      <c r="A258" s="28">
        <v>5.0</v>
      </c>
      <c r="B258" s="28">
        <v>1.0</v>
      </c>
      <c r="C258" s="28">
        <v>53.4971215226905</v>
      </c>
      <c r="D258" s="28">
        <v>9.98985830138281</v>
      </c>
      <c r="E258" s="28" t="s">
        <v>25</v>
      </c>
      <c r="F258" s="28" t="s">
        <v>14</v>
      </c>
      <c r="G258" s="29" t="s">
        <v>170</v>
      </c>
      <c r="H258" s="30" t="s">
        <v>171</v>
      </c>
      <c r="J258" s="31">
        <f t="shared" si="1"/>
        <v>5</v>
      </c>
    </row>
    <row r="259">
      <c r="A259" s="28">
        <v>5.0</v>
      </c>
      <c r="B259" s="28">
        <v>2.0</v>
      </c>
      <c r="C259" s="28">
        <v>53.497108995515</v>
      </c>
      <c r="D259" s="28">
        <v>9.99009900121495</v>
      </c>
      <c r="E259" s="28" t="s">
        <v>15</v>
      </c>
      <c r="F259" s="28" t="s">
        <v>168</v>
      </c>
      <c r="G259" s="29" t="s">
        <v>172</v>
      </c>
      <c r="H259" s="30" t="str">
        <f>HYPERLINK("https://www.munzee.com/m/JRdaBoss/5822/", "JRdaBoss/5822")</f>
        <v>JRdaBoss/5822</v>
      </c>
      <c r="J259" s="31">
        <f t="shared" si="1"/>
        <v>10</v>
      </c>
    </row>
    <row r="260">
      <c r="A260" s="28">
        <v>5.0</v>
      </c>
      <c r="B260" s="28">
        <v>3.0</v>
      </c>
      <c r="C260" s="28">
        <v>53.4970964683395</v>
      </c>
      <c r="D260" s="28">
        <v>9.99033970097605</v>
      </c>
      <c r="E260" s="28" t="s">
        <v>15</v>
      </c>
      <c r="F260" s="28" t="s">
        <v>168</v>
      </c>
      <c r="G260" s="29" t="s">
        <v>173</v>
      </c>
      <c r="H260" s="30" t="str">
        <f>HYPERLINK("https://www.munzee.com/m/Dazzaf/3580/", "Dazzaf/3580")</f>
        <v>Dazzaf/3580</v>
      </c>
      <c r="J260" s="31">
        <f t="shared" si="1"/>
        <v>2</v>
      </c>
    </row>
    <row r="261">
      <c r="A261" s="28">
        <v>5.0</v>
      </c>
      <c r="B261" s="28">
        <v>4.0</v>
      </c>
      <c r="C261" s="28">
        <v>53.497083941164</v>
      </c>
      <c r="D261" s="28">
        <v>9.99058040066597</v>
      </c>
      <c r="E261" s="28" t="s">
        <v>15</v>
      </c>
      <c r="F261" s="28" t="s">
        <v>168</v>
      </c>
      <c r="G261" s="29" t="s">
        <v>174</v>
      </c>
      <c r="H261" s="30" t="str">
        <f>HYPERLINK("https://www.munzee.com/m/TheJump/135", "TheJump/135")</f>
        <v>TheJump/135</v>
      </c>
      <c r="J261" s="31">
        <f t="shared" si="1"/>
        <v>1</v>
      </c>
    </row>
    <row r="262">
      <c r="A262" s="28">
        <v>5.0</v>
      </c>
      <c r="B262" s="28">
        <v>5.0</v>
      </c>
      <c r="C262" s="28">
        <v>53.4970714139886</v>
      </c>
      <c r="D262" s="28">
        <v>9.99082110028484</v>
      </c>
      <c r="E262" s="28" t="s">
        <v>15</v>
      </c>
      <c r="F262" s="28" t="s">
        <v>168</v>
      </c>
      <c r="G262" s="29" t="s">
        <v>172</v>
      </c>
      <c r="H262" s="30" t="str">
        <f>HYPERLINK("https://www.munzee.com/m/JRdaBoss/5826/", "JRdaBoss/5826")</f>
        <v>JRdaBoss/5826</v>
      </c>
      <c r="J262" s="31">
        <f t="shared" si="1"/>
        <v>10</v>
      </c>
    </row>
    <row r="263">
      <c r="A263" s="28">
        <v>5.0</v>
      </c>
      <c r="B263" s="28">
        <v>6.0</v>
      </c>
      <c r="C263" s="28">
        <v>53.4970588868131</v>
      </c>
      <c r="D263" s="28">
        <v>9.99106179983255</v>
      </c>
      <c r="E263" s="28" t="s">
        <v>15</v>
      </c>
      <c r="F263" s="28" t="s">
        <v>168</v>
      </c>
      <c r="G263" s="29" t="s">
        <v>175</v>
      </c>
      <c r="H263" s="30" t="str">
        <f>HYPERLINK("https://www.munzee.com/m/markcase/6691/", "markcase/6691")</f>
        <v>markcase/6691</v>
      </c>
      <c r="J263" s="31">
        <f t="shared" si="1"/>
        <v>1</v>
      </c>
    </row>
    <row r="264">
      <c r="A264" s="28">
        <v>5.0</v>
      </c>
      <c r="B264" s="28">
        <v>7.0</v>
      </c>
      <c r="C264" s="28">
        <v>53.4970463596376</v>
      </c>
      <c r="D264" s="28">
        <v>9.9913024993092</v>
      </c>
      <c r="E264" s="28" t="s">
        <v>15</v>
      </c>
      <c r="F264" s="28" t="s">
        <v>168</v>
      </c>
      <c r="G264" s="29" t="s">
        <v>176</v>
      </c>
      <c r="H264" s="30" t="str">
        <f>HYPERLINK("https://www.munzee.com/m/Bisquick2/2800/", "Bisquick2/2800")</f>
        <v>Bisquick2/2800</v>
      </c>
      <c r="J264" s="31">
        <f t="shared" si="1"/>
        <v>4</v>
      </c>
    </row>
    <row r="265">
      <c r="A265" s="28">
        <v>5.0</v>
      </c>
      <c r="B265" s="28">
        <v>8.0</v>
      </c>
      <c r="C265" s="28">
        <v>53.4970338324621</v>
      </c>
      <c r="D265" s="28">
        <v>9.99154319871468</v>
      </c>
      <c r="E265" s="28" t="s">
        <v>15</v>
      </c>
      <c r="F265" s="28" t="s">
        <v>168</v>
      </c>
      <c r="G265" s="29" t="s">
        <v>172</v>
      </c>
      <c r="H265" s="30" t="str">
        <f>HYPERLINK("https://www.munzee.com/m/JRdaBoss/5829/", "JRdaBoss/5829")</f>
        <v>JRdaBoss/5829</v>
      </c>
      <c r="J265" s="31">
        <f t="shared" si="1"/>
        <v>10</v>
      </c>
    </row>
    <row r="266">
      <c r="A266" s="28">
        <v>5.0</v>
      </c>
      <c r="B266" s="28">
        <v>9.0</v>
      </c>
      <c r="C266" s="28">
        <v>53.4970213052866</v>
      </c>
      <c r="D266" s="28">
        <v>9.9917838980491</v>
      </c>
      <c r="E266" s="28" t="s">
        <v>15</v>
      </c>
      <c r="F266" s="28" t="s">
        <v>168</v>
      </c>
      <c r="G266" s="29" t="s">
        <v>177</v>
      </c>
      <c r="H266" s="30" t="str">
        <f>HYPERLINK("https://www.munzee.com/m/TecmjrB/3895/", "TecmjrB/3895")</f>
        <v>TecmjrB/3895</v>
      </c>
      <c r="J266" s="31">
        <f t="shared" si="1"/>
        <v>12</v>
      </c>
    </row>
    <row r="267">
      <c r="A267" s="28">
        <v>5.0</v>
      </c>
      <c r="B267" s="28">
        <v>10.0</v>
      </c>
      <c r="C267" s="28">
        <v>53.4970087781112</v>
      </c>
      <c r="D267" s="28">
        <v>9.99202459731236</v>
      </c>
      <c r="E267" s="28" t="s">
        <v>15</v>
      </c>
      <c r="F267" s="28" t="s">
        <v>168</v>
      </c>
      <c r="G267" s="29" t="s">
        <v>178</v>
      </c>
      <c r="H267" s="30" t="str">
        <f>HYPERLINK("https://www.munzee.com/m/taska1981/4759/", "taska1981/4759")</f>
        <v>taska1981/4759</v>
      </c>
      <c r="J267" s="31">
        <f t="shared" si="1"/>
        <v>5</v>
      </c>
    </row>
    <row r="268">
      <c r="A268" s="28">
        <v>5.0</v>
      </c>
      <c r="B268" s="28">
        <v>11.0</v>
      </c>
      <c r="C268" s="28">
        <v>53.4969962509357</v>
      </c>
      <c r="D268" s="28">
        <v>9.99226529650457</v>
      </c>
      <c r="E268" s="28" t="s">
        <v>15</v>
      </c>
      <c r="F268" s="28" t="s">
        <v>168</v>
      </c>
      <c r="G268" s="29" t="s">
        <v>172</v>
      </c>
      <c r="H268" s="30" t="str">
        <f>HYPERLINK("https://www.munzee.com/m/JRdaBoss/5832/", "JRdaBoss/5832")</f>
        <v>JRdaBoss/5832</v>
      </c>
      <c r="J268" s="31">
        <f t="shared" si="1"/>
        <v>10</v>
      </c>
    </row>
    <row r="269">
      <c r="A269" s="28">
        <v>5.0</v>
      </c>
      <c r="B269" s="28">
        <v>12.0</v>
      </c>
      <c r="C269" s="28">
        <v>53.4969837237602</v>
      </c>
      <c r="D269" s="28">
        <v>9.9925059956256</v>
      </c>
      <c r="E269" s="28" t="s">
        <v>15</v>
      </c>
      <c r="F269" s="28" t="s">
        <v>168</v>
      </c>
      <c r="G269" s="29" t="s">
        <v>177</v>
      </c>
      <c r="H269" s="30" t="str">
        <f>HYPERLINK("https://www.munzee.com/m/TecmjrB/3905/", "TecmjrB/3905")</f>
        <v>TecmjrB/3905</v>
      </c>
      <c r="J269" s="31">
        <f t="shared" si="1"/>
        <v>12</v>
      </c>
    </row>
    <row r="270">
      <c r="A270" s="28">
        <v>5.0</v>
      </c>
      <c r="B270" s="28">
        <v>13.0</v>
      </c>
      <c r="C270" s="28">
        <v>53.4969711965847</v>
      </c>
      <c r="D270" s="28">
        <v>9.99274669467558</v>
      </c>
      <c r="E270" s="28" t="s">
        <v>15</v>
      </c>
      <c r="F270" s="28" t="s">
        <v>168</v>
      </c>
      <c r="G270" s="29" t="s">
        <v>178</v>
      </c>
      <c r="H270" s="30" t="str">
        <f>HYPERLINK("https://www.munzee.com/m/taska1981/4769/", "taska1981/4769")</f>
        <v>taska1981/4769</v>
      </c>
      <c r="J270" s="31">
        <f t="shared" si="1"/>
        <v>5</v>
      </c>
    </row>
    <row r="271">
      <c r="A271" s="28">
        <v>5.0</v>
      </c>
      <c r="B271" s="28">
        <v>14.0</v>
      </c>
      <c r="C271" s="28">
        <v>53.4969586694092</v>
      </c>
      <c r="D271" s="28">
        <v>9.9929873936544</v>
      </c>
      <c r="E271" s="28" t="s">
        <v>15</v>
      </c>
      <c r="F271" s="28" t="s">
        <v>168</v>
      </c>
      <c r="G271" s="29" t="s">
        <v>172</v>
      </c>
      <c r="H271" s="30" t="str">
        <f>HYPERLINK("https://www.munzee.com/m/JRdaBoss/5840/", "JRdaBoss/5840")</f>
        <v>JRdaBoss/5840</v>
      </c>
      <c r="J271" s="31">
        <f t="shared" si="1"/>
        <v>10</v>
      </c>
    </row>
    <row r="272">
      <c r="A272" s="28">
        <v>5.0</v>
      </c>
      <c r="B272" s="28">
        <v>15.0</v>
      </c>
      <c r="C272" s="28">
        <v>53.4969461422337</v>
      </c>
      <c r="D272" s="28">
        <v>9.99322809256216</v>
      </c>
      <c r="E272" s="28" t="s">
        <v>15</v>
      </c>
      <c r="F272" s="28" t="s">
        <v>168</v>
      </c>
      <c r="G272" s="29" t="s">
        <v>179</v>
      </c>
      <c r="H272" s="30" t="str">
        <f>HYPERLINK("https://www.munzee.com/m/123xilef/4493/", "123xilef/4493")</f>
        <v>123xilef/4493</v>
      </c>
      <c r="J272" s="31">
        <f t="shared" si="1"/>
        <v>8</v>
      </c>
    </row>
    <row r="273">
      <c r="A273" s="28">
        <v>5.0</v>
      </c>
      <c r="B273" s="28">
        <v>16.0</v>
      </c>
      <c r="C273" s="28">
        <v>53.4969336150583</v>
      </c>
      <c r="D273" s="28">
        <v>9.99346879139875</v>
      </c>
      <c r="E273" s="28" t="s">
        <v>15</v>
      </c>
      <c r="F273" s="28" t="s">
        <v>168</v>
      </c>
      <c r="G273" s="29" t="s">
        <v>177</v>
      </c>
      <c r="H273" s="30" t="str">
        <f>HYPERLINK("https://www.munzee.com/m/TecmjrB/3912/", "TecmjrB/3912")</f>
        <v>TecmjrB/3912</v>
      </c>
      <c r="J273" s="31">
        <f t="shared" si="1"/>
        <v>12</v>
      </c>
    </row>
    <row r="274">
      <c r="A274" s="28">
        <v>5.0</v>
      </c>
      <c r="B274" s="28">
        <v>17.0</v>
      </c>
      <c r="C274" s="28">
        <v>53.4969210878828</v>
      </c>
      <c r="D274" s="28">
        <v>9.99370949016429</v>
      </c>
      <c r="E274" s="28" t="s">
        <v>15</v>
      </c>
      <c r="F274" s="28" t="s">
        <v>168</v>
      </c>
      <c r="G274" s="29" t="s">
        <v>180</v>
      </c>
      <c r="H274" s="30" t="str">
        <f>HYPERLINK("https://www.munzee.com/m/Bungi/1497/", "Bungi/1497")</f>
        <v>Bungi/1497</v>
      </c>
      <c r="J274" s="31">
        <f t="shared" si="1"/>
        <v>2</v>
      </c>
    </row>
    <row r="275">
      <c r="A275" s="28">
        <v>5.0</v>
      </c>
      <c r="B275" s="28">
        <v>18.0</v>
      </c>
      <c r="C275" s="28">
        <v>53.4969085607073</v>
      </c>
      <c r="D275" s="28">
        <v>9.99395018885866</v>
      </c>
      <c r="E275" s="28" t="s">
        <v>15</v>
      </c>
      <c r="F275" s="28" t="s">
        <v>168</v>
      </c>
      <c r="G275" s="29" t="s">
        <v>178</v>
      </c>
      <c r="H275" s="30" t="str">
        <f>HYPERLINK("https://www.munzee.com/m/taska1981/4914/", "taska1981/4914")</f>
        <v>taska1981/4914</v>
      </c>
      <c r="J275" s="31">
        <f t="shared" si="1"/>
        <v>5</v>
      </c>
    </row>
    <row r="276">
      <c r="A276" s="28">
        <v>5.0</v>
      </c>
      <c r="B276" s="28">
        <v>19.0</v>
      </c>
      <c r="C276" s="28">
        <v>53.4968960335318</v>
      </c>
      <c r="D276" s="28">
        <v>9.99419088748197</v>
      </c>
      <c r="E276" s="28" t="s">
        <v>15</v>
      </c>
      <c r="F276" s="28" t="s">
        <v>168</v>
      </c>
      <c r="G276" s="29" t="s">
        <v>177</v>
      </c>
      <c r="H276" s="30" t="str">
        <f>HYPERLINK("https://www.munzee.com/m/TecmjrB/3888/", "TecmjrB/3888")</f>
        <v>TecmjrB/3888</v>
      </c>
      <c r="J276" s="31">
        <f t="shared" si="1"/>
        <v>12</v>
      </c>
    </row>
    <row r="277">
      <c r="A277" s="28">
        <v>5.0</v>
      </c>
      <c r="B277" s="28">
        <v>20.0</v>
      </c>
      <c r="C277" s="28">
        <v>53.4968835063563</v>
      </c>
      <c r="D277" s="28">
        <v>9.99443158603412</v>
      </c>
      <c r="E277" s="28" t="s">
        <v>15</v>
      </c>
      <c r="F277" s="28" t="s">
        <v>168</v>
      </c>
      <c r="G277" s="39" t="s">
        <v>181</v>
      </c>
      <c r="H277" s="40" t="str">
        <f>HYPERLINK("https://www.munzee.com/m/Derlame/10057/", "Derlame/10057")</f>
        <v>Derlame/10057</v>
      </c>
      <c r="J277" s="31">
        <f t="shared" si="1"/>
        <v>5</v>
      </c>
    </row>
    <row r="278">
      <c r="A278" s="28">
        <v>5.0</v>
      </c>
      <c r="B278" s="28">
        <v>21.0</v>
      </c>
      <c r="C278" s="28">
        <v>53.4968709791809</v>
      </c>
      <c r="D278" s="28">
        <v>9.99467228451521</v>
      </c>
      <c r="E278" s="28" t="s">
        <v>15</v>
      </c>
      <c r="F278" s="28" t="s">
        <v>168</v>
      </c>
      <c r="G278" s="39" t="s">
        <v>178</v>
      </c>
      <c r="H278" s="40" t="str">
        <f>HYPERLINK("https://www.munzee.com/m/taska1981/4921/", "taska1981/4921")</f>
        <v>taska1981/4921</v>
      </c>
      <c r="J278" s="31">
        <f t="shared" si="1"/>
        <v>5</v>
      </c>
    </row>
    <row r="279">
      <c r="A279" s="28">
        <v>5.0</v>
      </c>
      <c r="B279" s="28">
        <v>22.0</v>
      </c>
      <c r="C279" s="28">
        <v>53.4968584520054</v>
      </c>
      <c r="D279" s="28">
        <v>9.99491298292514</v>
      </c>
      <c r="E279" s="28" t="s">
        <v>15</v>
      </c>
      <c r="F279" s="28" t="s">
        <v>168</v>
      </c>
      <c r="G279" s="29" t="s">
        <v>177</v>
      </c>
      <c r="H279" s="30" t="str">
        <f>HYPERLINK("https://www.munzee.com/m/TecmjrB/3909/", "TecmjrB/3909")</f>
        <v>TecmjrB/3909</v>
      </c>
      <c r="J279" s="31">
        <f t="shared" si="1"/>
        <v>12</v>
      </c>
    </row>
    <row r="280">
      <c r="A280" s="28">
        <v>5.0</v>
      </c>
      <c r="B280" s="28">
        <v>23.0</v>
      </c>
      <c r="C280" s="28">
        <v>53.4968459248299</v>
      </c>
      <c r="D280" s="28">
        <v>9.99515368126401</v>
      </c>
      <c r="E280" s="28" t="s">
        <v>15</v>
      </c>
      <c r="F280" s="28" t="s">
        <v>168</v>
      </c>
      <c r="G280" s="29" t="s">
        <v>29</v>
      </c>
      <c r="H280" s="30" t="str">
        <f>HYPERLINK("https://www.munzee.com/m/InaausWien/2776/", "InaausWien/2776")</f>
        <v>InaausWien/2776</v>
      </c>
      <c r="J280" s="31">
        <f t="shared" si="1"/>
        <v>3</v>
      </c>
    </row>
    <row r="281">
      <c r="A281" s="28">
        <v>5.0</v>
      </c>
      <c r="B281" s="28">
        <v>24.0</v>
      </c>
      <c r="C281" s="28">
        <v>53.4968333976544</v>
      </c>
      <c r="D281" s="28">
        <v>9.99539437953171</v>
      </c>
      <c r="E281" s="28" t="s">
        <v>15</v>
      </c>
      <c r="F281" s="28" t="s">
        <v>168</v>
      </c>
      <c r="G281" s="29" t="s">
        <v>178</v>
      </c>
      <c r="H281" s="30" t="str">
        <f>HYPERLINK("https://www.munzee.com/m/taska1981/4924/", "taska1981/4924")</f>
        <v>taska1981/4924</v>
      </c>
      <c r="J281" s="31">
        <f t="shared" si="1"/>
        <v>5</v>
      </c>
    </row>
    <row r="282">
      <c r="A282" s="28">
        <v>5.0</v>
      </c>
      <c r="B282" s="28">
        <v>25.0</v>
      </c>
      <c r="C282" s="28">
        <v>53.4968208704789</v>
      </c>
      <c r="D282" s="28">
        <v>9.99563507772836</v>
      </c>
      <c r="E282" s="28" t="s">
        <v>15</v>
      </c>
      <c r="F282" s="28" t="s">
        <v>168</v>
      </c>
      <c r="G282" s="29" t="s">
        <v>177</v>
      </c>
      <c r="H282" s="30" t="str">
        <f>HYPERLINK("https://www.munzee.com/m/TecmjrB/3907/", "TecmjrB/3907")</f>
        <v>TecmjrB/3907</v>
      </c>
      <c r="J282" s="31">
        <f t="shared" si="1"/>
        <v>12</v>
      </c>
    </row>
    <row r="283">
      <c r="A283" s="28">
        <v>5.0</v>
      </c>
      <c r="B283" s="28">
        <v>26.0</v>
      </c>
      <c r="C283" s="28">
        <v>53.4968083433035</v>
      </c>
      <c r="D283" s="28">
        <v>9.99587577585384</v>
      </c>
      <c r="E283" s="28" t="s">
        <v>15</v>
      </c>
      <c r="F283" s="28" t="s">
        <v>168</v>
      </c>
      <c r="G283" s="29" t="s">
        <v>182</v>
      </c>
      <c r="H283" s="30" t="str">
        <f>HYPERLINK("https://www.munzee.com/m/dwyers5/1823/", "dwyers5/1823")</f>
        <v>dwyers5/1823</v>
      </c>
      <c r="J283" s="31">
        <f t="shared" si="1"/>
        <v>3</v>
      </c>
    </row>
    <row r="284">
      <c r="A284" s="28">
        <v>5.0</v>
      </c>
      <c r="B284" s="28">
        <v>27.0</v>
      </c>
      <c r="C284" s="28">
        <v>53.496795816128</v>
      </c>
      <c r="D284" s="28">
        <v>9.99611647390827</v>
      </c>
      <c r="E284" s="28" t="s">
        <v>15</v>
      </c>
      <c r="F284" s="28" t="s">
        <v>168</v>
      </c>
      <c r="G284" s="29" t="s">
        <v>30</v>
      </c>
      <c r="H284" s="30" t="str">
        <f>HYPERLINK("https://www.munzee.com/m/SachensucherHB/1528/", "SachensucherHB/1528")</f>
        <v>SachensucherHB/1528</v>
      </c>
      <c r="J284" s="31">
        <f t="shared" si="1"/>
        <v>62</v>
      </c>
    </row>
    <row r="285">
      <c r="A285" s="28">
        <v>5.0</v>
      </c>
      <c r="B285" s="28">
        <v>28.0</v>
      </c>
      <c r="C285" s="28">
        <v>53.4967832889525</v>
      </c>
      <c r="D285" s="28">
        <v>9.99635717189153</v>
      </c>
      <c r="E285" s="28" t="s">
        <v>15</v>
      </c>
      <c r="F285" s="28" t="s">
        <v>168</v>
      </c>
      <c r="G285" s="29" t="s">
        <v>177</v>
      </c>
      <c r="H285" s="30" t="str">
        <f>HYPERLINK("https://www.munzee.com/m/TecmjrB/3852/", "TecmjrB/3852")</f>
        <v>TecmjrB/3852</v>
      </c>
      <c r="J285" s="31">
        <f t="shared" si="1"/>
        <v>12</v>
      </c>
    </row>
    <row r="286">
      <c r="A286" s="28">
        <v>5.0</v>
      </c>
      <c r="B286" s="28">
        <v>29.0</v>
      </c>
      <c r="C286" s="28">
        <v>53.496770761777</v>
      </c>
      <c r="D286" s="28">
        <v>9.99659786980373</v>
      </c>
      <c r="E286" s="28" t="s">
        <v>15</v>
      </c>
      <c r="F286" s="28" t="s">
        <v>168</v>
      </c>
      <c r="G286" s="29" t="s">
        <v>172</v>
      </c>
      <c r="H286" s="30" t="str">
        <f>HYPERLINK("https://www.munzee.com/m/JRdaBoss/5845/", "JRdaBoss/5845")</f>
        <v>JRdaBoss/5845</v>
      </c>
      <c r="J286" s="31">
        <f t="shared" si="1"/>
        <v>10</v>
      </c>
    </row>
    <row r="287">
      <c r="A287" s="28">
        <v>5.0</v>
      </c>
      <c r="B287" s="28">
        <v>30.0</v>
      </c>
      <c r="C287" s="28">
        <v>53.4967582346015</v>
      </c>
      <c r="D287" s="28">
        <v>9.99683856764477</v>
      </c>
      <c r="E287" s="28" t="s">
        <v>15</v>
      </c>
      <c r="F287" s="28" t="s">
        <v>168</v>
      </c>
      <c r="G287" s="29" t="s">
        <v>30</v>
      </c>
      <c r="H287" s="30" t="str">
        <f>HYPERLINK("https://www.munzee.com/m/SachensucherHB/1530/", "SachensucherHB/1530")</f>
        <v>SachensucherHB/1530</v>
      </c>
      <c r="J287" s="31">
        <f t="shared" si="1"/>
        <v>62</v>
      </c>
    </row>
    <row r="288">
      <c r="A288" s="28">
        <v>5.0</v>
      </c>
      <c r="B288" s="28">
        <v>31.0</v>
      </c>
      <c r="C288" s="28">
        <v>53.4967457074261</v>
      </c>
      <c r="D288" s="28">
        <v>9.99707926541464</v>
      </c>
      <c r="E288" s="28" t="s">
        <v>15</v>
      </c>
      <c r="F288" s="28" t="s">
        <v>168</v>
      </c>
      <c r="G288" s="29" t="s">
        <v>177</v>
      </c>
      <c r="H288" s="30" t="str">
        <f>HYPERLINK("https://www.munzee.com/m/TecmjrB/3854/", "TecmjrB/3854")</f>
        <v>TecmjrB/3854</v>
      </c>
      <c r="J288" s="31">
        <f t="shared" si="1"/>
        <v>12</v>
      </c>
    </row>
    <row r="289">
      <c r="A289" s="28">
        <v>5.0</v>
      </c>
      <c r="B289" s="28">
        <v>32.0</v>
      </c>
      <c r="C289" s="28">
        <v>53.4967331802506</v>
      </c>
      <c r="D289" s="28">
        <v>9.99731996311345</v>
      </c>
      <c r="E289" s="28" t="s">
        <v>15</v>
      </c>
      <c r="F289" s="28" t="s">
        <v>168</v>
      </c>
      <c r="G289" s="29" t="s">
        <v>176</v>
      </c>
      <c r="H289" s="30" t="str">
        <f>HYPERLINK("https://www.munzee.com/m/Bisquick2/2745/", "Bisquick2/2745")</f>
        <v>Bisquick2/2745</v>
      </c>
      <c r="J289" s="31">
        <f t="shared" si="1"/>
        <v>4</v>
      </c>
    </row>
    <row r="290">
      <c r="A290" s="28">
        <v>5.0</v>
      </c>
      <c r="B290" s="28">
        <v>33.0</v>
      </c>
      <c r="C290" s="28">
        <v>53.4967206530751</v>
      </c>
      <c r="D290" s="28">
        <v>9.9975606607411</v>
      </c>
      <c r="E290" s="28" t="s">
        <v>15</v>
      </c>
      <c r="F290" s="28" t="s">
        <v>168</v>
      </c>
      <c r="G290" s="29" t="s">
        <v>183</v>
      </c>
      <c r="H290" s="30" t="str">
        <f>HYPERLINK("https://www.munzee.com/m/BonnieB1/3555/", "BonnieB1/3555")</f>
        <v>BonnieB1/3555</v>
      </c>
      <c r="J290" s="31">
        <f t="shared" si="1"/>
        <v>1</v>
      </c>
    </row>
    <row r="291">
      <c r="A291" s="28">
        <v>5.0</v>
      </c>
      <c r="B291" s="28">
        <v>34.0</v>
      </c>
      <c r="C291" s="28">
        <v>53.4967081258996</v>
      </c>
      <c r="D291" s="28">
        <v>9.99780135829769</v>
      </c>
      <c r="E291" s="28" t="s">
        <v>15</v>
      </c>
      <c r="F291" s="28" t="s">
        <v>168</v>
      </c>
      <c r="G291" s="29" t="s">
        <v>179</v>
      </c>
      <c r="H291" s="30" t="str">
        <f>HYPERLINK("https://www.munzee.com/m/123xilef/3314/", "123xilef/3314")</f>
        <v>123xilef/3314</v>
      </c>
      <c r="J291" s="31">
        <f t="shared" si="1"/>
        <v>8</v>
      </c>
    </row>
    <row r="292">
      <c r="A292" s="28">
        <v>5.0</v>
      </c>
      <c r="B292" s="28">
        <v>35.0</v>
      </c>
      <c r="C292" s="28">
        <v>53.4966955987241</v>
      </c>
      <c r="D292" s="28">
        <v>9.99804205578311</v>
      </c>
      <c r="E292" s="28" t="s">
        <v>15</v>
      </c>
      <c r="F292" s="28" t="s">
        <v>168</v>
      </c>
      <c r="G292" s="29" t="s">
        <v>172</v>
      </c>
      <c r="H292" s="30" t="str">
        <f>HYPERLINK("https://www.munzee.com/m/JRdaBoss/5847/", "JRdaBoss/5847")</f>
        <v>JRdaBoss/5847</v>
      </c>
      <c r="J292" s="31">
        <f t="shared" si="1"/>
        <v>10</v>
      </c>
    </row>
    <row r="293">
      <c r="A293" s="28">
        <v>5.0</v>
      </c>
      <c r="B293" s="28">
        <v>36.0</v>
      </c>
      <c r="C293" s="28">
        <v>53.4966830715487</v>
      </c>
      <c r="D293" s="28">
        <v>9.99828275319748</v>
      </c>
      <c r="E293" s="28" t="s">
        <v>15</v>
      </c>
      <c r="F293" s="28" t="s">
        <v>168</v>
      </c>
      <c r="G293" s="29" t="s">
        <v>31</v>
      </c>
      <c r="H293" s="30" t="str">
        <f>HYPERLINK("https://www.munzee.com/m/FeuerBrake/3796/", "FeuerBrake/3796")</f>
        <v>FeuerBrake/3796</v>
      </c>
      <c r="J293" s="31">
        <f t="shared" si="1"/>
        <v>5</v>
      </c>
    </row>
    <row r="294">
      <c r="A294" s="28">
        <v>5.0</v>
      </c>
      <c r="B294" s="28">
        <v>37.0</v>
      </c>
      <c r="C294" s="28">
        <v>53.4966705443732</v>
      </c>
      <c r="D294" s="28">
        <v>9.99852345054068</v>
      </c>
      <c r="E294" s="28" t="s">
        <v>15</v>
      </c>
      <c r="F294" s="28" t="s">
        <v>168</v>
      </c>
      <c r="G294" s="29" t="s">
        <v>184</v>
      </c>
      <c r="H294" s="30" t="str">
        <f>HYPERLINK("https://www.munzee.com/m/Peter1980/4089/", "Peter1980/4089")</f>
        <v>Peter1980/4089</v>
      </c>
      <c r="J294" s="31">
        <f t="shared" si="1"/>
        <v>1</v>
      </c>
    </row>
    <row r="295">
      <c r="A295" s="28">
        <v>5.0</v>
      </c>
      <c r="B295" s="28">
        <v>38.0</v>
      </c>
      <c r="C295" s="28">
        <v>53.4966580171977</v>
      </c>
      <c r="D295" s="28">
        <v>9.99876414781283</v>
      </c>
      <c r="E295" s="28" t="s">
        <v>15</v>
      </c>
      <c r="F295" s="28" t="s">
        <v>168</v>
      </c>
      <c r="G295" s="29" t="s">
        <v>172</v>
      </c>
      <c r="H295" s="30" t="str">
        <f>HYPERLINK("https://www.munzee.com/m/JRdaBoss/5852/", "JRdaBoss/5852")</f>
        <v>JRdaBoss/5852</v>
      </c>
      <c r="J295" s="31">
        <f t="shared" si="1"/>
        <v>10</v>
      </c>
    </row>
    <row r="296">
      <c r="A296" s="28">
        <v>5.0</v>
      </c>
      <c r="B296" s="28">
        <v>39.0</v>
      </c>
      <c r="C296" s="28">
        <v>53.4966454900222</v>
      </c>
      <c r="D296" s="28">
        <v>9.99900484501381</v>
      </c>
      <c r="E296" s="28" t="s">
        <v>15</v>
      </c>
      <c r="F296" s="28" t="s">
        <v>168</v>
      </c>
      <c r="G296" s="29" t="s">
        <v>37</v>
      </c>
      <c r="H296" s="30" t="str">
        <f>HYPERLINK("https://www.munzee.com/m/Ansofin/1550", "Ansofin/1550")</f>
        <v>Ansofin/1550</v>
      </c>
      <c r="J296" s="31">
        <f t="shared" si="1"/>
        <v>11</v>
      </c>
    </row>
    <row r="297">
      <c r="A297" s="28">
        <v>5.0</v>
      </c>
      <c r="B297" s="28">
        <v>40.0</v>
      </c>
      <c r="C297" s="28">
        <v>53.4966329628467</v>
      </c>
      <c r="D297" s="28">
        <v>9.99924554214374</v>
      </c>
      <c r="E297" s="28" t="s">
        <v>15</v>
      </c>
      <c r="F297" s="28" t="s">
        <v>168</v>
      </c>
      <c r="G297" s="29" t="s">
        <v>177</v>
      </c>
      <c r="H297" s="30" t="str">
        <f>HYPERLINK("https://www.munzee.com/m/TecmjrB/3879/", "TecmjrB/3879")</f>
        <v>TecmjrB/3879</v>
      </c>
      <c r="J297" s="31">
        <f t="shared" si="1"/>
        <v>12</v>
      </c>
    </row>
    <row r="298">
      <c r="A298" s="28">
        <v>5.0</v>
      </c>
      <c r="B298" s="28">
        <v>41.0</v>
      </c>
      <c r="C298" s="28">
        <v>53.4966204356713</v>
      </c>
      <c r="D298" s="28">
        <v>9.99948623920249</v>
      </c>
      <c r="E298" s="28" t="s">
        <v>15</v>
      </c>
      <c r="F298" s="28" t="s">
        <v>168</v>
      </c>
      <c r="G298" s="29" t="s">
        <v>172</v>
      </c>
      <c r="H298" s="30" t="str">
        <f>HYPERLINK("https://www.munzee.com/m/JRdaBoss/5853/", "JRdaBoss/5853")</f>
        <v>JRdaBoss/5853</v>
      </c>
      <c r="J298" s="31">
        <f t="shared" si="1"/>
        <v>10</v>
      </c>
    </row>
    <row r="299">
      <c r="A299" s="28">
        <v>5.0</v>
      </c>
      <c r="B299" s="28">
        <v>42.0</v>
      </c>
      <c r="C299" s="28">
        <v>53.4966079084958</v>
      </c>
      <c r="D299" s="28">
        <v>9.9997269361902</v>
      </c>
      <c r="E299" s="28" t="s">
        <v>15</v>
      </c>
      <c r="F299" s="28" t="s">
        <v>168</v>
      </c>
      <c r="G299" s="29" t="s">
        <v>37</v>
      </c>
      <c r="H299" s="30" t="str">
        <f>HYPERLINK("https://www.munzee.com/m/Ansofin/1546", "Ansofin/1546")</f>
        <v>Ansofin/1546</v>
      </c>
      <c r="J299" s="31">
        <f t="shared" si="1"/>
        <v>11</v>
      </c>
    </row>
    <row r="300">
      <c r="A300" s="28">
        <v>5.0</v>
      </c>
      <c r="B300" s="28">
        <v>43.0</v>
      </c>
      <c r="C300" s="28">
        <v>53.4965953813203</v>
      </c>
      <c r="D300" s="28">
        <v>9.99996763310673</v>
      </c>
      <c r="E300" s="28" t="s">
        <v>15</v>
      </c>
      <c r="F300" s="28" t="s">
        <v>168</v>
      </c>
      <c r="G300" s="29" t="s">
        <v>177</v>
      </c>
      <c r="H300" s="30" t="str">
        <f>HYPERLINK("https://www.munzee.com/m/TecmjrB/3883/", "TecmjrB/3883")</f>
        <v>TecmjrB/3883</v>
      </c>
      <c r="J300" s="31">
        <f t="shared" si="1"/>
        <v>12</v>
      </c>
    </row>
    <row r="301">
      <c r="A301" s="28">
        <v>5.0</v>
      </c>
      <c r="B301" s="28">
        <v>44.0</v>
      </c>
      <c r="C301" s="28">
        <v>53.4965828541448</v>
      </c>
      <c r="D301" s="28">
        <v>10.0002083299522</v>
      </c>
      <c r="E301" s="28" t="s">
        <v>15</v>
      </c>
      <c r="F301" s="28" t="s">
        <v>168</v>
      </c>
      <c r="G301" s="29" t="s">
        <v>172</v>
      </c>
      <c r="H301" s="30" t="str">
        <f>HYPERLINK("https://www.munzee.com/m/JRdaBoss/5859/", "JRdaBoss/5859")</f>
        <v>JRdaBoss/5859</v>
      </c>
      <c r="J301" s="31">
        <f t="shared" si="1"/>
        <v>10</v>
      </c>
    </row>
    <row r="302">
      <c r="A302" s="28">
        <v>5.0</v>
      </c>
      <c r="B302" s="28">
        <v>45.0</v>
      </c>
      <c r="C302" s="28">
        <v>53.4965703269693</v>
      </c>
      <c r="D302" s="28">
        <v>10.0004490267265</v>
      </c>
      <c r="E302" s="28" t="s">
        <v>15</v>
      </c>
      <c r="F302" s="28" t="s">
        <v>168</v>
      </c>
      <c r="G302" s="29" t="s">
        <v>32</v>
      </c>
      <c r="H302" s="35" t="s">
        <v>185</v>
      </c>
      <c r="J302" s="31">
        <f t="shared" si="1"/>
        <v>6</v>
      </c>
    </row>
    <row r="303">
      <c r="A303" s="28">
        <v>5.0</v>
      </c>
      <c r="B303" s="28">
        <v>46.0</v>
      </c>
      <c r="C303" s="28">
        <v>53.4965577997939</v>
      </c>
      <c r="D303" s="28">
        <v>10.0006897234297</v>
      </c>
      <c r="E303" s="28" t="s">
        <v>15</v>
      </c>
      <c r="F303" s="28" t="s">
        <v>168</v>
      </c>
      <c r="G303" s="29" t="s">
        <v>37</v>
      </c>
      <c r="H303" s="30" t="str">
        <f>HYPERLINK("https://www.munzee.com/m/Ansofin/1418", "Ansofin/1418")</f>
        <v>Ansofin/1418</v>
      </c>
      <c r="J303" s="31">
        <f t="shared" si="1"/>
        <v>11</v>
      </c>
    </row>
    <row r="304">
      <c r="A304" s="28">
        <v>5.0</v>
      </c>
      <c r="B304" s="28">
        <v>47.0</v>
      </c>
      <c r="C304" s="28">
        <v>53.4965452726184</v>
      </c>
      <c r="D304" s="28">
        <v>10.0009304200618</v>
      </c>
      <c r="E304" s="28" t="s">
        <v>15</v>
      </c>
      <c r="F304" s="28" t="s">
        <v>168</v>
      </c>
      <c r="G304" s="29" t="s">
        <v>186</v>
      </c>
      <c r="H304" s="30" t="str">
        <f>HYPERLINK("https://www.munzee.com/m/halizwein/8981/", "halizwein/8981")</f>
        <v>halizwein/8981</v>
      </c>
      <c r="J304" s="31">
        <f t="shared" si="1"/>
        <v>1</v>
      </c>
    </row>
    <row r="305">
      <c r="A305" s="28">
        <v>5.0</v>
      </c>
      <c r="B305" s="28">
        <v>48.0</v>
      </c>
      <c r="C305" s="28">
        <v>53.4965327454429</v>
      </c>
      <c r="D305" s="28">
        <v>10.0011711166229</v>
      </c>
      <c r="E305" s="28" t="s">
        <v>15</v>
      </c>
      <c r="F305" s="28" t="s">
        <v>168</v>
      </c>
      <c r="G305" s="29" t="s">
        <v>177</v>
      </c>
      <c r="H305" s="30" t="str">
        <f>HYPERLINK("https://www.munzee.com/m/TecmjrB/3899/", "TecmjrB/3899")</f>
        <v>TecmjrB/3899</v>
      </c>
      <c r="J305" s="31">
        <f t="shared" si="1"/>
        <v>12</v>
      </c>
    </row>
    <row r="306">
      <c r="A306" s="28">
        <v>5.0</v>
      </c>
      <c r="B306" s="28">
        <v>49.0</v>
      </c>
      <c r="C306" s="28">
        <v>53.4965202182674</v>
      </c>
      <c r="D306" s="28">
        <v>10.0014118131127</v>
      </c>
      <c r="E306" s="28" t="s">
        <v>15</v>
      </c>
      <c r="F306" s="28" t="s">
        <v>168</v>
      </c>
      <c r="G306" s="29" t="s">
        <v>181</v>
      </c>
      <c r="H306" s="30" t="str">
        <f>HYPERLINK("https://www.munzee.com/m/Derlame/10183/", "Derlame/10183")</f>
        <v>Derlame/10183</v>
      </c>
      <c r="J306" s="31">
        <f t="shared" si="1"/>
        <v>5</v>
      </c>
    </row>
    <row r="307">
      <c r="A307" s="28">
        <v>5.0</v>
      </c>
      <c r="B307" s="28">
        <v>50.0</v>
      </c>
      <c r="C307" s="28">
        <v>53.4965076910919</v>
      </c>
      <c r="D307" s="28">
        <v>10.0016525095315</v>
      </c>
      <c r="E307" s="28" t="s">
        <v>15</v>
      </c>
      <c r="F307" s="28" t="s">
        <v>168</v>
      </c>
      <c r="G307" s="29" t="s">
        <v>37</v>
      </c>
      <c r="H307" s="30" t="str">
        <f>HYPERLINK("https://www.munzee.com/m/Ansofin/1370", "Ansofin/1370")</f>
        <v>Ansofin/1370</v>
      </c>
      <c r="J307" s="31">
        <f t="shared" si="1"/>
        <v>11</v>
      </c>
    </row>
    <row r="308">
      <c r="A308" s="28">
        <v>5.0</v>
      </c>
      <c r="B308" s="28">
        <v>51.0</v>
      </c>
      <c r="C308" s="28">
        <v>53.4964951639165</v>
      </c>
      <c r="D308" s="28">
        <v>10.0018932058792</v>
      </c>
      <c r="E308" s="28" t="s">
        <v>15</v>
      </c>
      <c r="F308" s="28" t="s">
        <v>168</v>
      </c>
      <c r="G308" s="29" t="s">
        <v>177</v>
      </c>
      <c r="H308" s="30" t="str">
        <f>HYPERLINK("https://www.munzee.com/m/TecmjrB/3913/", "TecmjrB/3913")</f>
        <v>TecmjrB/3913</v>
      </c>
      <c r="J308" s="31">
        <f t="shared" si="1"/>
        <v>12</v>
      </c>
    </row>
    <row r="309">
      <c r="A309" s="28">
        <v>5.0</v>
      </c>
      <c r="B309" s="28">
        <v>52.0</v>
      </c>
      <c r="C309" s="28">
        <v>53.496482636741</v>
      </c>
      <c r="D309" s="28">
        <v>10.0021339021558</v>
      </c>
      <c r="E309" s="28" t="s">
        <v>15</v>
      </c>
      <c r="F309" s="28" t="s">
        <v>168</v>
      </c>
      <c r="G309" s="29" t="s">
        <v>187</v>
      </c>
      <c r="H309" s="30" t="str">
        <f>HYPERLINK("https://www.munzee.com/m/MiniKara/266/", "MiniKara/266")</f>
        <v>MiniKara/266</v>
      </c>
      <c r="J309" s="31">
        <f t="shared" si="1"/>
        <v>2</v>
      </c>
    </row>
    <row r="310">
      <c r="A310" s="28">
        <v>5.0</v>
      </c>
      <c r="B310" s="28">
        <v>53.0</v>
      </c>
      <c r="C310" s="28">
        <v>53.4964701095655</v>
      </c>
      <c r="D310" s="28">
        <v>10.0023745983612</v>
      </c>
      <c r="E310" s="28" t="s">
        <v>15</v>
      </c>
      <c r="F310" s="28" t="s">
        <v>168</v>
      </c>
      <c r="G310" s="29" t="s">
        <v>40</v>
      </c>
      <c r="H310" s="30" t="str">
        <f>HYPERLINK("https://www.munzee.com/m/csThanner/2511", "csThanner/2511")</f>
        <v>csThanner/2511</v>
      </c>
      <c r="J310" s="31">
        <f t="shared" si="1"/>
        <v>88</v>
      </c>
    </row>
    <row r="311">
      <c r="A311" s="28">
        <v>5.0</v>
      </c>
      <c r="B311" s="28">
        <v>54.0</v>
      </c>
      <c r="C311" s="28">
        <v>53.49645758239</v>
      </c>
      <c r="D311" s="28">
        <v>10.0026152944956</v>
      </c>
      <c r="E311" s="28" t="s">
        <v>15</v>
      </c>
      <c r="F311" s="28" t="s">
        <v>168</v>
      </c>
      <c r="G311" s="29" t="s">
        <v>37</v>
      </c>
      <c r="H311" s="30" t="str">
        <f>HYPERLINK("https://www.munzee.com/m/Ansofin/1364", "Ansofin/1364")</f>
        <v>Ansofin/1364</v>
      </c>
      <c r="J311" s="31">
        <f t="shared" si="1"/>
        <v>11</v>
      </c>
    </row>
    <row r="312">
      <c r="A312" s="28">
        <v>5.0</v>
      </c>
      <c r="B312" s="28">
        <v>55.0</v>
      </c>
      <c r="C312" s="28">
        <v>53.4964450552145</v>
      </c>
      <c r="D312" s="28">
        <v>10.0028559905588</v>
      </c>
      <c r="E312" s="28" t="s">
        <v>15</v>
      </c>
      <c r="F312" s="28" t="s">
        <v>168</v>
      </c>
      <c r="G312" s="29" t="s">
        <v>188</v>
      </c>
      <c r="H312" s="30" t="str">
        <f>HYPERLINK("https://www.munzee.com/m/jokerFG/2079", "jokerFG/2079")</f>
        <v>jokerFG/2079</v>
      </c>
      <c r="J312" s="31">
        <f t="shared" si="1"/>
        <v>10</v>
      </c>
    </row>
    <row r="313">
      <c r="A313" s="28">
        <v>5.0</v>
      </c>
      <c r="B313" s="28">
        <v>56.0</v>
      </c>
      <c r="C313" s="28">
        <v>53.496432528039</v>
      </c>
      <c r="D313" s="28">
        <v>10.0030966865509</v>
      </c>
      <c r="E313" s="28" t="s">
        <v>15</v>
      </c>
      <c r="F313" s="28" t="s">
        <v>168</v>
      </c>
      <c r="G313" s="29" t="s">
        <v>138</v>
      </c>
      <c r="H313" s="30" t="str">
        <f>HYPERLINK("https://www.munzee.com/m/IggiePiggie/1283/", "IggiePiggie/1283")</f>
        <v>IggiePiggie/1283</v>
      </c>
      <c r="J313" s="31">
        <f t="shared" si="1"/>
        <v>4</v>
      </c>
    </row>
    <row r="314">
      <c r="A314" s="28">
        <v>5.0</v>
      </c>
      <c r="B314" s="28">
        <v>57.0</v>
      </c>
      <c r="C314" s="28">
        <v>53.4964200008636</v>
      </c>
      <c r="D314" s="28">
        <v>10.0033373824719</v>
      </c>
      <c r="E314" s="28" t="s">
        <v>15</v>
      </c>
      <c r="F314" s="28" t="s">
        <v>168</v>
      </c>
      <c r="G314" s="29" t="s">
        <v>189</v>
      </c>
      <c r="H314" s="30" t="str">
        <f>HYPERLINK("https://www.munzee.com/m/kwd/5772", "kwd/5772")</f>
        <v>kwd/5772</v>
      </c>
      <c r="J314" s="31">
        <f t="shared" si="1"/>
        <v>40</v>
      </c>
    </row>
    <row r="315">
      <c r="A315" s="28">
        <v>5.0</v>
      </c>
      <c r="B315" s="28">
        <v>58.0</v>
      </c>
      <c r="C315" s="28">
        <v>53.4964074736881</v>
      </c>
      <c r="D315" s="28">
        <v>10.0035780783218</v>
      </c>
      <c r="E315" s="28" t="s">
        <v>15</v>
      </c>
      <c r="F315" s="28" t="s">
        <v>168</v>
      </c>
      <c r="G315" s="29" t="s">
        <v>37</v>
      </c>
      <c r="H315" s="30" t="str">
        <f>HYPERLINK("https://www.munzee.com/m/Ansofin/1346", "Ansofin/1346")</f>
        <v>Ansofin/1346</v>
      </c>
      <c r="J315" s="31">
        <f t="shared" si="1"/>
        <v>11</v>
      </c>
    </row>
    <row r="316">
      <c r="A316" s="28">
        <v>5.0</v>
      </c>
      <c r="B316" s="28">
        <v>59.0</v>
      </c>
      <c r="C316" s="28">
        <v>53.4963949465126</v>
      </c>
      <c r="D316" s="28">
        <v>10.0038187741006</v>
      </c>
      <c r="E316" s="28" t="s">
        <v>15</v>
      </c>
      <c r="F316" s="28" t="s">
        <v>168</v>
      </c>
      <c r="G316" s="29" t="s">
        <v>176</v>
      </c>
      <c r="H316" s="30" t="str">
        <f>HYPERLINK("https://www.munzee.com/m/Bisquick2/2803/", "Bisquick2/2803")</f>
        <v>Bisquick2/2803</v>
      </c>
      <c r="J316" s="31">
        <f t="shared" si="1"/>
        <v>4</v>
      </c>
    </row>
    <row r="317">
      <c r="A317" s="28">
        <v>5.0</v>
      </c>
      <c r="B317" s="28">
        <v>60.0</v>
      </c>
      <c r="C317" s="28">
        <v>53.4963824193371</v>
      </c>
      <c r="D317" s="28">
        <v>10.0040594698083</v>
      </c>
      <c r="E317" s="28" t="s">
        <v>25</v>
      </c>
      <c r="F317" s="28" t="s">
        <v>14</v>
      </c>
      <c r="G317" s="29" t="s">
        <v>190</v>
      </c>
      <c r="H317" s="30" t="str">
        <f>HYPERLINK("https://www.munzee.com/m/hunniees/26677/", "hunniees/26677")</f>
        <v>hunniees/26677</v>
      </c>
      <c r="J317" s="31">
        <f t="shared" si="1"/>
        <v>1</v>
      </c>
    </row>
    <row r="318">
      <c r="A318" s="28">
        <v>6.0</v>
      </c>
      <c r="B318" s="28">
        <v>1.0</v>
      </c>
      <c r="C318" s="28">
        <v>53.4969783391809</v>
      </c>
      <c r="D318" s="28">
        <v>9.98983724294112</v>
      </c>
      <c r="E318" s="28" t="s">
        <v>25</v>
      </c>
      <c r="F318" s="28" t="s">
        <v>14</v>
      </c>
      <c r="G318" s="29" t="s">
        <v>30</v>
      </c>
      <c r="H318" s="30" t="str">
        <f>HYPERLINK("https://www.munzee.com/m/SachensucherHB/1485/", "SachensucherHB/1485")</f>
        <v>SachensucherHB/1485</v>
      </c>
      <c r="J318" s="31">
        <f t="shared" si="1"/>
        <v>62</v>
      </c>
    </row>
    <row r="319">
      <c r="A319" s="28">
        <v>6.0</v>
      </c>
      <c r="B319" s="28">
        <v>2.0</v>
      </c>
      <c r="C319" s="28">
        <v>53.4969658120054</v>
      </c>
      <c r="D319" s="28">
        <v>9.99007794196052</v>
      </c>
      <c r="E319" s="28" t="s">
        <v>15</v>
      </c>
      <c r="F319" s="28" t="s">
        <v>168</v>
      </c>
      <c r="G319" s="29" t="s">
        <v>182</v>
      </c>
      <c r="H319" s="30" t="str">
        <f>HYPERLINK("https://www.munzee.com/m/dwyers5/1893/", "dwyers5/1893")</f>
        <v>dwyers5/1893</v>
      </c>
      <c r="J319" s="31">
        <f t="shared" si="1"/>
        <v>3</v>
      </c>
    </row>
    <row r="320">
      <c r="A320" s="28">
        <v>6.0</v>
      </c>
      <c r="B320" s="28">
        <v>3.0</v>
      </c>
      <c r="C320" s="28">
        <v>53.4969532848299</v>
      </c>
      <c r="D320" s="28">
        <v>9.99031864090875</v>
      </c>
      <c r="E320" s="28" t="s">
        <v>15</v>
      </c>
      <c r="F320" s="28" t="s">
        <v>168</v>
      </c>
      <c r="G320" s="29" t="s">
        <v>191</v>
      </c>
      <c r="H320" s="30" t="str">
        <f>HYPERLINK("https://www.munzee.com/m/driver582/5497", "driver582/5497")</f>
        <v>driver582/5497</v>
      </c>
      <c r="J320" s="31">
        <f t="shared" si="1"/>
        <v>6</v>
      </c>
    </row>
    <row r="321">
      <c r="A321" s="28">
        <v>6.0</v>
      </c>
      <c r="B321" s="28">
        <v>4.0</v>
      </c>
      <c r="C321" s="28">
        <v>53.4969407576545</v>
      </c>
      <c r="D321" s="28">
        <v>9.99055933978593</v>
      </c>
      <c r="E321" s="28" t="s">
        <v>15</v>
      </c>
      <c r="F321" s="28" t="s">
        <v>168</v>
      </c>
      <c r="G321" s="29" t="s">
        <v>58</v>
      </c>
      <c r="H321" s="30" t="str">
        <f>HYPERLINK("https://www.munzee.com/m/Engel19/7264/", "Engel19/7264")</f>
        <v>Engel19/7264</v>
      </c>
      <c r="J321" s="31">
        <f t="shared" si="1"/>
        <v>6</v>
      </c>
    </row>
    <row r="322">
      <c r="A322" s="28">
        <v>6.0</v>
      </c>
      <c r="B322" s="28">
        <v>5.0</v>
      </c>
      <c r="C322" s="28">
        <v>53.496928230479</v>
      </c>
      <c r="D322" s="28">
        <v>9.99080003859194</v>
      </c>
      <c r="E322" s="28" t="s">
        <v>15</v>
      </c>
      <c r="F322" s="28" t="s">
        <v>168</v>
      </c>
      <c r="G322" s="29" t="s">
        <v>181</v>
      </c>
      <c r="H322" s="30" t="str">
        <f>HYPERLINK("https://www.munzee.com/m/Derlame/9856/", "Derlame/9856")</f>
        <v>Derlame/9856</v>
      </c>
      <c r="J322" s="31">
        <f t="shared" si="1"/>
        <v>5</v>
      </c>
    </row>
    <row r="323">
      <c r="A323" s="28">
        <v>6.0</v>
      </c>
      <c r="B323" s="28">
        <v>6.0</v>
      </c>
      <c r="C323" s="28">
        <v>53.4969157033035</v>
      </c>
      <c r="D323" s="28">
        <v>9.99104073732689</v>
      </c>
      <c r="E323" s="28" t="s">
        <v>15</v>
      </c>
      <c r="F323" s="28" t="s">
        <v>168</v>
      </c>
      <c r="G323" s="29" t="s">
        <v>187</v>
      </c>
      <c r="H323" s="30" t="str">
        <f>HYPERLINK("https://www.munzee.com/m/MiniKara/343/", "MiniKara/343")</f>
        <v>MiniKara/343</v>
      </c>
      <c r="J323" s="31">
        <f t="shared" si="1"/>
        <v>2</v>
      </c>
    </row>
    <row r="324">
      <c r="A324" s="28">
        <v>6.0</v>
      </c>
      <c r="B324" s="28">
        <v>7.0</v>
      </c>
      <c r="C324" s="28">
        <v>53.496903176128</v>
      </c>
      <c r="D324" s="28">
        <v>9.99128143599068</v>
      </c>
      <c r="E324" s="28" t="s">
        <v>15</v>
      </c>
      <c r="F324" s="28" t="s">
        <v>168</v>
      </c>
      <c r="G324" s="29" t="s">
        <v>191</v>
      </c>
      <c r="H324" s="30" t="str">
        <f>HYPERLINK("https://www.munzee.com/m/driver582/5496", "driver582/5496")</f>
        <v>driver582/5496</v>
      </c>
      <c r="J324" s="31">
        <f t="shared" si="1"/>
        <v>6</v>
      </c>
    </row>
    <row r="325">
      <c r="A325" s="28">
        <v>6.0</v>
      </c>
      <c r="B325" s="28">
        <v>8.0</v>
      </c>
      <c r="C325" s="28">
        <v>53.4968906489525</v>
      </c>
      <c r="D325" s="28">
        <v>9.99152213458342</v>
      </c>
      <c r="E325" s="28" t="s">
        <v>15</v>
      </c>
      <c r="F325" s="28" t="s">
        <v>168</v>
      </c>
      <c r="G325" s="29" t="s">
        <v>58</v>
      </c>
      <c r="H325" s="30" t="str">
        <f>HYPERLINK("https://www.munzee.com/m/Engel19/7233/", "Engel19/7233")</f>
        <v>Engel19/7233</v>
      </c>
      <c r="J325" s="31">
        <f t="shared" si="1"/>
        <v>6</v>
      </c>
    </row>
    <row r="326">
      <c r="A326" s="28">
        <v>6.0</v>
      </c>
      <c r="B326" s="28">
        <v>9.0</v>
      </c>
      <c r="C326" s="28">
        <v>53.496878121777</v>
      </c>
      <c r="D326" s="28">
        <v>9.99176283310498</v>
      </c>
      <c r="E326" s="28" t="s">
        <v>15</v>
      </c>
      <c r="F326" s="28" t="s">
        <v>168</v>
      </c>
      <c r="G326" s="29" t="s">
        <v>40</v>
      </c>
      <c r="H326" s="30" t="str">
        <f>HYPERLINK("https://www.munzee.com/m/csThanner/2509", "csThanner/2509")</f>
        <v>csThanner/2509</v>
      </c>
      <c r="J326" s="31">
        <f t="shared" si="1"/>
        <v>88</v>
      </c>
    </row>
    <row r="327">
      <c r="A327" s="28">
        <v>6.0</v>
      </c>
      <c r="B327" s="28">
        <v>10.0</v>
      </c>
      <c r="C327" s="28">
        <v>53.4968655946015</v>
      </c>
      <c r="D327" s="28">
        <v>9.99200353155549</v>
      </c>
      <c r="E327" s="28" t="s">
        <v>15</v>
      </c>
      <c r="F327" s="28" t="s">
        <v>168</v>
      </c>
      <c r="G327" s="29" t="s">
        <v>181</v>
      </c>
      <c r="H327" s="30" t="str">
        <f>HYPERLINK("https://www.munzee.com/m/Derlame/10187/", "Derlame/10187")</f>
        <v>Derlame/10187</v>
      </c>
      <c r="J327" s="31">
        <f t="shared" si="1"/>
        <v>5</v>
      </c>
    </row>
    <row r="328">
      <c r="A328" s="28">
        <v>6.0</v>
      </c>
      <c r="B328" s="28">
        <v>11.0</v>
      </c>
      <c r="C328" s="28">
        <v>53.4968530674261</v>
      </c>
      <c r="D328" s="28">
        <v>9.99224422993484</v>
      </c>
      <c r="E328" s="28" t="s">
        <v>15</v>
      </c>
      <c r="F328" s="28" t="s">
        <v>168</v>
      </c>
      <c r="G328" s="29" t="s">
        <v>191</v>
      </c>
      <c r="H328" s="30" t="str">
        <f>HYPERLINK("https://www.munzee.com/m/driver582/5495", "driver582/5495")</f>
        <v>driver582/5495</v>
      </c>
      <c r="J328" s="31">
        <f t="shared" si="1"/>
        <v>6</v>
      </c>
    </row>
    <row r="329">
      <c r="A329" s="28">
        <v>6.0</v>
      </c>
      <c r="B329" s="28">
        <v>12.0</v>
      </c>
      <c r="C329" s="28">
        <v>53.4968405402506</v>
      </c>
      <c r="D329" s="28">
        <v>9.99248492824313</v>
      </c>
      <c r="E329" s="28" t="s">
        <v>15</v>
      </c>
      <c r="F329" s="28" t="s">
        <v>168</v>
      </c>
      <c r="G329" s="29" t="s">
        <v>58</v>
      </c>
      <c r="H329" s="30" t="str">
        <f>HYPERLINK("https://www.munzee.com/m/Engel19/7231/", "Engel19/7231")</f>
        <v>Engel19/7231</v>
      </c>
      <c r="J329" s="31">
        <f t="shared" si="1"/>
        <v>6</v>
      </c>
    </row>
    <row r="330">
      <c r="A330" s="28">
        <v>6.0</v>
      </c>
      <c r="B330" s="28">
        <v>13.0</v>
      </c>
      <c r="C330" s="28">
        <v>53.4968280130751</v>
      </c>
      <c r="D330" s="28">
        <v>9.99272562648025</v>
      </c>
      <c r="E330" s="28" t="s">
        <v>15</v>
      </c>
      <c r="F330" s="28" t="s">
        <v>168</v>
      </c>
      <c r="G330" s="29" t="s">
        <v>192</v>
      </c>
      <c r="H330" s="30" t="str">
        <f>HYPERLINK("https://www.munzee.com/m/mandello/5379/", "mandello/5379")</f>
        <v>mandello/5379</v>
      </c>
      <c r="J330" s="31">
        <f t="shared" si="1"/>
        <v>3</v>
      </c>
    </row>
    <row r="331">
      <c r="A331" s="28">
        <v>6.0</v>
      </c>
      <c r="B331" s="28">
        <v>14.0</v>
      </c>
      <c r="C331" s="28">
        <v>53.4968154858996</v>
      </c>
      <c r="D331" s="28">
        <v>9.99296632464631</v>
      </c>
      <c r="E331" s="28" t="s">
        <v>15</v>
      </c>
      <c r="F331" s="28" t="s">
        <v>168</v>
      </c>
      <c r="G331" s="29" t="s">
        <v>40</v>
      </c>
      <c r="H331" s="30" t="str">
        <f>HYPERLINK("https://www.munzee.com/m/csThanner/2507", "csThanner/2507")</f>
        <v>csThanner/2507</v>
      </c>
      <c r="J331" s="31">
        <f t="shared" si="1"/>
        <v>88</v>
      </c>
    </row>
    <row r="332">
      <c r="A332" s="28">
        <v>6.0</v>
      </c>
      <c r="B332" s="28">
        <v>15.0</v>
      </c>
      <c r="C332" s="28">
        <v>53.4968029587241</v>
      </c>
      <c r="D332" s="28">
        <v>9.99320702274121</v>
      </c>
      <c r="E332" s="28" t="s">
        <v>15</v>
      </c>
      <c r="F332" s="28" t="s">
        <v>168</v>
      </c>
      <c r="G332" s="29" t="s">
        <v>191</v>
      </c>
      <c r="H332" s="30" t="str">
        <f>HYPERLINK("https://www.munzee.com/m/driver582/5494", "driver582/5494")</f>
        <v>driver582/5494</v>
      </c>
      <c r="J332" s="31">
        <f t="shared" si="1"/>
        <v>6</v>
      </c>
    </row>
    <row r="333">
      <c r="A333" s="28">
        <v>6.0</v>
      </c>
      <c r="B333" s="28">
        <v>16.0</v>
      </c>
      <c r="C333" s="28">
        <v>53.4967904315486</v>
      </c>
      <c r="D333" s="28">
        <v>9.99344772076506</v>
      </c>
      <c r="E333" s="28" t="s">
        <v>15</v>
      </c>
      <c r="F333" s="28" t="s">
        <v>168</v>
      </c>
      <c r="G333" s="29" t="s">
        <v>58</v>
      </c>
      <c r="H333" s="30" t="str">
        <f>HYPERLINK("https://www.munzee.com/m/Engel19/7230/", "Engel19/7230")</f>
        <v>Engel19/7230</v>
      </c>
      <c r="J333" s="31">
        <f t="shared" si="1"/>
        <v>6</v>
      </c>
    </row>
    <row r="334">
      <c r="A334" s="28">
        <v>6.0</v>
      </c>
      <c r="B334" s="28">
        <v>17.0</v>
      </c>
      <c r="C334" s="28">
        <v>53.4967779043732</v>
      </c>
      <c r="D334" s="28">
        <v>9.99368841871773</v>
      </c>
      <c r="E334" s="28" t="s">
        <v>15</v>
      </c>
      <c r="F334" s="28" t="s">
        <v>168</v>
      </c>
      <c r="G334" s="29" t="s">
        <v>55</v>
      </c>
      <c r="H334" s="30" t="str">
        <f>HYPERLINK("https://www.munzee.com/m/boerse82/5349/", "boerse82/5349")</f>
        <v>boerse82/5349</v>
      </c>
      <c r="J334" s="31">
        <f t="shared" si="1"/>
        <v>51</v>
      </c>
    </row>
    <row r="335">
      <c r="A335" s="28">
        <v>6.0</v>
      </c>
      <c r="B335" s="28">
        <v>18.0</v>
      </c>
      <c r="C335" s="28">
        <v>53.4967653771977</v>
      </c>
      <c r="D335" s="28">
        <v>9.99392911659936</v>
      </c>
      <c r="E335" s="28" t="s">
        <v>15</v>
      </c>
      <c r="F335" s="28" t="s">
        <v>168</v>
      </c>
      <c r="G335" s="29" t="s">
        <v>40</v>
      </c>
      <c r="H335" s="30" t="str">
        <f>HYPERLINK("https://www.munzee.com/m/csThanner/2506", "csThanner/2506")</f>
        <v>csThanner/2506</v>
      </c>
      <c r="J335" s="31">
        <f t="shared" si="1"/>
        <v>88</v>
      </c>
    </row>
    <row r="336">
      <c r="A336" s="28">
        <v>6.0</v>
      </c>
      <c r="B336" s="28">
        <v>19.0</v>
      </c>
      <c r="C336" s="28">
        <v>53.4967528500222</v>
      </c>
      <c r="D336" s="28">
        <v>9.99416981440981</v>
      </c>
      <c r="E336" s="28" t="s">
        <v>15</v>
      </c>
      <c r="F336" s="28" t="s">
        <v>168</v>
      </c>
      <c r="G336" s="29" t="s">
        <v>191</v>
      </c>
      <c r="H336" s="30" t="str">
        <f>HYPERLINK("https://www.munzee.com/m/driver582/5490", "driver582/5490")</f>
        <v>driver582/5490</v>
      </c>
      <c r="J336" s="31">
        <f t="shared" si="1"/>
        <v>6</v>
      </c>
    </row>
    <row r="337">
      <c r="A337" s="28">
        <v>6.0</v>
      </c>
      <c r="B337" s="28">
        <v>20.0</v>
      </c>
      <c r="C337" s="28">
        <v>53.4967403228467</v>
      </c>
      <c r="D337" s="28">
        <v>9.99441051214921</v>
      </c>
      <c r="E337" s="28" t="s">
        <v>15</v>
      </c>
      <c r="F337" s="28" t="s">
        <v>168</v>
      </c>
      <c r="G337" s="29" t="s">
        <v>58</v>
      </c>
      <c r="H337" s="30" t="str">
        <f>HYPERLINK("https://www.munzee.com/m/Engel19/7179/", "Engel19/7179")</f>
        <v>Engel19/7179</v>
      </c>
      <c r="J337" s="31">
        <f t="shared" si="1"/>
        <v>6</v>
      </c>
    </row>
    <row r="338">
      <c r="A338" s="28">
        <v>6.0</v>
      </c>
      <c r="B338" s="28">
        <v>21.0</v>
      </c>
      <c r="C338" s="28">
        <v>53.4967277956712</v>
      </c>
      <c r="D338" s="28">
        <v>9.99465120981744</v>
      </c>
      <c r="E338" s="28" t="s">
        <v>15</v>
      </c>
      <c r="F338" s="28" t="s">
        <v>168</v>
      </c>
      <c r="G338" s="29" t="s">
        <v>27</v>
      </c>
      <c r="H338" s="30" t="str">
        <f>HYPERLINK("https://www.munzee.com/m/DarkHaribo/12035", "DarkHaribo/12035")</f>
        <v>DarkHaribo/12035</v>
      </c>
      <c r="J338" s="31">
        <f t="shared" si="1"/>
        <v>103</v>
      </c>
    </row>
    <row r="339">
      <c r="A339" s="28">
        <v>6.0</v>
      </c>
      <c r="B339" s="28">
        <v>22.0</v>
      </c>
      <c r="C339" s="28">
        <v>53.4967152684957</v>
      </c>
      <c r="D339" s="28">
        <v>9.99489190741462</v>
      </c>
      <c r="E339" s="28" t="s">
        <v>15</v>
      </c>
      <c r="F339" s="28" t="s">
        <v>168</v>
      </c>
      <c r="G339" s="29" t="s">
        <v>55</v>
      </c>
      <c r="H339" s="30" t="str">
        <f>HYPERLINK("https://www.munzee.com/m/boerse82/5328/", "boerse82/5328")</f>
        <v>boerse82/5328</v>
      </c>
      <c r="J339" s="31">
        <f t="shared" si="1"/>
        <v>51</v>
      </c>
    </row>
    <row r="340">
      <c r="A340" s="28">
        <v>6.0</v>
      </c>
      <c r="B340" s="28">
        <v>23.0</v>
      </c>
      <c r="C340" s="28">
        <v>53.4967027413203</v>
      </c>
      <c r="D340" s="28">
        <v>9.99513260494063</v>
      </c>
      <c r="E340" s="28" t="s">
        <v>15</v>
      </c>
      <c r="F340" s="28" t="s">
        <v>168</v>
      </c>
      <c r="G340" s="29" t="s">
        <v>193</v>
      </c>
      <c r="H340" s="30" t="str">
        <f>HYPERLINK("https://www.munzee.com/m/jldh/2412/", "jldh/2412")</f>
        <v>jldh/2412</v>
      </c>
      <c r="J340" s="31">
        <f t="shared" si="1"/>
        <v>1</v>
      </c>
    </row>
    <row r="341">
      <c r="A341" s="28">
        <v>6.0</v>
      </c>
      <c r="B341" s="28">
        <v>24.0</v>
      </c>
      <c r="C341" s="28">
        <v>53.4966902141448</v>
      </c>
      <c r="D341" s="28">
        <v>9.99537330239559</v>
      </c>
      <c r="E341" s="28" t="s">
        <v>15</v>
      </c>
      <c r="F341" s="28" t="s">
        <v>168</v>
      </c>
      <c r="G341" s="29" t="s">
        <v>27</v>
      </c>
      <c r="H341" s="30" t="str">
        <f>HYPERLINK("https://www.munzee.com/m/DarkHaribo/12037", "DarkHaribo/12037")</f>
        <v>DarkHaribo/12037</v>
      </c>
      <c r="J341" s="31">
        <f t="shared" si="1"/>
        <v>103</v>
      </c>
    </row>
    <row r="342">
      <c r="A342" s="28">
        <v>6.0</v>
      </c>
      <c r="B342" s="28">
        <v>25.0</v>
      </c>
      <c r="C342" s="28">
        <v>53.4966776869693</v>
      </c>
      <c r="D342" s="28">
        <v>9.99561399977938</v>
      </c>
      <c r="E342" s="28" t="s">
        <v>15</v>
      </c>
      <c r="F342" s="28" t="s">
        <v>168</v>
      </c>
      <c r="G342" s="29" t="s">
        <v>55</v>
      </c>
      <c r="H342" s="30" t="str">
        <f>HYPERLINK("https://www.munzee.com/m/boerse82/5321/", "boerse82/5321")</f>
        <v>boerse82/5321</v>
      </c>
      <c r="J342" s="31">
        <f t="shared" si="1"/>
        <v>51</v>
      </c>
    </row>
    <row r="343">
      <c r="A343" s="28">
        <v>6.0</v>
      </c>
      <c r="B343" s="28">
        <v>26.0</v>
      </c>
      <c r="C343" s="28">
        <v>53.4966651597938</v>
      </c>
      <c r="D343" s="28">
        <v>9.99585469709211</v>
      </c>
      <c r="E343" s="28" t="s">
        <v>15</v>
      </c>
      <c r="F343" s="28" t="s">
        <v>168</v>
      </c>
      <c r="G343" s="29" t="s">
        <v>188</v>
      </c>
      <c r="H343" s="30" t="str">
        <f>HYPERLINK("https://www.munzee.com/m/jokerFG/2109", "jokerFG/2109")</f>
        <v>jokerFG/2109</v>
      </c>
      <c r="J343" s="31">
        <f t="shared" si="1"/>
        <v>10</v>
      </c>
    </row>
    <row r="344">
      <c r="A344" s="28">
        <v>6.0</v>
      </c>
      <c r="B344" s="28">
        <v>27.0</v>
      </c>
      <c r="C344" s="28">
        <v>53.4966526326183</v>
      </c>
      <c r="D344" s="28">
        <v>9.99609539433367</v>
      </c>
      <c r="E344" s="28" t="s">
        <v>15</v>
      </c>
      <c r="F344" s="28" t="s">
        <v>168</v>
      </c>
      <c r="G344" s="29" t="s">
        <v>27</v>
      </c>
      <c r="H344" s="30" t="str">
        <f>HYPERLINK("https://www.munzee.com/m/DarkHaribo/12043/", "DarkHaribo/12043")</f>
        <v>DarkHaribo/12043</v>
      </c>
      <c r="J344" s="31">
        <f t="shared" si="1"/>
        <v>103</v>
      </c>
    </row>
    <row r="345">
      <c r="A345" s="28">
        <v>6.0</v>
      </c>
      <c r="B345" s="28">
        <v>28.0</v>
      </c>
      <c r="C345" s="28">
        <v>53.4966401054429</v>
      </c>
      <c r="D345" s="28">
        <v>9.99633609150419</v>
      </c>
      <c r="E345" s="28" t="s">
        <v>15</v>
      </c>
      <c r="F345" s="28" t="s">
        <v>168</v>
      </c>
      <c r="G345" s="29" t="s">
        <v>89</v>
      </c>
      <c r="H345" s="30" t="str">
        <f>HYPERLINK("https://www.munzee.com/m/KaraReke/1891/", "KaraReke/1891")</f>
        <v>KaraReke/1891</v>
      </c>
      <c r="J345" s="31">
        <f t="shared" si="1"/>
        <v>4</v>
      </c>
    </row>
    <row r="346">
      <c r="A346" s="28">
        <v>6.0</v>
      </c>
      <c r="B346" s="28">
        <v>29.0</v>
      </c>
      <c r="C346" s="28">
        <v>53.4966275782674</v>
      </c>
      <c r="D346" s="28">
        <v>9.99657678860353</v>
      </c>
      <c r="E346" s="28" t="s">
        <v>15</v>
      </c>
      <c r="F346" s="28" t="s">
        <v>168</v>
      </c>
      <c r="G346" s="29" t="s">
        <v>188</v>
      </c>
      <c r="H346" s="30" t="str">
        <f>HYPERLINK("https://www.munzee.com/m/jokerFG/2112", "jokerFG/2112")</f>
        <v>jokerFG/2112</v>
      </c>
      <c r="J346" s="31">
        <f t="shared" si="1"/>
        <v>10</v>
      </c>
    </row>
    <row r="347">
      <c r="A347" s="28">
        <v>6.0</v>
      </c>
      <c r="B347" s="28">
        <v>30.0</v>
      </c>
      <c r="C347" s="28">
        <v>53.4966150510919</v>
      </c>
      <c r="D347" s="28">
        <v>9.99681748563182</v>
      </c>
      <c r="E347" s="28" t="s">
        <v>15</v>
      </c>
      <c r="F347" s="28" t="s">
        <v>168</v>
      </c>
      <c r="G347" s="29" t="s">
        <v>27</v>
      </c>
      <c r="H347" s="30" t="str">
        <f>HYPERLINK("https://www.munzee.com/m/DarkHaribo/12044", "DarkHaribo/12044")</f>
        <v>DarkHaribo/12044</v>
      </c>
      <c r="J347" s="31">
        <f t="shared" si="1"/>
        <v>103</v>
      </c>
    </row>
    <row r="348">
      <c r="A348" s="28">
        <v>6.0</v>
      </c>
      <c r="B348" s="28">
        <v>31.0</v>
      </c>
      <c r="C348" s="28">
        <v>53.4966025239164</v>
      </c>
      <c r="D348" s="28">
        <v>9.99705818258894</v>
      </c>
      <c r="E348" s="28" t="s">
        <v>15</v>
      </c>
      <c r="F348" s="28" t="s">
        <v>168</v>
      </c>
      <c r="G348" s="29" t="s">
        <v>55</v>
      </c>
      <c r="H348" s="30" t="str">
        <f>HYPERLINK("https://www.munzee.com/m/boerse82/5351/", "boerse82/5351")</f>
        <v>boerse82/5351</v>
      </c>
      <c r="J348" s="31">
        <f t="shared" si="1"/>
        <v>51</v>
      </c>
    </row>
    <row r="349">
      <c r="A349" s="28">
        <v>6.0</v>
      </c>
      <c r="B349" s="28">
        <v>32.0</v>
      </c>
      <c r="C349" s="28">
        <v>53.4965899967409</v>
      </c>
      <c r="D349" s="28">
        <v>9.99729887947501</v>
      </c>
      <c r="E349" s="28" t="s">
        <v>15</v>
      </c>
      <c r="F349" s="28" t="s">
        <v>168</v>
      </c>
      <c r="G349" s="29" t="s">
        <v>194</v>
      </c>
      <c r="H349" s="30" t="str">
        <f>HYPERLINK("https://www.munzee.com/m/munz619/4169/", "munz619/4169")</f>
        <v>munz619/4169</v>
      </c>
      <c r="J349" s="31">
        <f t="shared" si="1"/>
        <v>7</v>
      </c>
    </row>
    <row r="350">
      <c r="A350" s="28">
        <v>6.0</v>
      </c>
      <c r="B350" s="28">
        <v>33.0</v>
      </c>
      <c r="C350" s="28">
        <v>53.4965774695655</v>
      </c>
      <c r="D350" s="28">
        <v>9.99753957628991</v>
      </c>
      <c r="E350" s="28" t="s">
        <v>15</v>
      </c>
      <c r="F350" s="28" t="s">
        <v>168</v>
      </c>
      <c r="G350" s="29" t="s">
        <v>195</v>
      </c>
      <c r="H350" s="30" t="str">
        <f>HYPERLINK("https://www.munzee.com/m/JackSparrow/16873", "JackSparrow/16873")</f>
        <v>JackSparrow/16873</v>
      </c>
      <c r="J350" s="31">
        <f t="shared" si="1"/>
        <v>2</v>
      </c>
    </row>
    <row r="351">
      <c r="A351" s="28">
        <v>6.0</v>
      </c>
      <c r="B351" s="28">
        <v>34.0</v>
      </c>
      <c r="C351" s="28">
        <v>53.49656494239</v>
      </c>
      <c r="D351" s="28">
        <v>9.99778027303375</v>
      </c>
      <c r="E351" s="28" t="s">
        <v>15</v>
      </c>
      <c r="F351" s="28" t="s">
        <v>168</v>
      </c>
      <c r="G351" s="29" t="s">
        <v>188</v>
      </c>
      <c r="H351" s="30" t="str">
        <f>HYPERLINK("https://www.munzee.com/m/jokerFG/2401", "jokerFG/2401")</f>
        <v>jokerFG/2401</v>
      </c>
      <c r="J351" s="31">
        <f t="shared" si="1"/>
        <v>10</v>
      </c>
    </row>
    <row r="352">
      <c r="A352" s="28">
        <v>6.0</v>
      </c>
      <c r="B352" s="28">
        <v>35.0</v>
      </c>
      <c r="C352" s="28">
        <v>53.4965524152145</v>
      </c>
      <c r="D352" s="28">
        <v>9.99802096970643</v>
      </c>
      <c r="E352" s="28" t="s">
        <v>15</v>
      </c>
      <c r="F352" s="28" t="s">
        <v>168</v>
      </c>
      <c r="G352" s="29" t="s">
        <v>89</v>
      </c>
      <c r="H352" s="30" t="str">
        <f>HYPERLINK("https://www.munzee.com/m/KaraReke/1905/", "KaraReke/1905")</f>
        <v>KaraReke/1905</v>
      </c>
      <c r="J352" s="31">
        <f t="shared" si="1"/>
        <v>4</v>
      </c>
    </row>
    <row r="353">
      <c r="A353" s="28">
        <v>6.0</v>
      </c>
      <c r="B353" s="28">
        <v>36.0</v>
      </c>
      <c r="C353" s="28">
        <v>53.496539888039</v>
      </c>
      <c r="D353" s="28">
        <v>9.99826166630805</v>
      </c>
      <c r="E353" s="28" t="s">
        <v>15</v>
      </c>
      <c r="F353" s="28" t="s">
        <v>168</v>
      </c>
      <c r="G353" s="29" t="s">
        <v>27</v>
      </c>
      <c r="H353" s="30" t="str">
        <f>HYPERLINK("https://www.munzee.com/m/DarkHaribo/12048", "DarkHaribo/12048")</f>
        <v>DarkHaribo/12048</v>
      </c>
      <c r="J353" s="31">
        <f t="shared" si="1"/>
        <v>103</v>
      </c>
    </row>
    <row r="354">
      <c r="A354" s="28">
        <v>6.0</v>
      </c>
      <c r="B354" s="28">
        <v>37.0</v>
      </c>
      <c r="C354" s="28">
        <v>53.4965273608635</v>
      </c>
      <c r="D354" s="28">
        <v>9.9985023628385</v>
      </c>
      <c r="E354" s="28" t="s">
        <v>15</v>
      </c>
      <c r="F354" s="28" t="s">
        <v>168</v>
      </c>
      <c r="G354" s="29" t="s">
        <v>188</v>
      </c>
      <c r="H354" s="30" t="str">
        <f>HYPERLINK("https://www.munzee.com/m/jokerFG/2137", "jokerFG/2137")</f>
        <v>jokerFG/2137</v>
      </c>
      <c r="J354" s="31">
        <f t="shared" si="1"/>
        <v>10</v>
      </c>
    </row>
    <row r="355">
      <c r="A355" s="28">
        <v>6.0</v>
      </c>
      <c r="B355" s="28">
        <v>38.0</v>
      </c>
      <c r="C355" s="28">
        <v>53.496514833688</v>
      </c>
      <c r="D355" s="28">
        <v>9.9987430592979</v>
      </c>
      <c r="E355" s="28" t="s">
        <v>15</v>
      </c>
      <c r="F355" s="28" t="s">
        <v>168</v>
      </c>
      <c r="G355" s="29" t="s">
        <v>194</v>
      </c>
      <c r="H355" s="30" t="str">
        <f>HYPERLINK("https://www.munzee.com/m/munz619/4181/", "munz619/4181")</f>
        <v>munz619/4181</v>
      </c>
      <c r="J355" s="31">
        <f t="shared" si="1"/>
        <v>7</v>
      </c>
    </row>
    <row r="356">
      <c r="A356" s="28">
        <v>6.0</v>
      </c>
      <c r="B356" s="28">
        <v>39.0</v>
      </c>
      <c r="C356" s="28">
        <v>53.4965023065126</v>
      </c>
      <c r="D356" s="28">
        <v>9.99898375568614</v>
      </c>
      <c r="E356" s="28" t="s">
        <v>15</v>
      </c>
      <c r="F356" s="28" t="s">
        <v>168</v>
      </c>
      <c r="G356" s="29" t="s">
        <v>27</v>
      </c>
      <c r="H356" s="30" t="str">
        <f>HYPERLINK("https://www.munzee.com/m/DarkHaribo/12050", "DarkHaribo/12050")</f>
        <v>DarkHaribo/12050</v>
      </c>
      <c r="J356" s="31">
        <f t="shared" si="1"/>
        <v>103</v>
      </c>
    </row>
    <row r="357">
      <c r="A357" s="28">
        <v>6.0</v>
      </c>
      <c r="B357" s="28">
        <v>40.0</v>
      </c>
      <c r="C357" s="28">
        <v>53.4964897793371</v>
      </c>
      <c r="D357" s="28">
        <v>9.99922445200331</v>
      </c>
      <c r="E357" s="28" t="s">
        <v>15</v>
      </c>
      <c r="F357" s="28" t="s">
        <v>168</v>
      </c>
      <c r="G357" s="29" t="s">
        <v>188</v>
      </c>
      <c r="H357" s="30" t="str">
        <f>HYPERLINK("https://www.munzee.com/m/jokerFG/2280", "jokerFG/2280")</f>
        <v>jokerFG/2280</v>
      </c>
      <c r="J357" s="31">
        <f t="shared" si="1"/>
        <v>10</v>
      </c>
    </row>
    <row r="358">
      <c r="A358" s="28">
        <v>6.0</v>
      </c>
      <c r="B358" s="28">
        <v>41.0</v>
      </c>
      <c r="C358" s="28">
        <v>53.4964772521616</v>
      </c>
      <c r="D358" s="28">
        <v>9.99946514824932</v>
      </c>
      <c r="E358" s="28" t="s">
        <v>15</v>
      </c>
      <c r="F358" s="28" t="s">
        <v>168</v>
      </c>
      <c r="G358" s="29" t="s">
        <v>34</v>
      </c>
      <c r="H358" s="30" t="str">
        <f>HYPERLINK("https://www.munzee.com/m/SLAUGY/8809", "SLAUGY/8809")</f>
        <v>SLAUGY/8809</v>
      </c>
      <c r="J358" s="31">
        <f t="shared" si="1"/>
        <v>8</v>
      </c>
    </row>
    <row r="359">
      <c r="A359" s="28">
        <v>6.0</v>
      </c>
      <c r="B359" s="28">
        <v>42.0</v>
      </c>
      <c r="C359" s="28">
        <v>53.4964647249861</v>
      </c>
      <c r="D359" s="28">
        <v>9.99970584442428</v>
      </c>
      <c r="E359" s="28" t="s">
        <v>15</v>
      </c>
      <c r="F359" s="28" t="s">
        <v>168</v>
      </c>
      <c r="G359" s="29" t="s">
        <v>27</v>
      </c>
      <c r="H359" s="30" t="str">
        <f>HYPERLINK("https://www.munzee.com/m/DarkHaribo/12058", "DarkHaribo/12058")</f>
        <v>DarkHaribo/12058</v>
      </c>
      <c r="J359" s="31">
        <f t="shared" si="1"/>
        <v>103</v>
      </c>
    </row>
    <row r="360">
      <c r="A360" s="28">
        <v>6.0</v>
      </c>
      <c r="B360" s="28">
        <v>43.0</v>
      </c>
      <c r="C360" s="28">
        <v>53.4964521978106</v>
      </c>
      <c r="D360" s="28">
        <v>9.99994654052807</v>
      </c>
      <c r="E360" s="28" t="s">
        <v>15</v>
      </c>
      <c r="F360" s="28" t="s">
        <v>168</v>
      </c>
      <c r="G360" s="29" t="s">
        <v>188</v>
      </c>
      <c r="H360" s="30" t="str">
        <f>HYPERLINK("https://www.munzee.com/m/jokerFG/2433", "jokerFG/2433")</f>
        <v>jokerFG/2433</v>
      </c>
      <c r="J360" s="31">
        <f t="shared" si="1"/>
        <v>10</v>
      </c>
    </row>
    <row r="361">
      <c r="A361" s="28">
        <v>6.0</v>
      </c>
      <c r="B361" s="28">
        <v>44.0</v>
      </c>
      <c r="C361" s="28">
        <v>53.4964396706352</v>
      </c>
      <c r="D361" s="28">
        <v>10.0001872365608</v>
      </c>
      <c r="E361" s="28" t="s">
        <v>15</v>
      </c>
      <c r="F361" s="28" t="s">
        <v>168</v>
      </c>
      <c r="G361" s="29" t="s">
        <v>34</v>
      </c>
      <c r="H361" s="30" t="str">
        <f>HYPERLINK("https://www.munzee.com/m/SLAUGY/8726", "SLAUGY/8726")</f>
        <v>SLAUGY/8726</v>
      </c>
      <c r="J361" s="31">
        <f t="shared" si="1"/>
        <v>8</v>
      </c>
    </row>
    <row r="362">
      <c r="A362" s="28">
        <v>6.0</v>
      </c>
      <c r="B362" s="28">
        <v>45.0</v>
      </c>
      <c r="C362" s="28">
        <v>53.4964271434597</v>
      </c>
      <c r="D362" s="28">
        <v>10.0004279325223</v>
      </c>
      <c r="E362" s="28" t="s">
        <v>15</v>
      </c>
      <c r="F362" s="28" t="s">
        <v>168</v>
      </c>
      <c r="G362" s="29" t="s">
        <v>27</v>
      </c>
      <c r="H362" s="30" t="str">
        <f>HYPERLINK("https://www.munzee.com/m/DarkHaribo/12063", "DarkHaribo/12063")</f>
        <v>DarkHaribo/12063</v>
      </c>
      <c r="J362" s="31">
        <f t="shared" si="1"/>
        <v>103</v>
      </c>
    </row>
    <row r="363">
      <c r="A363" s="28">
        <v>6.0</v>
      </c>
      <c r="B363" s="28">
        <v>46.0</v>
      </c>
      <c r="C363" s="28">
        <v>53.4964146162842</v>
      </c>
      <c r="D363" s="28">
        <v>10.0006686284128</v>
      </c>
      <c r="E363" s="28" t="s">
        <v>15</v>
      </c>
      <c r="F363" s="28" t="s">
        <v>168</v>
      </c>
      <c r="G363" s="29" t="s">
        <v>196</v>
      </c>
      <c r="H363" s="30" t="str">
        <f>HYPERLINK("https://www.munzee.com/m/mrvolkswagen/331/", "mrvolkswagen/331")</f>
        <v>mrvolkswagen/331</v>
      </c>
      <c r="J363" s="31">
        <f t="shared" si="1"/>
        <v>1</v>
      </c>
    </row>
    <row r="364">
      <c r="A364" s="28">
        <v>6.0</v>
      </c>
      <c r="B364" s="28">
        <v>47.0</v>
      </c>
      <c r="C364" s="28">
        <v>53.4964020891087</v>
      </c>
      <c r="D364" s="28">
        <v>10.0009093242322</v>
      </c>
      <c r="E364" s="28" t="s">
        <v>15</v>
      </c>
      <c r="F364" s="28" t="s">
        <v>168</v>
      </c>
      <c r="G364" s="29" t="s">
        <v>34</v>
      </c>
      <c r="H364" s="30" t="str">
        <f>HYPERLINK("https://www.munzee.com/m/SLAUGY/8728", "SLAUGY/8728")</f>
        <v>SLAUGY/8728</v>
      </c>
      <c r="J364" s="31">
        <f t="shared" si="1"/>
        <v>8</v>
      </c>
    </row>
    <row r="365">
      <c r="A365" s="28">
        <v>6.0</v>
      </c>
      <c r="B365" s="28">
        <v>48.0</v>
      </c>
      <c r="C365" s="28">
        <v>53.4963895619332</v>
      </c>
      <c r="D365" s="28">
        <v>10.0011500199805</v>
      </c>
      <c r="E365" s="28" t="s">
        <v>15</v>
      </c>
      <c r="F365" s="28" t="s">
        <v>168</v>
      </c>
      <c r="G365" s="29" t="s">
        <v>27</v>
      </c>
      <c r="H365" s="30" t="str">
        <f>HYPERLINK("https://www.munzee.com/m/DarkHaribo/12120", "DarkHaribo/12120")</f>
        <v>DarkHaribo/12120</v>
      </c>
      <c r="J365" s="31">
        <f t="shared" si="1"/>
        <v>103</v>
      </c>
    </row>
    <row r="366">
      <c r="A366" s="28">
        <v>6.0</v>
      </c>
      <c r="B366" s="28">
        <v>49.0</v>
      </c>
      <c r="C366" s="28">
        <v>53.4963770347578</v>
      </c>
      <c r="D366" s="28">
        <v>10.0013907156576</v>
      </c>
      <c r="E366" s="28" t="s">
        <v>15</v>
      </c>
      <c r="F366" s="28" t="s">
        <v>168</v>
      </c>
      <c r="G366" s="29" t="s">
        <v>35</v>
      </c>
      <c r="H366" s="30" t="str">
        <f>HYPERLINK("https://www.munzee.com/m/bslaugh/7098", "bslaugh/7098")</f>
        <v>bslaugh/7098</v>
      </c>
      <c r="J366" s="31">
        <f t="shared" si="1"/>
        <v>8</v>
      </c>
    </row>
    <row r="367">
      <c r="A367" s="28">
        <v>6.0</v>
      </c>
      <c r="B367" s="28">
        <v>50.0</v>
      </c>
      <c r="C367" s="28">
        <v>53.4963645075823</v>
      </c>
      <c r="D367" s="28">
        <v>10.0016314112637</v>
      </c>
      <c r="E367" s="28" t="s">
        <v>15</v>
      </c>
      <c r="F367" s="28" t="s">
        <v>168</v>
      </c>
      <c r="G367" s="29" t="s">
        <v>197</v>
      </c>
      <c r="H367" s="30" t="str">
        <f>HYPERLINK("https://www.munzee.com/m/teamsturms/1202/", "teamsturms/1202")</f>
        <v>teamsturms/1202</v>
      </c>
      <c r="J367" s="31">
        <f t="shared" si="1"/>
        <v>1</v>
      </c>
    </row>
    <row r="368">
      <c r="A368" s="28">
        <v>6.0</v>
      </c>
      <c r="B368" s="28">
        <v>51.0</v>
      </c>
      <c r="C368" s="28">
        <v>53.4963519804068</v>
      </c>
      <c r="D368" s="28">
        <v>10.0018721067986</v>
      </c>
      <c r="E368" s="28" t="s">
        <v>15</v>
      </c>
      <c r="F368" s="28" t="s">
        <v>168</v>
      </c>
      <c r="G368" s="29" t="s">
        <v>27</v>
      </c>
      <c r="H368" s="30" t="str">
        <f>HYPERLINK("https://www.munzee.com/m/DarkHaribo/12123", "DarkHaribo/12123")</f>
        <v>DarkHaribo/12123</v>
      </c>
      <c r="J368" s="31">
        <f t="shared" si="1"/>
        <v>103</v>
      </c>
    </row>
    <row r="369">
      <c r="A369" s="28">
        <v>6.0</v>
      </c>
      <c r="B369" s="28">
        <v>52.0</v>
      </c>
      <c r="C369" s="28">
        <v>53.4963394532313</v>
      </c>
      <c r="D369" s="28">
        <v>10.0021128022624</v>
      </c>
      <c r="E369" s="28" t="s">
        <v>15</v>
      </c>
      <c r="F369" s="28" t="s">
        <v>168</v>
      </c>
      <c r="G369" s="29" t="s">
        <v>35</v>
      </c>
      <c r="H369" s="30" t="str">
        <f>HYPERLINK("https://www.munzee.com/m/bslaugh/7065", "bslaugh/7065")</f>
        <v>bslaugh/7065</v>
      </c>
      <c r="J369" s="31">
        <f t="shared" si="1"/>
        <v>8</v>
      </c>
    </row>
    <row r="370">
      <c r="A370" s="28">
        <v>6.0</v>
      </c>
      <c r="B370" s="28">
        <v>53.0</v>
      </c>
      <c r="C370" s="28">
        <v>53.4963269260558</v>
      </c>
      <c r="D370" s="28">
        <v>10.0023534976551</v>
      </c>
      <c r="E370" s="28" t="s">
        <v>15</v>
      </c>
      <c r="F370" s="28" t="s">
        <v>168</v>
      </c>
      <c r="G370" s="29" t="s">
        <v>198</v>
      </c>
      <c r="H370" s="30" t="str">
        <f>HYPERLINK("https://www.munzee.com/m/92Supercoupe/4025", "92Supercoupe/4025")</f>
        <v>92Supercoupe/4025</v>
      </c>
      <c r="J370" s="31">
        <f t="shared" si="1"/>
        <v>1</v>
      </c>
    </row>
    <row r="371">
      <c r="A371" s="28">
        <v>6.0</v>
      </c>
      <c r="B371" s="28">
        <v>54.0</v>
      </c>
      <c r="C371" s="28">
        <v>53.4963143988804</v>
      </c>
      <c r="D371" s="28">
        <v>10.0025941929767</v>
      </c>
      <c r="E371" s="28" t="s">
        <v>15</v>
      </c>
      <c r="F371" s="28" t="s">
        <v>168</v>
      </c>
      <c r="G371" s="29" t="s">
        <v>27</v>
      </c>
      <c r="H371" s="30" t="str">
        <f>HYPERLINK("https://www.munzee.com/m/DarkHaribo/12204", "DarkHaribo/12204")</f>
        <v>DarkHaribo/12204</v>
      </c>
      <c r="J371" s="31">
        <f t="shared" si="1"/>
        <v>103</v>
      </c>
    </row>
    <row r="372">
      <c r="A372" s="28">
        <v>6.0</v>
      </c>
      <c r="B372" s="28">
        <v>55.0</v>
      </c>
      <c r="C372" s="28">
        <v>53.4963018717049</v>
      </c>
      <c r="D372" s="28">
        <v>10.0028348882271</v>
      </c>
      <c r="E372" s="28" t="s">
        <v>15</v>
      </c>
      <c r="F372" s="28" t="s">
        <v>168</v>
      </c>
      <c r="G372" s="29" t="s">
        <v>47</v>
      </c>
      <c r="H372" s="30" t="str">
        <f>HYPERLINK("https://www.munzee.com/m/Dad35/10490/", "Dad35/10490")</f>
        <v>Dad35/10490</v>
      </c>
      <c r="J372" s="31">
        <f t="shared" si="1"/>
        <v>44</v>
      </c>
    </row>
    <row r="373">
      <c r="A373" s="28">
        <v>6.0</v>
      </c>
      <c r="B373" s="28">
        <v>56.0</v>
      </c>
      <c r="C373" s="28">
        <v>53.4962893445294</v>
      </c>
      <c r="D373" s="28">
        <v>10.0030755834065</v>
      </c>
      <c r="E373" s="28" t="s">
        <v>15</v>
      </c>
      <c r="F373" s="28" t="s">
        <v>168</v>
      </c>
      <c r="G373" s="29" t="s">
        <v>51</v>
      </c>
      <c r="H373" s="30" t="str">
        <f>HYPERLINK("https://www.munzee.com/m/silversurfer47/4062/", "silversurfer47/4062")</f>
        <v>silversurfer47/4062</v>
      </c>
      <c r="J373" s="31">
        <f t="shared" si="1"/>
        <v>6</v>
      </c>
    </row>
    <row r="374">
      <c r="A374" s="28">
        <v>6.0</v>
      </c>
      <c r="B374" s="28">
        <v>57.0</v>
      </c>
      <c r="C374" s="28">
        <v>53.4962768173539</v>
      </c>
      <c r="D374" s="28">
        <v>10.0033162785148</v>
      </c>
      <c r="E374" s="28" t="s">
        <v>15</v>
      </c>
      <c r="F374" s="28" t="s">
        <v>168</v>
      </c>
      <c r="G374" s="29" t="s">
        <v>27</v>
      </c>
      <c r="H374" s="30" t="str">
        <f>HYPERLINK("https://www.munzee.com/m/DarkHaribo/12240", "DarkHaribo/12240")</f>
        <v>DarkHaribo/12240</v>
      </c>
      <c r="J374" s="31">
        <f t="shared" si="1"/>
        <v>103</v>
      </c>
    </row>
    <row r="375">
      <c r="A375" s="28">
        <v>6.0</v>
      </c>
      <c r="B375" s="28">
        <v>58.0</v>
      </c>
      <c r="C375" s="28">
        <v>53.4962642901784</v>
      </c>
      <c r="D375" s="28">
        <v>10.003556973552</v>
      </c>
      <c r="E375" s="28" t="s">
        <v>15</v>
      </c>
      <c r="F375" s="28" t="s">
        <v>168</v>
      </c>
      <c r="G375" s="29" t="s">
        <v>88</v>
      </c>
      <c r="H375" s="30" t="str">
        <f>HYPERLINK("https://www.munzee.com/m/RoversEnd/2556/", "RoversEnd/2556")</f>
        <v>RoversEnd/2556</v>
      </c>
      <c r="J375" s="31">
        <f t="shared" si="1"/>
        <v>3</v>
      </c>
    </row>
    <row r="376">
      <c r="A376" s="28">
        <v>6.0</v>
      </c>
      <c r="B376" s="28">
        <v>59.0</v>
      </c>
      <c r="C376" s="28">
        <v>53.496251763003</v>
      </c>
      <c r="D376" s="28">
        <v>10.003797668518</v>
      </c>
      <c r="E376" s="28" t="s">
        <v>15</v>
      </c>
      <c r="F376" s="28" t="s">
        <v>168</v>
      </c>
      <c r="G376" s="29" t="s">
        <v>199</v>
      </c>
      <c r="H376" s="30" t="str">
        <f>HYPERLINK("https://www.munzee.com/m/elisoft/270/", "elisoft/270")</f>
        <v>elisoft/270</v>
      </c>
      <c r="J376" s="31">
        <f t="shared" si="1"/>
        <v>1</v>
      </c>
    </row>
    <row r="377">
      <c r="A377" s="28">
        <v>6.0</v>
      </c>
      <c r="B377" s="28">
        <v>60.0</v>
      </c>
      <c r="C377" s="28">
        <v>53.4962392358275</v>
      </c>
      <c r="D377" s="28">
        <v>10.0040383634129</v>
      </c>
      <c r="E377" s="28" t="s">
        <v>25</v>
      </c>
      <c r="F377" s="28" t="s">
        <v>14</v>
      </c>
      <c r="G377" s="29" t="s">
        <v>200</v>
      </c>
      <c r="H377" s="30" t="str">
        <f>HYPERLINK("https://www.munzee.com/m/dt07751/26420/", "dt07751/26420")</f>
        <v>dt07751/26420</v>
      </c>
      <c r="J377" s="31">
        <f t="shared" si="1"/>
        <v>1</v>
      </c>
    </row>
    <row r="378">
      <c r="A378" s="28">
        <v>7.0</v>
      </c>
      <c r="B378" s="28">
        <v>1.0</v>
      </c>
      <c r="C378" s="28">
        <v>53.4968351556714</v>
      </c>
      <c r="D378" s="28">
        <v>9.98981618457048</v>
      </c>
      <c r="E378" s="28" t="s">
        <v>25</v>
      </c>
      <c r="F378" s="28" t="s">
        <v>14</v>
      </c>
      <c r="G378" s="29" t="s">
        <v>27</v>
      </c>
      <c r="H378" s="30" t="str">
        <f>HYPERLINK("https://www.munzee.com/m/DarkHaribo/12196", "DarkHaribo/12196")</f>
        <v>DarkHaribo/12196</v>
      </c>
      <c r="J378" s="31">
        <f t="shared" si="1"/>
        <v>103</v>
      </c>
    </row>
    <row r="379">
      <c r="A379" s="28">
        <v>7.0</v>
      </c>
      <c r="B379" s="28">
        <v>2.0</v>
      </c>
      <c r="C379" s="28">
        <v>53.4968226284959</v>
      </c>
      <c r="D379" s="28">
        <v>9.99005688277702</v>
      </c>
      <c r="E379" s="28" t="s">
        <v>15</v>
      </c>
      <c r="F379" s="28" t="s">
        <v>168</v>
      </c>
      <c r="G379" s="29" t="s">
        <v>47</v>
      </c>
      <c r="H379" s="30" t="str">
        <f>HYPERLINK("https://www.munzee.com/m/Dad35/10473/", "Dad35/10473")</f>
        <v>Dad35/10473</v>
      </c>
      <c r="J379" s="31">
        <f t="shared" si="1"/>
        <v>44</v>
      </c>
    </row>
    <row r="380">
      <c r="A380" s="28">
        <v>7.0</v>
      </c>
      <c r="B380" s="28">
        <v>3.0</v>
      </c>
      <c r="C380" s="28">
        <v>53.4968101013204</v>
      </c>
      <c r="D380" s="28">
        <v>9.99029758091251</v>
      </c>
      <c r="E380" s="28" t="s">
        <v>15</v>
      </c>
      <c r="F380" s="28" t="s">
        <v>168</v>
      </c>
      <c r="G380" s="29" t="s">
        <v>201</v>
      </c>
      <c r="H380" s="30" t="str">
        <f>HYPERLINK("https://www.munzee.com/m/GrimyMitts/1041/", "GrimyMitts/1041")</f>
        <v>GrimyMitts/1041</v>
      </c>
      <c r="J380" s="31">
        <f t="shared" si="1"/>
        <v>2</v>
      </c>
    </row>
    <row r="381">
      <c r="A381" s="28">
        <v>7.0</v>
      </c>
      <c r="B381" s="28">
        <v>4.0</v>
      </c>
      <c r="C381" s="28">
        <v>53.4967975741449</v>
      </c>
      <c r="D381" s="28">
        <v>9.99053827897682</v>
      </c>
      <c r="E381" s="28" t="s">
        <v>15</v>
      </c>
      <c r="F381" s="28" t="s">
        <v>168</v>
      </c>
      <c r="G381" s="29" t="s">
        <v>51</v>
      </c>
      <c r="H381" s="30" t="str">
        <f>HYPERLINK("https://www.munzee.com/m/silversurfer47/4065/", "silversurfer47/4065")</f>
        <v>silversurfer47/4065</v>
      </c>
      <c r="J381" s="31">
        <f t="shared" si="1"/>
        <v>6</v>
      </c>
    </row>
    <row r="382">
      <c r="A382" s="28">
        <v>7.0</v>
      </c>
      <c r="B382" s="28">
        <v>5.0</v>
      </c>
      <c r="C382" s="28">
        <v>53.4967850469694</v>
      </c>
      <c r="D382" s="28">
        <v>9.99077897697009</v>
      </c>
      <c r="E382" s="28" t="s">
        <v>15</v>
      </c>
      <c r="F382" s="28" t="s">
        <v>168</v>
      </c>
      <c r="G382" s="29" t="s">
        <v>202</v>
      </c>
      <c r="H382" s="30" t="str">
        <f>HYPERLINK("https://www.munzee.com/m/PelicanRouge/620/", "PelicanRouge/620")</f>
        <v>PelicanRouge/620</v>
      </c>
      <c r="J382" s="31">
        <f t="shared" si="1"/>
        <v>1</v>
      </c>
    </row>
    <row r="383">
      <c r="A383" s="28">
        <v>7.0</v>
      </c>
      <c r="B383" s="28">
        <v>6.0</v>
      </c>
      <c r="C383" s="28">
        <v>53.4967725197939</v>
      </c>
      <c r="D383" s="28">
        <v>9.99101967489218</v>
      </c>
      <c r="E383" s="28" t="s">
        <v>15</v>
      </c>
      <c r="F383" s="28" t="s">
        <v>168</v>
      </c>
      <c r="G383" s="29" t="s">
        <v>203</v>
      </c>
      <c r="H383" s="30" t="str">
        <f>HYPERLINK("https://www.munzee.com/m/Savardfamily/3148/", "Savardfamily/3148")</f>
        <v>Savardfamily/3148</v>
      </c>
      <c r="J383" s="31">
        <f t="shared" si="1"/>
        <v>1</v>
      </c>
    </row>
    <row r="384">
      <c r="A384" s="28">
        <v>7.0</v>
      </c>
      <c r="B384" s="28">
        <v>7.0</v>
      </c>
      <c r="C384" s="28">
        <v>53.4967599926185</v>
      </c>
      <c r="D384" s="28">
        <v>9.99126037274322</v>
      </c>
      <c r="E384" s="28" t="s">
        <v>15</v>
      </c>
      <c r="F384" s="28" t="s">
        <v>168</v>
      </c>
      <c r="G384" s="29" t="s">
        <v>204</v>
      </c>
      <c r="H384" s="30" t="str">
        <f>HYPERLINK("https://www.munzee.com/m/Lehmis/853/", "Lehmis/853")</f>
        <v>Lehmis/853</v>
      </c>
      <c r="J384" s="31">
        <f t="shared" si="1"/>
        <v>1</v>
      </c>
    </row>
    <row r="385">
      <c r="A385" s="28">
        <v>7.0</v>
      </c>
      <c r="B385" s="28">
        <v>8.0</v>
      </c>
      <c r="C385" s="28">
        <v>53.496747465443</v>
      </c>
      <c r="D385" s="28">
        <v>9.9915010705231</v>
      </c>
      <c r="E385" s="28" t="s">
        <v>15</v>
      </c>
      <c r="F385" s="28" t="s">
        <v>168</v>
      </c>
      <c r="G385" s="29" t="s">
        <v>51</v>
      </c>
      <c r="H385" s="30" t="str">
        <f>HYPERLINK("https://www.munzee.com/m/silversurfer47/4066/", "silversurfer47/4066")</f>
        <v>silversurfer47/4066</v>
      </c>
      <c r="J385" s="31">
        <f t="shared" si="1"/>
        <v>6</v>
      </c>
    </row>
    <row r="386">
      <c r="A386" s="28">
        <v>7.0</v>
      </c>
      <c r="B386" s="28">
        <v>9.0</v>
      </c>
      <c r="C386" s="28">
        <v>53.4967349382675</v>
      </c>
      <c r="D386" s="28">
        <v>9.99174176823191</v>
      </c>
      <c r="E386" s="28" t="s">
        <v>15</v>
      </c>
      <c r="F386" s="28" t="s">
        <v>168</v>
      </c>
      <c r="G386" s="29" t="s">
        <v>205</v>
      </c>
      <c r="H386" s="30" t="str">
        <f>HYPERLINK("https://www.munzee.com/m/Attis/12529/", "Attis/12529")</f>
        <v>Attis/12529</v>
      </c>
      <c r="J386" s="31">
        <f t="shared" si="1"/>
        <v>1</v>
      </c>
    </row>
    <row r="387">
      <c r="A387" s="28">
        <v>7.0</v>
      </c>
      <c r="B387" s="28">
        <v>10.0</v>
      </c>
      <c r="C387" s="28">
        <v>53.496722411092</v>
      </c>
      <c r="D387" s="28">
        <v>9.99198246586956</v>
      </c>
      <c r="E387" s="28" t="s">
        <v>15</v>
      </c>
      <c r="F387" s="28" t="s">
        <v>168</v>
      </c>
      <c r="G387" s="29" t="s">
        <v>206</v>
      </c>
      <c r="H387" s="30" t="str">
        <f>HYPERLINK("https://www.munzee.com/m/cuztedbop/1648", "cuztedbop/1648")</f>
        <v>cuztedbop/1648</v>
      </c>
      <c r="J387" s="31">
        <f t="shared" si="1"/>
        <v>1</v>
      </c>
    </row>
    <row r="388">
      <c r="A388" s="28">
        <v>7.0</v>
      </c>
      <c r="B388" s="28">
        <v>11.0</v>
      </c>
      <c r="C388" s="28">
        <v>53.4967098839165</v>
      </c>
      <c r="D388" s="28">
        <v>9.99222316343616</v>
      </c>
      <c r="E388" s="28" t="s">
        <v>15</v>
      </c>
      <c r="F388" s="28" t="s">
        <v>168</v>
      </c>
      <c r="G388" s="29" t="s">
        <v>180</v>
      </c>
      <c r="H388" s="30" t="str">
        <f>HYPERLINK("https://www.munzee.com/m/Bungi/1515/", "Bungi/1515")</f>
        <v>Bungi/1515</v>
      </c>
      <c r="J388" s="31">
        <f t="shared" si="1"/>
        <v>2</v>
      </c>
    </row>
    <row r="389">
      <c r="A389" s="28">
        <v>7.0</v>
      </c>
      <c r="B389" s="28">
        <v>12.0</v>
      </c>
      <c r="C389" s="28">
        <v>53.496697356741</v>
      </c>
      <c r="D389" s="28">
        <v>9.99246386093159</v>
      </c>
      <c r="E389" s="28" t="s">
        <v>15</v>
      </c>
      <c r="F389" s="28" t="s">
        <v>168</v>
      </c>
      <c r="G389" s="29" t="s">
        <v>51</v>
      </c>
      <c r="H389" s="30" t="str">
        <f>HYPERLINK("https://www.munzee.com/m/silversurfer47/4069/", "silversurfer47/4069")</f>
        <v>silversurfer47/4069</v>
      </c>
      <c r="J389" s="31">
        <f t="shared" si="1"/>
        <v>6</v>
      </c>
    </row>
    <row r="390">
      <c r="A390" s="28">
        <v>7.0</v>
      </c>
      <c r="B390" s="28">
        <v>13.0</v>
      </c>
      <c r="C390" s="28">
        <v>53.4966848295656</v>
      </c>
      <c r="D390" s="28">
        <v>9.99270455835596</v>
      </c>
      <c r="E390" s="28" t="s">
        <v>15</v>
      </c>
      <c r="F390" s="28" t="s">
        <v>168</v>
      </c>
      <c r="G390" s="29" t="s">
        <v>26</v>
      </c>
      <c r="H390" s="30" t="str">
        <f>HYPERLINK("https://www.munzee.com/m/Elli/6366/", "Elli/6366")</f>
        <v>Elli/6366</v>
      </c>
      <c r="J390" s="31">
        <f t="shared" si="1"/>
        <v>143</v>
      </c>
    </row>
    <row r="391">
      <c r="A391" s="28">
        <v>7.0</v>
      </c>
      <c r="B391" s="28">
        <v>14.0</v>
      </c>
      <c r="C391" s="28">
        <v>53.4966723023901</v>
      </c>
      <c r="D391" s="28">
        <v>9.99294525570917</v>
      </c>
      <c r="E391" s="28" t="s">
        <v>15</v>
      </c>
      <c r="F391" s="28" t="s">
        <v>168</v>
      </c>
      <c r="G391" s="29" t="s">
        <v>138</v>
      </c>
      <c r="H391" s="30" t="str">
        <f>HYPERLINK("https://www.munzee.com/m/IggiePiggie/1357", "IggiePiggie/1357")</f>
        <v>IggiePiggie/1357</v>
      </c>
      <c r="J391" s="31">
        <f t="shared" si="1"/>
        <v>4</v>
      </c>
    </row>
    <row r="392">
      <c r="A392" s="28">
        <v>7.0</v>
      </c>
      <c r="B392" s="28">
        <v>15.0</v>
      </c>
      <c r="C392" s="28">
        <v>53.4966597752146</v>
      </c>
      <c r="D392" s="28">
        <v>9.99318595299132</v>
      </c>
      <c r="E392" s="28" t="s">
        <v>15</v>
      </c>
      <c r="F392" s="28" t="s">
        <v>168</v>
      </c>
      <c r="G392" s="29" t="s">
        <v>207</v>
      </c>
      <c r="H392" s="30" t="str">
        <f>HYPERLINK("https://www.munzee.com/m/annabanana/8226/", "annabanana/8226")</f>
        <v>annabanana/8226</v>
      </c>
      <c r="J392" s="31">
        <f t="shared" si="1"/>
        <v>1</v>
      </c>
    </row>
    <row r="393">
      <c r="A393" s="28">
        <v>7.0</v>
      </c>
      <c r="B393" s="28">
        <v>16.0</v>
      </c>
      <c r="C393" s="28">
        <v>53.4966472480391</v>
      </c>
      <c r="D393" s="28">
        <v>9.99342665020231</v>
      </c>
      <c r="E393" s="28" t="s">
        <v>15</v>
      </c>
      <c r="F393" s="28" t="s">
        <v>168</v>
      </c>
      <c r="G393" s="29" t="s">
        <v>51</v>
      </c>
      <c r="H393" s="30" t="str">
        <f>HYPERLINK("https://www.munzee.com/m/silversurfer47/4071/", "silversurfer47/4071")</f>
        <v>silversurfer47/4071</v>
      </c>
      <c r="J393" s="31">
        <f t="shared" si="1"/>
        <v>6</v>
      </c>
    </row>
    <row r="394">
      <c r="A394" s="28">
        <v>7.0</v>
      </c>
      <c r="B394" s="28">
        <v>17.0</v>
      </c>
      <c r="C394" s="28">
        <v>53.4966347208636</v>
      </c>
      <c r="D394" s="28">
        <v>9.99366734734223</v>
      </c>
      <c r="E394" s="28" t="s">
        <v>15</v>
      </c>
      <c r="F394" s="28" t="s">
        <v>168</v>
      </c>
      <c r="G394" s="29" t="s">
        <v>194</v>
      </c>
      <c r="H394" s="30" t="str">
        <f>HYPERLINK("https://www.munzee.com/m/munz619/4352/", "munz619/4352")</f>
        <v>munz619/4352</v>
      </c>
      <c r="J394" s="31">
        <f t="shared" si="1"/>
        <v>7</v>
      </c>
    </row>
    <row r="395">
      <c r="A395" s="28">
        <v>7.0</v>
      </c>
      <c r="B395" s="28">
        <v>18.0</v>
      </c>
      <c r="C395" s="28">
        <v>53.4966221936882</v>
      </c>
      <c r="D395" s="28">
        <v>9.993908044411</v>
      </c>
      <c r="E395" s="28" t="s">
        <v>15</v>
      </c>
      <c r="F395" s="28" t="s">
        <v>168</v>
      </c>
      <c r="G395" s="29" t="s">
        <v>188</v>
      </c>
      <c r="H395" s="30" t="str">
        <f>HYPERLINK("https://www.munzee.com/m/jokerFG/2667", "jokerFG/2667")</f>
        <v>jokerFG/2667</v>
      </c>
      <c r="J395" s="31">
        <f t="shared" si="1"/>
        <v>10</v>
      </c>
    </row>
    <row r="396">
      <c r="A396" s="28">
        <v>7.0</v>
      </c>
      <c r="B396" s="28">
        <v>19.0</v>
      </c>
      <c r="C396" s="28">
        <v>53.4966096665127</v>
      </c>
      <c r="D396" s="28">
        <v>9.9941487414087</v>
      </c>
      <c r="E396" s="28" t="s">
        <v>15</v>
      </c>
      <c r="F396" s="28" t="s">
        <v>168</v>
      </c>
      <c r="G396" s="29" t="s">
        <v>28</v>
      </c>
      <c r="H396" s="30" t="str">
        <f>HYPERLINK("https://www.munzee.com/m/dreiengel/8130", "dreiengel/8130")</f>
        <v>dreiengel/8130</v>
      </c>
      <c r="J396" s="31">
        <f t="shared" si="1"/>
        <v>9</v>
      </c>
    </row>
    <row r="397">
      <c r="A397" s="28">
        <v>7.0</v>
      </c>
      <c r="B397" s="28">
        <v>20.0</v>
      </c>
      <c r="C397" s="28">
        <v>53.4965971393372</v>
      </c>
      <c r="D397" s="28">
        <v>9.99438943833524</v>
      </c>
      <c r="E397" s="28" t="s">
        <v>15</v>
      </c>
      <c r="F397" s="28" t="s">
        <v>168</v>
      </c>
      <c r="G397" s="29" t="s">
        <v>26</v>
      </c>
      <c r="H397" s="30" t="str">
        <f>HYPERLINK("https://www.munzee.com/m/Elli/6383/", "Elli/6383")</f>
        <v>Elli/6383</v>
      </c>
      <c r="J397" s="31">
        <f t="shared" si="1"/>
        <v>143</v>
      </c>
    </row>
    <row r="398">
      <c r="A398" s="28">
        <v>7.0</v>
      </c>
      <c r="B398" s="28">
        <v>21.0</v>
      </c>
      <c r="C398" s="28">
        <v>53.4965846121617</v>
      </c>
      <c r="D398" s="28">
        <v>9.99463013519073</v>
      </c>
      <c r="E398" s="28" t="s">
        <v>15</v>
      </c>
      <c r="F398" s="28" t="s">
        <v>168</v>
      </c>
      <c r="G398" s="29" t="s">
        <v>208</v>
      </c>
      <c r="H398" s="30" t="str">
        <f>HYPERLINK("https://www.munzee.com/m/fezzman/5004/", "fezzman/5004")</f>
        <v>fezzman/5004</v>
      </c>
      <c r="J398" s="31">
        <f t="shared" si="1"/>
        <v>1</v>
      </c>
    </row>
    <row r="399">
      <c r="A399" s="28">
        <v>7.0</v>
      </c>
      <c r="B399" s="28">
        <v>22.0</v>
      </c>
      <c r="C399" s="28">
        <v>53.4965720849862</v>
      </c>
      <c r="D399" s="28">
        <v>9.99487083197505</v>
      </c>
      <c r="E399" s="28" t="s">
        <v>15</v>
      </c>
      <c r="F399" s="28" t="s">
        <v>168</v>
      </c>
      <c r="G399" s="37" t="s">
        <v>209</v>
      </c>
      <c r="H399" s="35" t="s">
        <v>210</v>
      </c>
      <c r="J399" s="31">
        <f t="shared" si="1"/>
        <v>2</v>
      </c>
    </row>
    <row r="400">
      <c r="A400" s="28">
        <v>7.0</v>
      </c>
      <c r="B400" s="28">
        <v>23.0</v>
      </c>
      <c r="C400" s="28">
        <v>53.4965595578108</v>
      </c>
      <c r="D400" s="28">
        <v>9.99511152868831</v>
      </c>
      <c r="E400" s="28" t="s">
        <v>15</v>
      </c>
      <c r="F400" s="28" t="s">
        <v>168</v>
      </c>
      <c r="G400" s="29" t="s">
        <v>26</v>
      </c>
      <c r="H400" s="30" t="str">
        <f>HYPERLINK("https://www.munzee.com/m/Elli/6402/", "Elli/6402")</f>
        <v>Elli/6402</v>
      </c>
      <c r="J400" s="31">
        <f t="shared" si="1"/>
        <v>143</v>
      </c>
    </row>
    <row r="401">
      <c r="A401" s="28">
        <v>7.0</v>
      </c>
      <c r="B401" s="28">
        <v>24.0</v>
      </c>
      <c r="C401" s="28">
        <v>53.4965470306353</v>
      </c>
      <c r="D401" s="28">
        <v>9.9953522253304</v>
      </c>
      <c r="E401" s="28" t="s">
        <v>15</v>
      </c>
      <c r="F401" s="28" t="s">
        <v>168</v>
      </c>
      <c r="G401" s="29" t="s">
        <v>211</v>
      </c>
      <c r="H401" s="30" t="str">
        <f>HYPERLINK("https://www.munzee.com/m/res2100/154", "res2100/154")</f>
        <v>res2100/154</v>
      </c>
      <c r="J401" s="31">
        <f t="shared" si="1"/>
        <v>1</v>
      </c>
    </row>
    <row r="402">
      <c r="A402" s="28">
        <v>7.0</v>
      </c>
      <c r="B402" s="28">
        <v>25.0</v>
      </c>
      <c r="C402" s="28">
        <v>53.4965345034598</v>
      </c>
      <c r="D402" s="28">
        <v>9.99559292190144</v>
      </c>
      <c r="E402" s="28" t="s">
        <v>15</v>
      </c>
      <c r="F402" s="28" t="s">
        <v>168</v>
      </c>
      <c r="G402" s="29" t="s">
        <v>212</v>
      </c>
      <c r="H402" s="30" t="str">
        <f>HYPERLINK("https://www.munzee.com/m/Captainwilly/2108/", "Captainwilly/2108")</f>
        <v>Captainwilly/2108</v>
      </c>
      <c r="J402" s="31">
        <f t="shared" si="1"/>
        <v>3</v>
      </c>
    </row>
    <row r="403">
      <c r="A403" s="28">
        <v>7.0</v>
      </c>
      <c r="B403" s="28">
        <v>26.0</v>
      </c>
      <c r="C403" s="28">
        <v>53.4965219762843</v>
      </c>
      <c r="D403" s="28">
        <v>9.99583361840132</v>
      </c>
      <c r="E403" s="28" t="s">
        <v>15</v>
      </c>
      <c r="F403" s="28" t="s">
        <v>168</v>
      </c>
      <c r="G403" s="29" t="s">
        <v>213</v>
      </c>
      <c r="H403" s="30" t="str">
        <f>HYPERLINK("https://www.munzee.com/m/delaner46/4864", "delaner46/4864")</f>
        <v>delaner46/4864</v>
      </c>
      <c r="J403" s="31">
        <f t="shared" si="1"/>
        <v>4</v>
      </c>
    </row>
    <row r="404">
      <c r="A404" s="28">
        <v>7.0</v>
      </c>
      <c r="B404" s="28">
        <v>27.0</v>
      </c>
      <c r="C404" s="28">
        <v>53.4965094491088</v>
      </c>
      <c r="D404" s="28">
        <v>9.99607431483013</v>
      </c>
      <c r="E404" s="28" t="s">
        <v>15</v>
      </c>
      <c r="F404" s="28" t="s">
        <v>168</v>
      </c>
      <c r="G404" s="29" t="s">
        <v>214</v>
      </c>
      <c r="H404" s="30" t="str">
        <f>HYPERLINK("https://www.munzee.com/m/90mile/786/", "90mile/786")</f>
        <v>90mile/786</v>
      </c>
      <c r="J404" s="31">
        <f t="shared" si="1"/>
        <v>25</v>
      </c>
    </row>
    <row r="405">
      <c r="A405" s="28">
        <v>7.0</v>
      </c>
      <c r="B405" s="28">
        <v>28.0</v>
      </c>
      <c r="C405" s="28">
        <v>53.4964969219334</v>
      </c>
      <c r="D405" s="28">
        <v>9.99631501118779</v>
      </c>
      <c r="E405" s="28" t="s">
        <v>15</v>
      </c>
      <c r="F405" s="28" t="s">
        <v>168</v>
      </c>
      <c r="G405" s="29" t="s">
        <v>215</v>
      </c>
      <c r="H405" s="30" t="str">
        <f>HYPERLINK("https://www.munzee.com/m/amadoreugen/4405", "amadoreugen/4405")</f>
        <v>amadoreugen/4405</v>
      </c>
      <c r="J405" s="31">
        <f t="shared" si="1"/>
        <v>6</v>
      </c>
    </row>
    <row r="406">
      <c r="A406" s="28">
        <v>7.0</v>
      </c>
      <c r="B406" s="28">
        <v>29.0</v>
      </c>
      <c r="C406" s="28">
        <v>53.4964843947579</v>
      </c>
      <c r="D406" s="28">
        <v>9.99655570747438</v>
      </c>
      <c r="E406" s="28" t="s">
        <v>15</v>
      </c>
      <c r="F406" s="28" t="s">
        <v>168</v>
      </c>
      <c r="G406" s="29" t="s">
        <v>213</v>
      </c>
      <c r="H406" s="30" t="str">
        <f>HYPERLINK("https://www.munzee.com/m/delaner46/4861", "delaner46/4861")</f>
        <v>delaner46/4861</v>
      </c>
      <c r="J406" s="31">
        <f t="shared" si="1"/>
        <v>4</v>
      </c>
    </row>
    <row r="407">
      <c r="A407" s="28">
        <v>7.0</v>
      </c>
      <c r="B407" s="28">
        <v>30.0</v>
      </c>
      <c r="C407" s="28">
        <v>53.4964718675824</v>
      </c>
      <c r="D407" s="28">
        <v>9.99679640368981</v>
      </c>
      <c r="E407" s="28" t="s">
        <v>15</v>
      </c>
      <c r="F407" s="28" t="s">
        <v>168</v>
      </c>
      <c r="G407" s="29" t="s">
        <v>214</v>
      </c>
      <c r="H407" s="30" t="str">
        <f>HYPERLINK("https://www.munzee.com/m/90mile/727/", "90mile/727")</f>
        <v>90mile/727</v>
      </c>
      <c r="J407" s="31">
        <f t="shared" si="1"/>
        <v>25</v>
      </c>
    </row>
    <row r="408">
      <c r="A408" s="28">
        <v>7.0</v>
      </c>
      <c r="B408" s="28">
        <v>31.0</v>
      </c>
      <c r="C408" s="28">
        <v>53.4964593404069</v>
      </c>
      <c r="D408" s="28">
        <v>9.99703709983418</v>
      </c>
      <c r="E408" s="28" t="s">
        <v>15</v>
      </c>
      <c r="F408" s="28" t="s">
        <v>168</v>
      </c>
      <c r="G408" s="29" t="s">
        <v>216</v>
      </c>
      <c r="H408" s="30" t="str">
        <f>HYPERLINK("https://www.munzee.com/m/edwin21/692", "edwin21/692")</f>
        <v>edwin21/692</v>
      </c>
      <c r="J408" s="31">
        <f t="shared" si="1"/>
        <v>1</v>
      </c>
    </row>
    <row r="409">
      <c r="A409" s="28">
        <v>7.0</v>
      </c>
      <c r="B409" s="28">
        <v>32.0</v>
      </c>
      <c r="C409" s="28">
        <v>53.4964468132314</v>
      </c>
      <c r="D409" s="28">
        <v>9.99727779590739</v>
      </c>
      <c r="E409" s="28" t="s">
        <v>15</v>
      </c>
      <c r="F409" s="28" t="s">
        <v>168</v>
      </c>
      <c r="G409" s="29" t="s">
        <v>217</v>
      </c>
      <c r="H409" s="30" t="str">
        <f>HYPERLINK("https://www.munzee.com/m/Ellesche/141", "Ellesche/141")</f>
        <v>Ellesche/141</v>
      </c>
      <c r="J409" s="31">
        <f t="shared" si="1"/>
        <v>1</v>
      </c>
    </row>
    <row r="410">
      <c r="A410" s="28">
        <v>7.0</v>
      </c>
      <c r="B410" s="28">
        <v>33.0</v>
      </c>
      <c r="C410" s="28">
        <v>53.496434286056</v>
      </c>
      <c r="D410" s="28">
        <v>9.99751849190954</v>
      </c>
      <c r="E410" s="28" t="s">
        <v>15</v>
      </c>
      <c r="F410" s="28" t="s">
        <v>168</v>
      </c>
      <c r="G410" s="29" t="s">
        <v>218</v>
      </c>
      <c r="H410" s="30" t="str">
        <f>HYPERLINK("https://www.munzee.com/m/Kiitokurre/5169/", "Kiitokurre/5169")</f>
        <v>Kiitokurre/5169</v>
      </c>
      <c r="J410" s="31">
        <f t="shared" si="1"/>
        <v>1</v>
      </c>
    </row>
    <row r="411">
      <c r="A411" s="28">
        <v>7.0</v>
      </c>
      <c r="B411" s="28">
        <v>34.0</v>
      </c>
      <c r="C411" s="28">
        <v>53.4964217588805</v>
      </c>
      <c r="D411" s="28">
        <v>9.99775918784053</v>
      </c>
      <c r="E411" s="28" t="s">
        <v>15</v>
      </c>
      <c r="F411" s="28" t="s">
        <v>168</v>
      </c>
      <c r="G411" s="29" t="s">
        <v>88</v>
      </c>
      <c r="H411" s="30" t="str">
        <f>HYPERLINK("https://www.munzee.com/m/RoversEnd/2557/", "RoversEnd/2557")</f>
        <v>RoversEnd/2557</v>
      </c>
      <c r="J411" s="31">
        <f t="shared" si="1"/>
        <v>3</v>
      </c>
    </row>
    <row r="412">
      <c r="A412" s="28">
        <v>7.0</v>
      </c>
      <c r="B412" s="28">
        <v>35.0</v>
      </c>
      <c r="C412" s="28">
        <v>53.496409231705</v>
      </c>
      <c r="D412" s="28">
        <v>9.99799988370045</v>
      </c>
      <c r="E412" s="28" t="s">
        <v>15</v>
      </c>
      <c r="F412" s="28" t="s">
        <v>168</v>
      </c>
      <c r="G412" s="29" t="s">
        <v>26</v>
      </c>
      <c r="H412" s="30" t="str">
        <f>HYPERLINK("https://www.munzee.com/m/Elli/6419/", "Elli/6419")</f>
        <v>Elli/6419</v>
      </c>
      <c r="J412" s="31">
        <f t="shared" si="1"/>
        <v>143</v>
      </c>
    </row>
    <row r="413">
      <c r="A413" s="28">
        <v>7.0</v>
      </c>
      <c r="B413" s="28">
        <v>36.0</v>
      </c>
      <c r="C413" s="28">
        <v>53.4963967045295</v>
      </c>
      <c r="D413" s="28">
        <v>9.99824057948922</v>
      </c>
      <c r="E413" s="28" t="s">
        <v>15</v>
      </c>
      <c r="F413" s="28" t="s">
        <v>168</v>
      </c>
      <c r="G413" s="29" t="s">
        <v>214</v>
      </c>
      <c r="H413" s="30" t="str">
        <f>HYPERLINK("https://www.munzee.com/m/90mile/586/", "90mile/586")</f>
        <v>90mile/586</v>
      </c>
      <c r="J413" s="31">
        <f t="shared" si="1"/>
        <v>25</v>
      </c>
    </row>
    <row r="414">
      <c r="A414" s="28">
        <v>7.0</v>
      </c>
      <c r="B414" s="28">
        <v>37.0</v>
      </c>
      <c r="C414" s="28">
        <v>53.496384177354</v>
      </c>
      <c r="D414" s="28">
        <v>9.99848127520692</v>
      </c>
      <c r="E414" s="28" t="s">
        <v>15</v>
      </c>
      <c r="F414" s="28" t="s">
        <v>168</v>
      </c>
      <c r="G414" s="29" t="s">
        <v>47</v>
      </c>
      <c r="H414" s="30" t="str">
        <f>HYPERLINK("https://www.munzee.com/m/Dad35/10469/", "Dad35/10469")</f>
        <v>Dad35/10469</v>
      </c>
      <c r="J414" s="31">
        <f t="shared" si="1"/>
        <v>44</v>
      </c>
    </row>
    <row r="415">
      <c r="A415" s="28">
        <v>7.0</v>
      </c>
      <c r="B415" s="28">
        <v>38.0</v>
      </c>
      <c r="C415" s="28">
        <v>53.4963716501785</v>
      </c>
      <c r="D415" s="28">
        <v>9.99872197085346</v>
      </c>
      <c r="E415" s="28" t="s">
        <v>15</v>
      </c>
      <c r="F415" s="28" t="s">
        <v>168</v>
      </c>
      <c r="G415" s="29" t="s">
        <v>26</v>
      </c>
      <c r="H415" s="30" t="str">
        <f>HYPERLINK("https://www.munzee.com/m/Elli/6275/", "Elli/6275")</f>
        <v>Elli/6275</v>
      </c>
      <c r="J415" s="31">
        <f t="shared" si="1"/>
        <v>143</v>
      </c>
    </row>
    <row r="416">
      <c r="A416" s="28">
        <v>7.0</v>
      </c>
      <c r="B416" s="28">
        <v>39.0</v>
      </c>
      <c r="C416" s="28">
        <v>53.4963591230031</v>
      </c>
      <c r="D416" s="28">
        <v>9.99896266642895</v>
      </c>
      <c r="E416" s="28" t="s">
        <v>15</v>
      </c>
      <c r="F416" s="28" t="s">
        <v>168</v>
      </c>
      <c r="G416" s="29" t="s">
        <v>40</v>
      </c>
      <c r="H416" s="30" t="str">
        <f>HYPERLINK("https://www.munzee.com/m/csThanner/2546/", "csThanner/2546")</f>
        <v>csThanner/2546</v>
      </c>
      <c r="J416" s="31">
        <f t="shared" si="1"/>
        <v>88</v>
      </c>
    </row>
    <row r="417">
      <c r="A417" s="28">
        <v>7.0</v>
      </c>
      <c r="B417" s="28">
        <v>40.0</v>
      </c>
      <c r="C417" s="28">
        <v>53.4963465958276</v>
      </c>
      <c r="D417" s="28">
        <v>9.99920336193326</v>
      </c>
      <c r="E417" s="28" t="s">
        <v>15</v>
      </c>
      <c r="F417" s="28" t="s">
        <v>168</v>
      </c>
      <c r="G417" s="29" t="s">
        <v>214</v>
      </c>
      <c r="H417" s="30" t="str">
        <f>HYPERLINK("https://www.munzee.com/m/90mile/482/", "90mile/482")</f>
        <v>90mile/482</v>
      </c>
      <c r="J417" s="31">
        <f t="shared" si="1"/>
        <v>25</v>
      </c>
    </row>
    <row r="418">
      <c r="A418" s="28">
        <v>7.0</v>
      </c>
      <c r="B418" s="28">
        <v>41.0</v>
      </c>
      <c r="C418" s="28">
        <v>53.4963340686521</v>
      </c>
      <c r="D418" s="28">
        <v>9.99944405736653</v>
      </c>
      <c r="E418" s="28" t="s">
        <v>15</v>
      </c>
      <c r="F418" s="28" t="s">
        <v>168</v>
      </c>
      <c r="G418" s="29" t="s">
        <v>26</v>
      </c>
      <c r="H418" s="30" t="str">
        <f>HYPERLINK("https://www.munzee.com/m/Elli/6412/", "Elli/6412")</f>
        <v>Elli/6412</v>
      </c>
      <c r="J418" s="31">
        <f t="shared" si="1"/>
        <v>143</v>
      </c>
    </row>
    <row r="419">
      <c r="A419" s="28">
        <v>7.0</v>
      </c>
      <c r="B419" s="28">
        <v>42.0</v>
      </c>
      <c r="C419" s="28">
        <v>53.4963215414766</v>
      </c>
      <c r="D419" s="28">
        <v>9.99968475272862</v>
      </c>
      <c r="E419" s="28" t="s">
        <v>15</v>
      </c>
      <c r="F419" s="28" t="s">
        <v>168</v>
      </c>
      <c r="G419" s="29" t="s">
        <v>40</v>
      </c>
      <c r="H419" s="30" t="str">
        <f>HYPERLINK("https://www.munzee.com/m/csThanner/2545/", "csThanner/2545")</f>
        <v>csThanner/2545</v>
      </c>
      <c r="J419" s="31">
        <f t="shared" si="1"/>
        <v>88</v>
      </c>
    </row>
    <row r="420">
      <c r="A420" s="28">
        <v>7.0</v>
      </c>
      <c r="B420" s="28">
        <v>43.0</v>
      </c>
      <c r="C420" s="28">
        <v>53.4963090143011</v>
      </c>
      <c r="D420" s="28">
        <v>9.99992544801966</v>
      </c>
      <c r="E420" s="28" t="s">
        <v>15</v>
      </c>
      <c r="F420" s="28" t="s">
        <v>168</v>
      </c>
      <c r="G420" s="29" t="s">
        <v>214</v>
      </c>
      <c r="H420" s="30" t="str">
        <f>HYPERLINK("https://www.munzee.com/m/90mile/742/", "90mile/742")</f>
        <v>90mile/742</v>
      </c>
      <c r="J420" s="31">
        <f t="shared" si="1"/>
        <v>25</v>
      </c>
    </row>
    <row r="421">
      <c r="A421" s="28">
        <v>7.0</v>
      </c>
      <c r="B421" s="28">
        <v>44.0</v>
      </c>
      <c r="C421" s="28">
        <v>53.4962964871257</v>
      </c>
      <c r="D421" s="28">
        <v>10.0001661432395</v>
      </c>
      <c r="E421" s="28" t="s">
        <v>15</v>
      </c>
      <c r="F421" s="28" t="s">
        <v>168</v>
      </c>
      <c r="G421" s="29" t="s">
        <v>219</v>
      </c>
      <c r="H421" s="30" t="str">
        <f>HYPERLINK("https://www.munzee.com/m/Drazoria/265", "Drazoria/265")</f>
        <v>Drazoria/265</v>
      </c>
      <c r="J421" s="31">
        <f t="shared" si="1"/>
        <v>8</v>
      </c>
    </row>
    <row r="422">
      <c r="A422" s="28">
        <v>7.0</v>
      </c>
      <c r="B422" s="28">
        <v>45.0</v>
      </c>
      <c r="C422" s="28">
        <v>53.4962839599502</v>
      </c>
      <c r="D422" s="28">
        <v>10.0004068383883</v>
      </c>
      <c r="E422" s="28" t="s">
        <v>15</v>
      </c>
      <c r="F422" s="28" t="s">
        <v>168</v>
      </c>
      <c r="G422" s="29" t="s">
        <v>220</v>
      </c>
      <c r="H422" s="30" t="str">
        <f>HYPERLINK("https://www.munzee.com/m/Tinake1309/241", "Tinake1309/241")</f>
        <v>Tinake1309/241</v>
      </c>
      <c r="J422" s="31">
        <f t="shared" si="1"/>
        <v>9</v>
      </c>
    </row>
    <row r="423">
      <c r="A423" s="28">
        <v>7.0</v>
      </c>
      <c r="B423" s="28">
        <v>46.0</v>
      </c>
      <c r="C423" s="28">
        <v>53.4962714327747</v>
      </c>
      <c r="D423" s="28">
        <v>10.000647533466</v>
      </c>
      <c r="E423" s="28" t="s">
        <v>15</v>
      </c>
      <c r="F423" s="28" t="s">
        <v>168</v>
      </c>
      <c r="G423" s="29" t="s">
        <v>214</v>
      </c>
      <c r="H423" s="30" t="str">
        <f>HYPERLINK("https://www.munzee.com/m/90mile/741/", "90mile/741")</f>
        <v>90mile/741</v>
      </c>
      <c r="J423" s="31">
        <f t="shared" si="1"/>
        <v>25</v>
      </c>
    </row>
    <row r="424">
      <c r="A424" s="28">
        <v>7.0</v>
      </c>
      <c r="B424" s="28">
        <v>47.0</v>
      </c>
      <c r="C424" s="28">
        <v>53.4962589055992</v>
      </c>
      <c r="D424" s="28">
        <v>10.0008882284726</v>
      </c>
      <c r="E424" s="28" t="s">
        <v>15</v>
      </c>
      <c r="F424" s="28" t="s">
        <v>168</v>
      </c>
      <c r="G424" s="29" t="s">
        <v>212</v>
      </c>
      <c r="H424" s="30" t="str">
        <f>HYPERLINK("https://www.munzee.com/m/Captainwilly/2097/", "Captainwilly/2097")</f>
        <v>Captainwilly/2097</v>
      </c>
      <c r="J424" s="31">
        <f t="shared" si="1"/>
        <v>3</v>
      </c>
    </row>
    <row r="425">
      <c r="A425" s="28">
        <v>7.0</v>
      </c>
      <c r="B425" s="28">
        <v>48.0</v>
      </c>
      <c r="C425" s="28">
        <v>53.4962463784237</v>
      </c>
      <c r="D425" s="28">
        <v>10.001128923408</v>
      </c>
      <c r="E425" s="28" t="s">
        <v>15</v>
      </c>
      <c r="F425" s="28" t="s">
        <v>168</v>
      </c>
      <c r="G425" s="29" t="s">
        <v>221</v>
      </c>
      <c r="H425" s="30" t="str">
        <f>HYPERLINK("https://www.munzee.com/m/Berg14/157", "Berg14/157")</f>
        <v>Berg14/157</v>
      </c>
      <c r="J425" s="31">
        <f t="shared" si="1"/>
        <v>8</v>
      </c>
    </row>
    <row r="426">
      <c r="A426" s="28">
        <v>7.0</v>
      </c>
      <c r="B426" s="28">
        <v>49.0</v>
      </c>
      <c r="C426" s="28">
        <v>53.4962338512483</v>
      </c>
      <c r="D426" s="28">
        <v>10.0013696182724</v>
      </c>
      <c r="E426" s="28" t="s">
        <v>15</v>
      </c>
      <c r="F426" s="28" t="s">
        <v>168</v>
      </c>
      <c r="G426" s="29" t="s">
        <v>214</v>
      </c>
      <c r="H426" s="30" t="str">
        <f>HYPERLINK("https://www.munzee.com/m/90mile/739/", "90mile/739")</f>
        <v>90mile/739</v>
      </c>
      <c r="J426" s="31">
        <f t="shared" si="1"/>
        <v>25</v>
      </c>
    </row>
    <row r="427">
      <c r="A427" s="28">
        <v>7.0</v>
      </c>
      <c r="B427" s="28">
        <v>50.0</v>
      </c>
      <c r="C427" s="28">
        <v>53.4962213240728</v>
      </c>
      <c r="D427" s="28">
        <v>10.0016103130656</v>
      </c>
      <c r="E427" s="28" t="s">
        <v>15</v>
      </c>
      <c r="F427" s="28" t="s">
        <v>168</v>
      </c>
      <c r="G427" s="29" t="s">
        <v>222</v>
      </c>
      <c r="H427" s="30" t="str">
        <f>HYPERLINK("https://www.munzee.com/m/Niks13/153", "Niks13/153")</f>
        <v>Niks13/153</v>
      </c>
      <c r="J427" s="31">
        <f t="shared" si="1"/>
        <v>8</v>
      </c>
    </row>
    <row r="428">
      <c r="A428" s="28">
        <v>7.0</v>
      </c>
      <c r="B428" s="28">
        <v>51.0</v>
      </c>
      <c r="C428" s="28">
        <v>53.4962087968973</v>
      </c>
      <c r="D428" s="28">
        <v>10.0018510077877</v>
      </c>
      <c r="E428" s="28" t="s">
        <v>15</v>
      </c>
      <c r="F428" s="28" t="s">
        <v>168</v>
      </c>
      <c r="G428" s="29" t="s">
        <v>215</v>
      </c>
      <c r="H428" s="30" t="str">
        <f>HYPERLINK("https://www.munzee.com/m/amadoreugen/4421", "amadoreugen/4421")</f>
        <v>amadoreugen/4421</v>
      </c>
      <c r="J428" s="31">
        <f t="shared" si="1"/>
        <v>6</v>
      </c>
    </row>
    <row r="429">
      <c r="A429" s="28">
        <v>7.0</v>
      </c>
      <c r="B429" s="28">
        <v>52.0</v>
      </c>
      <c r="C429" s="28">
        <v>53.4961962697218</v>
      </c>
      <c r="D429" s="28">
        <v>10.0020917024387</v>
      </c>
      <c r="E429" s="28" t="s">
        <v>15</v>
      </c>
      <c r="F429" s="28" t="s">
        <v>168</v>
      </c>
      <c r="G429" s="29" t="s">
        <v>214</v>
      </c>
      <c r="H429" s="30" t="str">
        <f>HYPERLINK("https://www.munzee.com/m/90mile/729/", "90mile/729")</f>
        <v>90mile/729</v>
      </c>
      <c r="J429" s="31">
        <f t="shared" si="1"/>
        <v>25</v>
      </c>
    </row>
    <row r="430">
      <c r="A430" s="28">
        <v>7.0</v>
      </c>
      <c r="B430" s="28">
        <v>53.0</v>
      </c>
      <c r="C430" s="28">
        <v>53.4961837425464</v>
      </c>
      <c r="D430" s="28">
        <v>10.0023323970186</v>
      </c>
      <c r="E430" s="28" t="s">
        <v>15</v>
      </c>
      <c r="F430" s="28" t="s">
        <v>168</v>
      </c>
      <c r="G430" s="41" t="s">
        <v>55</v>
      </c>
      <c r="H430" s="34" t="s">
        <v>223</v>
      </c>
      <c r="J430" s="31">
        <f t="shared" si="1"/>
        <v>51</v>
      </c>
    </row>
    <row r="431">
      <c r="A431" s="28">
        <v>7.0</v>
      </c>
      <c r="B431" s="28">
        <v>54.0</v>
      </c>
      <c r="C431" s="28">
        <v>53.4961712153709</v>
      </c>
      <c r="D431" s="28">
        <v>10.0025730915274</v>
      </c>
      <c r="E431" s="28" t="s">
        <v>15</v>
      </c>
      <c r="F431" s="28" t="s">
        <v>168</v>
      </c>
      <c r="G431" s="29" t="s">
        <v>224</v>
      </c>
      <c r="H431" s="30" t="str">
        <f>HYPERLINK("https://www.munzee.com/m/Bungle/2436", "Bungle/2436")</f>
        <v>Bungle/2436</v>
      </c>
      <c r="J431" s="31">
        <f t="shared" si="1"/>
        <v>3</v>
      </c>
    </row>
    <row r="432">
      <c r="A432" s="28">
        <v>7.0</v>
      </c>
      <c r="B432" s="28">
        <v>55.0</v>
      </c>
      <c r="C432" s="28">
        <v>53.4961586881954</v>
      </c>
      <c r="D432" s="28">
        <v>10.0028137859651</v>
      </c>
      <c r="E432" s="28" t="s">
        <v>15</v>
      </c>
      <c r="F432" s="28" t="s">
        <v>168</v>
      </c>
      <c r="G432" s="29" t="s">
        <v>214</v>
      </c>
      <c r="H432" s="30" t="str">
        <f>HYPERLINK("https://www.munzee.com/m/90mile/726/", "90mile/726")</f>
        <v>90mile/726</v>
      </c>
      <c r="J432" s="31">
        <f t="shared" si="1"/>
        <v>25</v>
      </c>
    </row>
    <row r="433">
      <c r="A433" s="28">
        <v>7.0</v>
      </c>
      <c r="B433" s="28">
        <v>56.0</v>
      </c>
      <c r="C433" s="28">
        <v>53.4961461610199</v>
      </c>
      <c r="D433" s="28">
        <v>10.0030544803316</v>
      </c>
      <c r="E433" s="28" t="s">
        <v>15</v>
      </c>
      <c r="F433" s="28" t="s">
        <v>168</v>
      </c>
      <c r="G433" s="29" t="s">
        <v>55</v>
      </c>
      <c r="H433" s="30" t="str">
        <f>HYPERLINK("https://www.munzee.com/m/boerse82/5330/", "boerse82/5330")</f>
        <v>boerse82/5330</v>
      </c>
      <c r="J433" s="31">
        <f t="shared" si="1"/>
        <v>51</v>
      </c>
    </row>
    <row r="434">
      <c r="A434" s="28">
        <v>7.0</v>
      </c>
      <c r="B434" s="28">
        <v>57.0</v>
      </c>
      <c r="C434" s="28">
        <v>53.4961336338445</v>
      </c>
      <c r="D434" s="28">
        <v>10.0032951746271</v>
      </c>
      <c r="E434" s="28" t="s">
        <v>15</v>
      </c>
      <c r="F434" s="28" t="s">
        <v>168</v>
      </c>
      <c r="G434" s="29" t="s">
        <v>32</v>
      </c>
      <c r="H434" s="30" t="str">
        <f>HYPERLINK("https://www.munzee.com/m/Lewini/2129/", "Lewini/2129")</f>
        <v>Lewini/2129</v>
      </c>
      <c r="J434" s="31">
        <f t="shared" si="1"/>
        <v>6</v>
      </c>
    </row>
    <row r="435">
      <c r="A435" s="28">
        <v>7.0</v>
      </c>
      <c r="B435" s="28">
        <v>58.0</v>
      </c>
      <c r="C435" s="28">
        <v>53.496121106669</v>
      </c>
      <c r="D435" s="28">
        <v>10.0035358688516</v>
      </c>
      <c r="E435" s="28" t="s">
        <v>15</v>
      </c>
      <c r="F435" s="28" t="s">
        <v>168</v>
      </c>
      <c r="G435" s="29" t="s">
        <v>225</v>
      </c>
      <c r="H435" s="30" t="str">
        <f>HYPERLINK("https://www.munzee.com/m/tomtom71/4337/", "tomtom71/4337")</f>
        <v>tomtom71/4337</v>
      </c>
      <c r="J435" s="31">
        <f t="shared" si="1"/>
        <v>2</v>
      </c>
    </row>
    <row r="436">
      <c r="A436" s="28">
        <v>7.0</v>
      </c>
      <c r="B436" s="28">
        <v>59.0</v>
      </c>
      <c r="C436" s="28">
        <v>53.4961085794935</v>
      </c>
      <c r="D436" s="28">
        <v>10.0037765630048</v>
      </c>
      <c r="E436" s="28" t="s">
        <v>15</v>
      </c>
      <c r="F436" s="28" t="s">
        <v>168</v>
      </c>
      <c r="G436" s="29" t="s">
        <v>55</v>
      </c>
      <c r="H436" s="30" t="str">
        <f>HYPERLINK("https://www.munzee.com/m/boerse82/5332/", "boerse82/5332")</f>
        <v>boerse82/5332</v>
      </c>
      <c r="J436" s="31">
        <f t="shared" si="1"/>
        <v>51</v>
      </c>
    </row>
    <row r="437">
      <c r="A437" s="28">
        <v>7.0</v>
      </c>
      <c r="B437" s="28">
        <v>60.0</v>
      </c>
      <c r="C437" s="28">
        <v>53.496096052318</v>
      </c>
      <c r="D437" s="28">
        <v>10.004017257087</v>
      </c>
      <c r="E437" s="28" t="s">
        <v>25</v>
      </c>
      <c r="F437" s="28" t="s">
        <v>14</v>
      </c>
      <c r="G437" s="29" t="s">
        <v>32</v>
      </c>
      <c r="H437" s="30" t="str">
        <f>HYPERLINK("https://www.munzee.com/m/Lewini/2124/", "Lewini/2124")</f>
        <v>Lewini/2124</v>
      </c>
      <c r="J437" s="31">
        <f t="shared" si="1"/>
        <v>6</v>
      </c>
    </row>
    <row r="438">
      <c r="A438" s="28">
        <v>8.0</v>
      </c>
      <c r="B438" s="28">
        <v>1.0</v>
      </c>
      <c r="C438" s="28">
        <v>53.4966919721618</v>
      </c>
      <c r="D438" s="28">
        <v>9.98979512627102</v>
      </c>
      <c r="E438" s="28" t="s">
        <v>25</v>
      </c>
      <c r="F438" s="28" t="s">
        <v>14</v>
      </c>
      <c r="G438" s="29" t="s">
        <v>26</v>
      </c>
      <c r="H438" s="30" t="str">
        <f>HYPERLINK("https://www.munzee.com/m/Elli/6254/", "Elli/6254")</f>
        <v>Elli/6254</v>
      </c>
      <c r="J438" s="31">
        <f t="shared" si="1"/>
        <v>143</v>
      </c>
    </row>
    <row r="439">
      <c r="A439" s="28">
        <v>8.0</v>
      </c>
      <c r="B439" s="28">
        <v>2.0</v>
      </c>
      <c r="C439" s="28">
        <v>53.4966794449863</v>
      </c>
      <c r="D439" s="28">
        <v>9.99003582366481</v>
      </c>
      <c r="E439" s="28" t="s">
        <v>15</v>
      </c>
      <c r="F439" s="28" t="s">
        <v>168</v>
      </c>
      <c r="G439" s="29" t="s">
        <v>226</v>
      </c>
      <c r="H439" s="30" t="str">
        <f>HYPERLINK("https://www.munzee.com/m/NoahCache/2627/", "NoahCache/2627")</f>
        <v>NoahCache/2627</v>
      </c>
      <c r="J439" s="31">
        <f t="shared" si="1"/>
        <v>8</v>
      </c>
    </row>
    <row r="440">
      <c r="A440" s="28">
        <v>8.0</v>
      </c>
      <c r="B440" s="28">
        <v>3.0</v>
      </c>
      <c r="C440" s="28">
        <v>53.4966669178108</v>
      </c>
      <c r="D440" s="28">
        <v>9.99027652098743</v>
      </c>
      <c r="E440" s="28" t="s">
        <v>15</v>
      </c>
      <c r="F440" s="28" t="s">
        <v>168</v>
      </c>
      <c r="G440" s="29" t="s">
        <v>32</v>
      </c>
      <c r="H440" s="30" t="str">
        <f>HYPERLINK("https://www.munzee.com/m/Lewini/2132/", "Lewini/2132")</f>
        <v>Lewini/2132</v>
      </c>
      <c r="J440" s="31">
        <f t="shared" si="1"/>
        <v>6</v>
      </c>
    </row>
    <row r="441">
      <c r="A441" s="28">
        <v>8.0</v>
      </c>
      <c r="B441" s="28">
        <v>4.0</v>
      </c>
      <c r="C441" s="28">
        <v>53.4966543906353</v>
      </c>
      <c r="D441" s="28">
        <v>9.990517218239</v>
      </c>
      <c r="E441" s="28" t="s">
        <v>15</v>
      </c>
      <c r="F441" s="28" t="s">
        <v>168</v>
      </c>
      <c r="G441" s="29" t="s">
        <v>49</v>
      </c>
      <c r="H441" s="30" t="str">
        <f>HYPERLINK("https://www.munzee.com/m/geckofreund/3338/", "geckofreund/3338")</f>
        <v>geckofreund/3338</v>
      </c>
      <c r="J441" s="31">
        <f t="shared" si="1"/>
        <v>8</v>
      </c>
    </row>
    <row r="442">
      <c r="A442" s="28">
        <v>8.0</v>
      </c>
      <c r="B442" s="28">
        <v>5.0</v>
      </c>
      <c r="C442" s="28">
        <v>53.4966418634598</v>
      </c>
      <c r="D442" s="28">
        <v>9.9907579154194</v>
      </c>
      <c r="E442" s="28" t="s">
        <v>15</v>
      </c>
      <c r="F442" s="28" t="s">
        <v>168</v>
      </c>
      <c r="G442" s="29" t="s">
        <v>50</v>
      </c>
      <c r="H442" s="30" t="str">
        <f>HYPERLINK("https://www.munzee.com/m/Syrtene/2665/", "Syrtene/2665")</f>
        <v>Syrtene/2665</v>
      </c>
      <c r="J442" s="31">
        <f t="shared" si="1"/>
        <v>8</v>
      </c>
    </row>
    <row r="443">
      <c r="A443" s="28">
        <v>8.0</v>
      </c>
      <c r="B443" s="28">
        <v>6.0</v>
      </c>
      <c r="C443" s="28">
        <v>53.4966293362844</v>
      </c>
      <c r="D443" s="28">
        <v>9.99099861252875</v>
      </c>
      <c r="E443" s="28" t="s">
        <v>15</v>
      </c>
      <c r="F443" s="28" t="s">
        <v>168</v>
      </c>
      <c r="G443" s="29" t="s">
        <v>226</v>
      </c>
      <c r="H443" s="30" t="str">
        <f>HYPERLINK("https://www.munzee.com/m/NoahCache/2625/", "NoahCache/2625")</f>
        <v>NoahCache/2625</v>
      </c>
      <c r="J443" s="31">
        <f t="shared" si="1"/>
        <v>8</v>
      </c>
    </row>
    <row r="444">
      <c r="A444" s="28">
        <v>8.0</v>
      </c>
      <c r="B444" s="28">
        <v>7.0</v>
      </c>
      <c r="C444" s="28">
        <v>53.4966168091089</v>
      </c>
      <c r="D444" s="28">
        <v>9.99123930956693</v>
      </c>
      <c r="E444" s="28" t="s">
        <v>15</v>
      </c>
      <c r="F444" s="28" t="s">
        <v>168</v>
      </c>
      <c r="G444" s="29" t="s">
        <v>49</v>
      </c>
      <c r="H444" s="30" t="str">
        <f>HYPERLINK("https://www.munzee.com/m/geckofreund/3345/", "geckofreund/3345")</f>
        <v>geckofreund/3345</v>
      </c>
      <c r="J444" s="31">
        <f t="shared" si="1"/>
        <v>8</v>
      </c>
    </row>
    <row r="445">
      <c r="A445" s="28">
        <v>8.0</v>
      </c>
      <c r="B445" s="28">
        <v>8.0</v>
      </c>
      <c r="C445" s="28">
        <v>53.4966042819334</v>
      </c>
      <c r="D445" s="28">
        <v>9.99148000653406</v>
      </c>
      <c r="E445" s="28" t="s">
        <v>15</v>
      </c>
      <c r="F445" s="28" t="s">
        <v>168</v>
      </c>
      <c r="G445" s="29" t="s">
        <v>50</v>
      </c>
      <c r="H445" s="30" t="str">
        <f>HYPERLINK("https://www.munzee.com/m/Syrtene/2653/", "Syrtene/2653")</f>
        <v>Syrtene/2653</v>
      </c>
      <c r="J445" s="31">
        <f t="shared" si="1"/>
        <v>8</v>
      </c>
    </row>
    <row r="446">
      <c r="A446" s="28">
        <v>8.0</v>
      </c>
      <c r="B446" s="28">
        <v>9.0</v>
      </c>
      <c r="C446" s="28">
        <v>53.4965917547579</v>
      </c>
      <c r="D446" s="28">
        <v>9.99172070343001</v>
      </c>
      <c r="E446" s="28" t="s">
        <v>15</v>
      </c>
      <c r="F446" s="28" t="s">
        <v>168</v>
      </c>
      <c r="G446" s="29" t="s">
        <v>226</v>
      </c>
      <c r="H446" s="30" t="str">
        <f>HYPERLINK("https://www.munzee.com/m/NoahCache/2623/", "NoahCache/2623")</f>
        <v>NoahCache/2623</v>
      </c>
      <c r="J446" s="31">
        <f t="shared" si="1"/>
        <v>8</v>
      </c>
    </row>
    <row r="447">
      <c r="A447" s="28">
        <v>8.0</v>
      </c>
      <c r="B447" s="28">
        <v>10.0</v>
      </c>
      <c r="C447" s="28">
        <v>53.4965792275824</v>
      </c>
      <c r="D447" s="28">
        <v>9.99196140025492</v>
      </c>
      <c r="E447" s="28" t="s">
        <v>15</v>
      </c>
      <c r="F447" s="28" t="s">
        <v>168</v>
      </c>
      <c r="G447" s="29" t="s">
        <v>26</v>
      </c>
      <c r="H447" s="30" t="str">
        <f>HYPERLINK("https://www.munzee.com/m/Elli/6250/", "Elli/6250")</f>
        <v>Elli/6250</v>
      </c>
      <c r="J447" s="31">
        <f t="shared" si="1"/>
        <v>143</v>
      </c>
    </row>
    <row r="448">
      <c r="A448" s="28">
        <v>8.0</v>
      </c>
      <c r="B448" s="28">
        <v>11.0</v>
      </c>
      <c r="C448" s="28">
        <v>53.496566700407</v>
      </c>
      <c r="D448" s="28">
        <v>9.99220209700865</v>
      </c>
      <c r="E448" s="28" t="s">
        <v>15</v>
      </c>
      <c r="F448" s="28" t="s">
        <v>168</v>
      </c>
      <c r="G448" s="29" t="s">
        <v>50</v>
      </c>
      <c r="H448" s="30" t="str">
        <f>HYPERLINK("https://www.munzee.com/m/Syrtene/2660/", "Syrtene/2660")</f>
        <v>Syrtene/2660</v>
      </c>
      <c r="J448" s="31">
        <f t="shared" si="1"/>
        <v>8</v>
      </c>
    </row>
    <row r="449">
      <c r="A449" s="28">
        <v>8.0</v>
      </c>
      <c r="B449" s="28">
        <v>12.0</v>
      </c>
      <c r="C449" s="28">
        <v>53.4965541732315</v>
      </c>
      <c r="D449" s="28">
        <v>9.99244279369133</v>
      </c>
      <c r="E449" s="28" t="s">
        <v>15</v>
      </c>
      <c r="F449" s="28" t="s">
        <v>168</v>
      </c>
      <c r="G449" s="29" t="s">
        <v>226</v>
      </c>
      <c r="H449" s="30" t="str">
        <f>HYPERLINK("https://www.munzee.com/m/NoahCache/2624/", "NoahCache/2624")</f>
        <v>NoahCache/2624</v>
      </c>
      <c r="J449" s="31">
        <f t="shared" si="1"/>
        <v>8</v>
      </c>
    </row>
    <row r="450">
      <c r="A450" s="28">
        <v>8.0</v>
      </c>
      <c r="B450" s="28">
        <v>13.0</v>
      </c>
      <c r="C450" s="28">
        <v>53.496541646056</v>
      </c>
      <c r="D450" s="28">
        <v>9.99268349030285</v>
      </c>
      <c r="E450" s="28" t="s">
        <v>15</v>
      </c>
      <c r="F450" s="28" t="s">
        <v>168</v>
      </c>
      <c r="G450" s="29" t="s">
        <v>49</v>
      </c>
      <c r="H450" s="30" t="str">
        <f>HYPERLINK("https://www.munzee.com/m/geckofreund/3331/", "geckofreund/3331")</f>
        <v>geckofreund/3331</v>
      </c>
      <c r="J450" s="31">
        <f t="shared" si="1"/>
        <v>8</v>
      </c>
    </row>
    <row r="451">
      <c r="A451" s="28">
        <v>8.0</v>
      </c>
      <c r="B451" s="28">
        <v>14.0</v>
      </c>
      <c r="C451" s="28">
        <v>53.4965291188805</v>
      </c>
      <c r="D451" s="28">
        <v>9.99292418684331</v>
      </c>
      <c r="E451" s="28" t="s">
        <v>15</v>
      </c>
      <c r="F451" s="28" t="s">
        <v>168</v>
      </c>
      <c r="G451" s="29" t="s">
        <v>50</v>
      </c>
      <c r="H451" s="30" t="str">
        <f>HYPERLINK("https://www.munzee.com/m/Syrtene/2659/", "Syrtene/2659")</f>
        <v>Syrtene/2659</v>
      </c>
      <c r="J451" s="31">
        <f t="shared" si="1"/>
        <v>8</v>
      </c>
    </row>
    <row r="452">
      <c r="A452" s="28">
        <v>8.0</v>
      </c>
      <c r="B452" s="28">
        <v>15.0</v>
      </c>
      <c r="C452" s="28">
        <v>53.496516591705</v>
      </c>
      <c r="D452" s="28">
        <v>9.9931648833126</v>
      </c>
      <c r="E452" s="28" t="s">
        <v>15</v>
      </c>
      <c r="F452" s="28" t="s">
        <v>168</v>
      </c>
      <c r="G452" s="29" t="s">
        <v>226</v>
      </c>
      <c r="H452" s="30" t="str">
        <f>HYPERLINK("https://www.munzee.com/m/NoahCache/2615/", "NoahCache/2615")</f>
        <v>NoahCache/2615</v>
      </c>
      <c r="J452" s="31">
        <f t="shared" si="1"/>
        <v>8</v>
      </c>
    </row>
    <row r="453">
      <c r="A453" s="28">
        <v>8.0</v>
      </c>
      <c r="B453" s="28">
        <v>16.0</v>
      </c>
      <c r="C453" s="28">
        <v>53.4965040645295</v>
      </c>
      <c r="D453" s="28">
        <v>9.99340557971083</v>
      </c>
      <c r="E453" s="28" t="s">
        <v>15</v>
      </c>
      <c r="F453" s="28" t="s">
        <v>168</v>
      </c>
      <c r="G453" s="29" t="s">
        <v>49</v>
      </c>
      <c r="H453" s="30" t="str">
        <f>HYPERLINK("https://www.munzee.com/m/geckofreund/3332/", "geckofreund/3332")</f>
        <v>geckofreund/3332</v>
      </c>
      <c r="J453" s="31">
        <f t="shared" si="1"/>
        <v>8</v>
      </c>
    </row>
    <row r="454">
      <c r="A454" s="28">
        <v>8.0</v>
      </c>
      <c r="B454" s="28">
        <v>17.0</v>
      </c>
      <c r="C454" s="28">
        <v>53.4964915373541</v>
      </c>
      <c r="D454" s="28">
        <v>9.9936462760379</v>
      </c>
      <c r="E454" s="28" t="s">
        <v>15</v>
      </c>
      <c r="F454" s="28" t="s">
        <v>168</v>
      </c>
      <c r="G454" s="29" t="s">
        <v>50</v>
      </c>
      <c r="H454" s="30" t="str">
        <f>HYPERLINK("https://www.munzee.com/m/Syrtene/2656/", "Syrtene/2656")</f>
        <v>Syrtene/2656</v>
      </c>
      <c r="J454" s="31">
        <f t="shared" si="1"/>
        <v>8</v>
      </c>
    </row>
    <row r="455">
      <c r="A455" s="28">
        <v>8.0</v>
      </c>
      <c r="B455" s="28">
        <v>18.0</v>
      </c>
      <c r="C455" s="28">
        <v>53.4964790101786</v>
      </c>
      <c r="D455" s="28">
        <v>9.99388697229392</v>
      </c>
      <c r="E455" s="28" t="s">
        <v>15</v>
      </c>
      <c r="F455" s="28" t="s">
        <v>168</v>
      </c>
      <c r="G455" s="29" t="s">
        <v>226</v>
      </c>
      <c r="H455" s="30" t="str">
        <f>HYPERLINK("https://www.munzee.com/m/NoahCache/2585/", "NoahCache/2585")</f>
        <v>NoahCache/2585</v>
      </c>
      <c r="J455" s="31">
        <f t="shared" si="1"/>
        <v>8</v>
      </c>
    </row>
    <row r="456">
      <c r="A456" s="28">
        <v>8.0</v>
      </c>
      <c r="B456" s="28">
        <v>19.0</v>
      </c>
      <c r="C456" s="28">
        <v>53.4964664830031</v>
      </c>
      <c r="D456" s="28">
        <v>9.99412766847876</v>
      </c>
      <c r="E456" s="28" t="s">
        <v>15</v>
      </c>
      <c r="F456" s="28" t="s">
        <v>168</v>
      </c>
      <c r="G456" s="29" t="s">
        <v>49</v>
      </c>
      <c r="H456" s="30" t="str">
        <f>HYPERLINK("https://www.munzee.com/m/geckofreund/3293/", "geckofreund/3293")</f>
        <v>geckofreund/3293</v>
      </c>
      <c r="J456" s="31">
        <f t="shared" si="1"/>
        <v>8</v>
      </c>
    </row>
    <row r="457">
      <c r="A457" s="28">
        <v>8.0</v>
      </c>
      <c r="B457" s="28">
        <v>20.0</v>
      </c>
      <c r="C457" s="28">
        <v>53.4964539558276</v>
      </c>
      <c r="D457" s="28">
        <v>9.99436836459256</v>
      </c>
      <c r="E457" s="28" t="s">
        <v>15</v>
      </c>
      <c r="F457" s="28" t="s">
        <v>168</v>
      </c>
      <c r="G457" s="29" t="s">
        <v>50</v>
      </c>
      <c r="H457" s="30" t="str">
        <f>HYPERLINK("https://www.munzee.com/m/Syrtene/2603/", "Syrtene/2603")</f>
        <v>Syrtene/2603</v>
      </c>
      <c r="J457" s="31">
        <f t="shared" si="1"/>
        <v>8</v>
      </c>
    </row>
    <row r="458">
      <c r="A458" s="28">
        <v>8.0</v>
      </c>
      <c r="B458" s="28">
        <v>21.0</v>
      </c>
      <c r="C458" s="28">
        <v>53.4964414286521</v>
      </c>
      <c r="D458" s="28">
        <v>9.99460906063518</v>
      </c>
      <c r="E458" s="28" t="s">
        <v>15</v>
      </c>
      <c r="F458" s="28" t="s">
        <v>168</v>
      </c>
      <c r="G458" s="29" t="s">
        <v>226</v>
      </c>
      <c r="H458" s="30" t="str">
        <f>HYPERLINK("https://www.munzee.com/m/NoahCache/2559/", "NoahCache/2559")</f>
        <v>NoahCache/2559</v>
      </c>
      <c r="J458" s="31">
        <f t="shared" si="1"/>
        <v>8</v>
      </c>
    </row>
    <row r="459">
      <c r="A459" s="28">
        <v>8.0</v>
      </c>
      <c r="B459" s="28">
        <v>22.0</v>
      </c>
      <c r="C459" s="28">
        <v>53.4964289014766</v>
      </c>
      <c r="D459" s="28">
        <v>9.99484975660675</v>
      </c>
      <c r="E459" s="28" t="s">
        <v>15</v>
      </c>
      <c r="F459" s="28" t="s">
        <v>168</v>
      </c>
      <c r="G459" s="29" t="s">
        <v>49</v>
      </c>
      <c r="H459" s="30" t="str">
        <f>HYPERLINK("https://www.munzee.com/m/geckofreund/3270/", "geckofreund/3270")</f>
        <v>geckofreund/3270</v>
      </c>
      <c r="J459" s="31">
        <f t="shared" si="1"/>
        <v>8</v>
      </c>
    </row>
    <row r="460">
      <c r="A460" s="28">
        <v>8.0</v>
      </c>
      <c r="B460" s="28">
        <v>23.0</v>
      </c>
      <c r="C460" s="28">
        <v>53.4964163743012</v>
      </c>
      <c r="D460" s="28">
        <v>9.99509045250715</v>
      </c>
      <c r="E460" s="28" t="s">
        <v>15</v>
      </c>
      <c r="F460" s="28" t="s">
        <v>168</v>
      </c>
      <c r="G460" s="29" t="s">
        <v>50</v>
      </c>
      <c r="H460" s="30" t="str">
        <f>HYPERLINK("https://www.munzee.com/m/Syrtene/2598/", "Syrtene/2598")</f>
        <v>Syrtene/2598</v>
      </c>
      <c r="J460" s="31">
        <f t="shared" si="1"/>
        <v>8</v>
      </c>
    </row>
    <row r="461">
      <c r="A461" s="28">
        <v>8.0</v>
      </c>
      <c r="B461" s="28">
        <v>24.0</v>
      </c>
      <c r="C461" s="28">
        <v>53.4964038471257</v>
      </c>
      <c r="D461" s="28">
        <v>9.9953311483365</v>
      </c>
      <c r="E461" s="28" t="s">
        <v>15</v>
      </c>
      <c r="F461" s="28" t="s">
        <v>168</v>
      </c>
      <c r="G461" s="29" t="s">
        <v>226</v>
      </c>
      <c r="H461" s="30" t="str">
        <f>HYPERLINK("https://www.munzee.com/m/NoahCache/2557/", "NoahCache/2557")</f>
        <v>NoahCache/2557</v>
      </c>
      <c r="J461" s="31">
        <f t="shared" si="1"/>
        <v>8</v>
      </c>
    </row>
    <row r="462">
      <c r="A462" s="28">
        <v>8.0</v>
      </c>
      <c r="B462" s="28">
        <v>25.0</v>
      </c>
      <c r="C462" s="28">
        <v>53.4963913199502</v>
      </c>
      <c r="D462" s="28">
        <v>9.99557184409468</v>
      </c>
      <c r="E462" s="28" t="s">
        <v>15</v>
      </c>
      <c r="F462" s="28" t="s">
        <v>168</v>
      </c>
      <c r="G462" s="29" t="s">
        <v>49</v>
      </c>
      <c r="H462" s="30" t="str">
        <f>HYPERLINK("https://www.munzee.com/m/geckofreund/3269/", "geckofreund/3269")</f>
        <v>geckofreund/3269</v>
      </c>
      <c r="J462" s="31">
        <f t="shared" si="1"/>
        <v>8</v>
      </c>
    </row>
    <row r="463">
      <c r="A463" s="28">
        <v>8.0</v>
      </c>
      <c r="B463" s="28">
        <v>26.0</v>
      </c>
      <c r="C463" s="28">
        <v>53.4963787927747</v>
      </c>
      <c r="D463" s="28">
        <v>9.99581253978181</v>
      </c>
      <c r="E463" s="28" t="s">
        <v>25</v>
      </c>
      <c r="F463" s="28" t="s">
        <v>14</v>
      </c>
      <c r="G463" s="29" t="s">
        <v>26</v>
      </c>
      <c r="H463" s="30" t="str">
        <f>HYPERLINK("https://www.munzee.com/m/Elli/6357/", "Elli/6357")</f>
        <v>Elli/6357</v>
      </c>
      <c r="J463" s="31">
        <f t="shared" si="1"/>
        <v>143</v>
      </c>
    </row>
    <row r="464">
      <c r="A464" s="28">
        <v>8.0</v>
      </c>
      <c r="B464" s="28">
        <v>27.0</v>
      </c>
      <c r="C464" s="28">
        <v>53.4963662655992</v>
      </c>
      <c r="D464" s="28">
        <v>9.99605323539776</v>
      </c>
      <c r="E464" s="28" t="s">
        <v>25</v>
      </c>
      <c r="F464" s="28" t="s">
        <v>14</v>
      </c>
      <c r="G464" s="29" t="s">
        <v>56</v>
      </c>
      <c r="H464" s="30" t="str">
        <f>HYPERLINK("https://www.munzee.com/m/Flattermaus/3363/", "Flattermaus/3363")</f>
        <v>Flattermaus/3363</v>
      </c>
      <c r="J464" s="31">
        <f t="shared" si="1"/>
        <v>55</v>
      </c>
    </row>
    <row r="465">
      <c r="A465" s="28">
        <v>8.0</v>
      </c>
      <c r="B465" s="28">
        <v>28.0</v>
      </c>
      <c r="C465" s="28">
        <v>53.4963537384238</v>
      </c>
      <c r="D465" s="28">
        <v>9.99629393094267</v>
      </c>
      <c r="E465" s="28" t="s">
        <v>25</v>
      </c>
      <c r="F465" s="28" t="s">
        <v>14</v>
      </c>
      <c r="G465" s="29" t="s">
        <v>94</v>
      </c>
      <c r="H465" s="34" t="s">
        <v>227</v>
      </c>
      <c r="J465" s="31">
        <f>COUNTIF($G$18:$G$3617,G795)</f>
        <v>3</v>
      </c>
    </row>
    <row r="466">
      <c r="A466" s="28">
        <v>8.0</v>
      </c>
      <c r="B466" s="28">
        <v>29.0</v>
      </c>
      <c r="C466" s="28">
        <v>53.4963412112483</v>
      </c>
      <c r="D466" s="28">
        <v>9.9965346264164</v>
      </c>
      <c r="E466" s="28" t="s">
        <v>25</v>
      </c>
      <c r="F466" s="28" t="s">
        <v>14</v>
      </c>
      <c r="G466" s="29" t="s">
        <v>26</v>
      </c>
      <c r="H466" s="30" t="str">
        <f>HYPERLINK("https://www.munzee.com/m/Elli/6356/", "Elli/6356")</f>
        <v>Elli/6356</v>
      </c>
      <c r="J466" s="31">
        <f t="shared" ref="J466:J794" si="2">COUNTIF($G$18:$G$3617,G466)</f>
        <v>143</v>
      </c>
    </row>
    <row r="467">
      <c r="A467" s="28">
        <v>8.0</v>
      </c>
      <c r="B467" s="28">
        <v>30.0</v>
      </c>
      <c r="C467" s="28">
        <v>53.4963286840728</v>
      </c>
      <c r="D467" s="28">
        <v>9.99677532181908</v>
      </c>
      <c r="E467" s="28" t="s">
        <v>25</v>
      </c>
      <c r="F467" s="28" t="s">
        <v>14</v>
      </c>
      <c r="G467" s="29" t="s">
        <v>56</v>
      </c>
      <c r="H467" s="30" t="str">
        <f>HYPERLINK("https://www.munzee.com/m/Flattermaus/3361/", "Flattermaus/3361")</f>
        <v>Flattermaus/3361</v>
      </c>
      <c r="J467" s="31">
        <f t="shared" si="2"/>
        <v>55</v>
      </c>
    </row>
    <row r="468">
      <c r="A468" s="28">
        <v>8.0</v>
      </c>
      <c r="B468" s="28">
        <v>31.0</v>
      </c>
      <c r="C468" s="28">
        <v>53.4963161568973</v>
      </c>
      <c r="D468" s="28">
        <v>9.9970160171506</v>
      </c>
      <c r="E468" s="28" t="s">
        <v>25</v>
      </c>
      <c r="F468" s="28" t="s">
        <v>14</v>
      </c>
      <c r="G468" s="29" t="s">
        <v>30</v>
      </c>
      <c r="H468" s="33" t="s">
        <v>228</v>
      </c>
      <c r="J468" s="31">
        <f t="shared" si="2"/>
        <v>62</v>
      </c>
    </row>
    <row r="469">
      <c r="A469" s="28">
        <v>8.0</v>
      </c>
      <c r="B469" s="28">
        <v>32.0</v>
      </c>
      <c r="C469" s="28">
        <v>53.4963036297218</v>
      </c>
      <c r="D469" s="28">
        <v>9.99725671241105</v>
      </c>
      <c r="E469" s="28" t="s">
        <v>25</v>
      </c>
      <c r="F469" s="28" t="s">
        <v>14</v>
      </c>
      <c r="G469" s="29" t="s">
        <v>26</v>
      </c>
      <c r="H469" s="30" t="str">
        <f>HYPERLINK("https://www.munzee.com/m/Elli/6355/", "Elli/6355")</f>
        <v>Elli/6355</v>
      </c>
      <c r="J469" s="31">
        <f t="shared" si="2"/>
        <v>143</v>
      </c>
    </row>
    <row r="470">
      <c r="A470" s="28">
        <v>8.0</v>
      </c>
      <c r="B470" s="28">
        <v>33.0</v>
      </c>
      <c r="C470" s="28">
        <v>53.4962911025464</v>
      </c>
      <c r="D470" s="28">
        <v>9.99749740760034</v>
      </c>
      <c r="E470" s="28" t="s">
        <v>25</v>
      </c>
      <c r="F470" s="28" t="s">
        <v>14</v>
      </c>
      <c r="G470" s="29" t="s">
        <v>57</v>
      </c>
      <c r="H470" s="30" t="str">
        <f>HYPERLINK("https://www.munzee.com/m/Steerzer/8139/", "Steerzer/8139")</f>
        <v>Steerzer/8139</v>
      </c>
      <c r="J470" s="31">
        <f t="shared" si="2"/>
        <v>20</v>
      </c>
    </row>
    <row r="471">
      <c r="A471" s="28">
        <v>8.0</v>
      </c>
      <c r="B471" s="28">
        <v>34.0</v>
      </c>
      <c r="C471" s="28">
        <v>53.4962785753709</v>
      </c>
      <c r="D471" s="28">
        <v>9.99773810271858</v>
      </c>
      <c r="E471" s="28" t="s">
        <v>15</v>
      </c>
      <c r="F471" s="28" t="s">
        <v>168</v>
      </c>
      <c r="G471" s="29" t="s">
        <v>179</v>
      </c>
      <c r="H471" s="30" t="str">
        <f>HYPERLINK("https://www.munzee.com/m/123xilef/3353/", "123xilef/3353")</f>
        <v>123xilef/3353</v>
      </c>
      <c r="J471" s="31">
        <f t="shared" si="2"/>
        <v>8</v>
      </c>
    </row>
    <row r="472">
      <c r="A472" s="28">
        <v>8.0</v>
      </c>
      <c r="B472" s="28">
        <v>35.0</v>
      </c>
      <c r="C472" s="28">
        <v>53.4962660481954</v>
      </c>
      <c r="D472" s="28">
        <v>9.99797879776565</v>
      </c>
      <c r="E472" s="28" t="s">
        <v>15</v>
      </c>
      <c r="F472" s="28" t="s">
        <v>168</v>
      </c>
      <c r="G472" s="29" t="s">
        <v>229</v>
      </c>
      <c r="H472" s="30" t="str">
        <f>HYPERLINK("https://www.munzee.com/m/kohalas/405", "kohalas/405")</f>
        <v>kohalas/405</v>
      </c>
      <c r="J472" s="31">
        <f t="shared" si="2"/>
        <v>2</v>
      </c>
    </row>
    <row r="473">
      <c r="A473" s="28">
        <v>8.0</v>
      </c>
      <c r="B473" s="28">
        <v>36.0</v>
      </c>
      <c r="C473" s="28">
        <v>53.4962535210199</v>
      </c>
      <c r="D473" s="28">
        <v>9.99821949274166</v>
      </c>
      <c r="E473" s="28" t="s">
        <v>15</v>
      </c>
      <c r="F473" s="28" t="s">
        <v>168</v>
      </c>
      <c r="G473" s="29" t="s">
        <v>40</v>
      </c>
      <c r="H473" s="30" t="str">
        <f>HYPERLINK("https://www.munzee.com/m/csThanner/2544/", "csThanner/2544")</f>
        <v>csThanner/2544</v>
      </c>
      <c r="J473" s="31">
        <f t="shared" si="2"/>
        <v>88</v>
      </c>
    </row>
    <row r="474">
      <c r="A474" s="28">
        <v>8.0</v>
      </c>
      <c r="B474" s="28">
        <v>37.0</v>
      </c>
      <c r="C474" s="28">
        <v>53.4962409938444</v>
      </c>
      <c r="D474" s="28">
        <v>9.99846018764662</v>
      </c>
      <c r="E474" s="28" t="s">
        <v>15</v>
      </c>
      <c r="F474" s="28" t="s">
        <v>168</v>
      </c>
      <c r="G474" s="29" t="s">
        <v>181</v>
      </c>
      <c r="H474" s="30" t="str">
        <f>HYPERLINK("https://www.munzee.com/m/Derlame/10659/", "Derlame/10659")</f>
        <v>Derlame/10659</v>
      </c>
      <c r="J474" s="31">
        <f t="shared" si="2"/>
        <v>5</v>
      </c>
    </row>
    <row r="475">
      <c r="A475" s="28">
        <v>8.0</v>
      </c>
      <c r="B475" s="28">
        <v>38.0</v>
      </c>
      <c r="C475" s="28">
        <v>53.4962284666689</v>
      </c>
      <c r="D475" s="28">
        <v>9.99870088248042</v>
      </c>
      <c r="E475" s="28" t="s">
        <v>15</v>
      </c>
      <c r="F475" s="28" t="s">
        <v>168</v>
      </c>
      <c r="G475" s="29" t="s">
        <v>55</v>
      </c>
      <c r="H475" s="30" t="str">
        <f>HYPERLINK("https://www.munzee.com/m/boerse82/5478/", "boerse82/5478")</f>
        <v>boerse82/5478</v>
      </c>
      <c r="J475" s="31">
        <f t="shared" si="2"/>
        <v>51</v>
      </c>
    </row>
    <row r="476">
      <c r="A476" s="28">
        <v>8.0</v>
      </c>
      <c r="B476" s="28">
        <v>39.0</v>
      </c>
      <c r="C476" s="28">
        <v>53.4962159394935</v>
      </c>
      <c r="D476" s="28">
        <v>9.99894157724315</v>
      </c>
      <c r="E476" s="28" t="s">
        <v>15</v>
      </c>
      <c r="F476" s="28" t="s">
        <v>168</v>
      </c>
      <c r="G476" s="29" t="s">
        <v>56</v>
      </c>
      <c r="H476" s="30" t="str">
        <f>HYPERLINK("https://www.munzee.com/m/Flattermaus/3464/", "Flattermaus/3464")</f>
        <v>Flattermaus/3464</v>
      </c>
      <c r="J476" s="31">
        <f t="shared" si="2"/>
        <v>55</v>
      </c>
    </row>
    <row r="477">
      <c r="A477" s="28">
        <v>8.0</v>
      </c>
      <c r="B477" s="28">
        <v>40.0</v>
      </c>
      <c r="C477" s="28">
        <v>53.496203412318</v>
      </c>
      <c r="D477" s="28">
        <v>9.99918227193472</v>
      </c>
      <c r="E477" s="28" t="s">
        <v>15</v>
      </c>
      <c r="F477" s="28" t="s">
        <v>168</v>
      </c>
      <c r="G477" s="29" t="s">
        <v>230</v>
      </c>
      <c r="H477" s="30" t="str">
        <f>HYPERLINK("https://www.munzee.com/m/denali0407/11929/", "denali0407/11929")</f>
        <v>denali0407/11929</v>
      </c>
      <c r="J477" s="31">
        <f t="shared" si="2"/>
        <v>1</v>
      </c>
    </row>
    <row r="478">
      <c r="A478" s="28">
        <v>8.0</v>
      </c>
      <c r="B478" s="28">
        <v>41.0</v>
      </c>
      <c r="C478" s="28">
        <v>53.4961908851425</v>
      </c>
      <c r="D478" s="28">
        <v>9.99942296655524</v>
      </c>
      <c r="E478" s="28" t="s">
        <v>15</v>
      </c>
      <c r="F478" s="28" t="s">
        <v>168</v>
      </c>
      <c r="G478" s="29" t="s">
        <v>215</v>
      </c>
      <c r="H478" s="30" t="str">
        <f>HYPERLINK("https://www.munzee.com/m/amadoreugen/4419", "amadoreugen/4419")</f>
        <v>amadoreugen/4419</v>
      </c>
      <c r="J478" s="31">
        <f t="shared" si="2"/>
        <v>6</v>
      </c>
    </row>
    <row r="479">
      <c r="A479" s="28">
        <v>8.0</v>
      </c>
      <c r="B479" s="28">
        <v>42.0</v>
      </c>
      <c r="C479" s="28">
        <v>53.496178357967</v>
      </c>
      <c r="D479" s="28">
        <v>9.99966366110459</v>
      </c>
      <c r="E479" s="28" t="s">
        <v>15</v>
      </c>
      <c r="F479" s="28" t="s">
        <v>168</v>
      </c>
      <c r="G479" s="29" t="s">
        <v>55</v>
      </c>
      <c r="H479" s="30" t="str">
        <f>HYPERLINK("https://www.munzee.com/m/boerse82/5476/", "boerse82/5476")</f>
        <v>boerse82/5476</v>
      </c>
      <c r="J479" s="31">
        <f t="shared" si="2"/>
        <v>51</v>
      </c>
    </row>
    <row r="480">
      <c r="A480" s="28">
        <v>8.0</v>
      </c>
      <c r="B480" s="28">
        <v>43.0</v>
      </c>
      <c r="C480" s="28">
        <v>53.4961658307915</v>
      </c>
      <c r="D480" s="28">
        <v>9.99990435558288</v>
      </c>
      <c r="E480" s="28" t="s">
        <v>15</v>
      </c>
      <c r="F480" s="28" t="s">
        <v>168</v>
      </c>
      <c r="G480" s="29" t="s">
        <v>47</v>
      </c>
      <c r="H480" s="30" t="str">
        <f>HYPERLINK("https://www.munzee.com/m/Dad35/10484/", "Dad35/10484")</f>
        <v>Dad35/10484</v>
      </c>
      <c r="J480" s="31">
        <f t="shared" si="2"/>
        <v>44</v>
      </c>
    </row>
    <row r="481">
      <c r="A481" s="28">
        <v>8.0</v>
      </c>
      <c r="B481" s="28">
        <v>44.0</v>
      </c>
      <c r="C481" s="28">
        <v>53.4961533036161</v>
      </c>
      <c r="D481" s="28">
        <v>10.00014504999</v>
      </c>
      <c r="E481" s="28" t="s">
        <v>15</v>
      </c>
      <c r="F481" s="28" t="s">
        <v>168</v>
      </c>
      <c r="G481" s="29" t="s">
        <v>26</v>
      </c>
      <c r="H481" s="30" t="str">
        <f>HYPERLINK("https://www.munzee.com/m/Elli/6053/", "Elli/6053")</f>
        <v>Elli/6053</v>
      </c>
      <c r="J481" s="31">
        <f t="shared" si="2"/>
        <v>143</v>
      </c>
    </row>
    <row r="482">
      <c r="A482" s="28">
        <v>8.0</v>
      </c>
      <c r="B482" s="28">
        <v>45.0</v>
      </c>
      <c r="C482" s="28">
        <v>53.4961407764406</v>
      </c>
      <c r="D482" s="28">
        <v>10.000385744326</v>
      </c>
      <c r="E482" s="28" t="s">
        <v>15</v>
      </c>
      <c r="F482" s="28" t="s">
        <v>168</v>
      </c>
      <c r="G482" s="29" t="s">
        <v>40</v>
      </c>
      <c r="H482" s="30" t="str">
        <f>HYPERLINK("https://www.munzee.com/m/csThanner/2505", "csThanner/2505")</f>
        <v>csThanner/2505</v>
      </c>
      <c r="J482" s="31">
        <f t="shared" si="2"/>
        <v>88</v>
      </c>
    </row>
    <row r="483">
      <c r="A483" s="28">
        <v>8.0</v>
      </c>
      <c r="B483" s="28">
        <v>46.0</v>
      </c>
      <c r="C483" s="28">
        <v>53.4961282492651</v>
      </c>
      <c r="D483" s="28">
        <v>10.0006264385909</v>
      </c>
      <c r="E483" s="28" t="s">
        <v>15</v>
      </c>
      <c r="F483" s="28" t="s">
        <v>168</v>
      </c>
      <c r="G483" s="29" t="s">
        <v>47</v>
      </c>
      <c r="H483" s="30" t="str">
        <f>HYPERLINK("https://www.munzee.com/m/Dad35/10446/", "Dad35/10446")</f>
        <v>Dad35/10446</v>
      </c>
      <c r="J483" s="31">
        <f t="shared" si="2"/>
        <v>44</v>
      </c>
    </row>
    <row r="484">
      <c r="A484" s="28">
        <v>8.0</v>
      </c>
      <c r="B484" s="28">
        <v>47.0</v>
      </c>
      <c r="C484" s="28">
        <v>53.4961157220896</v>
      </c>
      <c r="D484" s="28">
        <v>10.0008671327848</v>
      </c>
      <c r="E484" s="28" t="s">
        <v>15</v>
      </c>
      <c r="F484" s="28" t="s">
        <v>168</v>
      </c>
      <c r="G484" s="29" t="s">
        <v>26</v>
      </c>
      <c r="H484" s="30" t="str">
        <f>HYPERLINK("https://www.munzee.com/m/Elli/6082/", "Elli/6082")</f>
        <v>Elli/6082</v>
      </c>
      <c r="J484" s="31">
        <f t="shared" si="2"/>
        <v>143</v>
      </c>
    </row>
    <row r="485">
      <c r="A485" s="28">
        <v>8.0</v>
      </c>
      <c r="B485" s="28">
        <v>48.0</v>
      </c>
      <c r="C485" s="28">
        <v>53.4961031949141</v>
      </c>
      <c r="D485" s="28">
        <v>10.0011078269075</v>
      </c>
      <c r="E485" s="28" t="s">
        <v>15</v>
      </c>
      <c r="F485" s="28" t="s">
        <v>168</v>
      </c>
      <c r="G485" s="29" t="s">
        <v>40</v>
      </c>
      <c r="H485" s="30" t="str">
        <f>HYPERLINK("https://www.munzee.com/m/csThanner/2503", "csThanner/2503")</f>
        <v>csThanner/2503</v>
      </c>
      <c r="J485" s="31">
        <f t="shared" si="2"/>
        <v>88</v>
      </c>
    </row>
    <row r="486">
      <c r="A486" s="28">
        <v>8.0</v>
      </c>
      <c r="B486" s="28">
        <v>49.0</v>
      </c>
      <c r="C486" s="28">
        <v>53.4960906677387</v>
      </c>
      <c r="D486" s="28">
        <v>10.0013485209591</v>
      </c>
      <c r="E486" s="28" t="s">
        <v>15</v>
      </c>
      <c r="F486" s="28" t="s">
        <v>168</v>
      </c>
      <c r="G486" s="29" t="s">
        <v>47</v>
      </c>
      <c r="H486" s="30" t="str">
        <f>HYPERLINK("https://www.munzee.com/m/Dad35/10451/", "Dad35/10451")</f>
        <v>Dad35/10451</v>
      </c>
      <c r="J486" s="31">
        <f t="shared" si="2"/>
        <v>44</v>
      </c>
    </row>
    <row r="487">
      <c r="A487" s="28">
        <v>8.0</v>
      </c>
      <c r="B487" s="28">
        <v>50.0</v>
      </c>
      <c r="C487" s="28">
        <v>53.4960781405632</v>
      </c>
      <c r="D487" s="28">
        <v>10.0015892149396</v>
      </c>
      <c r="E487" s="28" t="s">
        <v>15</v>
      </c>
      <c r="F487" s="28" t="s">
        <v>168</v>
      </c>
      <c r="G487" s="29" t="s">
        <v>26</v>
      </c>
      <c r="H487" s="30" t="str">
        <f>HYPERLINK("https://www.munzee.com/m/Elli/6087/", "Elli/6087")</f>
        <v>Elli/6087</v>
      </c>
      <c r="J487" s="31">
        <f t="shared" si="2"/>
        <v>143</v>
      </c>
    </row>
    <row r="488">
      <c r="A488" s="28">
        <v>8.0</v>
      </c>
      <c r="B488" s="28">
        <v>51.0</v>
      </c>
      <c r="C488" s="28">
        <v>53.4960656133877</v>
      </c>
      <c r="D488" s="28">
        <v>10.001829908849</v>
      </c>
      <c r="E488" s="28" t="s">
        <v>15</v>
      </c>
      <c r="F488" s="28" t="s">
        <v>168</v>
      </c>
      <c r="G488" s="29" t="s">
        <v>188</v>
      </c>
      <c r="H488" s="30" t="str">
        <f>HYPERLINK("https://www.munzee.com/m/jokerFG/2643", "jokerFG/2643")</f>
        <v>jokerFG/2643</v>
      </c>
      <c r="J488" s="31">
        <f t="shared" si="2"/>
        <v>10</v>
      </c>
    </row>
    <row r="489">
      <c r="A489" s="28">
        <v>8.0</v>
      </c>
      <c r="B489" s="28">
        <v>52.0</v>
      </c>
      <c r="C489" s="28">
        <v>53.4960530862122</v>
      </c>
      <c r="D489" s="28">
        <v>10.0020706026873</v>
      </c>
      <c r="E489" s="28" t="s">
        <v>15</v>
      </c>
      <c r="F489" s="28" t="s">
        <v>168</v>
      </c>
      <c r="G489" s="29" t="s">
        <v>47</v>
      </c>
      <c r="H489" s="30" t="str">
        <f>HYPERLINK("https://www.munzee.com/m/Dad35/10433/", "Dad35/10433")</f>
        <v>Dad35/10433</v>
      </c>
      <c r="J489" s="31">
        <f t="shared" si="2"/>
        <v>44</v>
      </c>
    </row>
    <row r="490">
      <c r="A490" s="28">
        <v>8.0</v>
      </c>
      <c r="B490" s="28">
        <v>53.0</v>
      </c>
      <c r="C490" s="28">
        <v>53.4960405590368</v>
      </c>
      <c r="D490" s="28">
        <v>10.0023112964545</v>
      </c>
      <c r="E490" s="28" t="s">
        <v>15</v>
      </c>
      <c r="F490" s="28" t="s">
        <v>168</v>
      </c>
      <c r="G490" s="29" t="s">
        <v>26</v>
      </c>
      <c r="H490" s="30" t="str">
        <f>HYPERLINK("https://www.munzee.com/m/Elli/6096/", "Elli/6096")</f>
        <v>Elli/6096</v>
      </c>
      <c r="J490" s="31">
        <f t="shared" si="2"/>
        <v>143</v>
      </c>
    </row>
    <row r="491">
      <c r="A491" s="28">
        <v>8.0</v>
      </c>
      <c r="B491" s="28">
        <v>54.0</v>
      </c>
      <c r="C491" s="28">
        <v>53.4960280318613</v>
      </c>
      <c r="D491" s="28">
        <v>10.0025519901505</v>
      </c>
      <c r="E491" s="28" t="s">
        <v>15</v>
      </c>
      <c r="F491" s="28" t="s">
        <v>168</v>
      </c>
      <c r="G491" s="29" t="s">
        <v>40</v>
      </c>
      <c r="H491" s="30" t="str">
        <f>HYPERLINK("https://www.munzee.com/m/csThanner/2538/", "csThanner/2538")</f>
        <v>csThanner/2538</v>
      </c>
      <c r="J491" s="31">
        <f t="shared" si="2"/>
        <v>88</v>
      </c>
    </row>
    <row r="492">
      <c r="A492" s="28">
        <v>8.0</v>
      </c>
      <c r="B492" s="28">
        <v>55.0</v>
      </c>
      <c r="C492" s="28">
        <v>53.4960155046858</v>
      </c>
      <c r="D492" s="28">
        <v>10.0027926837755</v>
      </c>
      <c r="E492" s="28" t="s">
        <v>15</v>
      </c>
      <c r="F492" s="28" t="s">
        <v>168</v>
      </c>
      <c r="G492" s="29" t="s">
        <v>231</v>
      </c>
      <c r="H492" s="30" t="str">
        <f>HYPERLINK("https://www.munzee.com/m/MSgtUSMC/537/", "MSgtUSMC/537")</f>
        <v>MSgtUSMC/537</v>
      </c>
      <c r="J492" s="31">
        <f t="shared" si="2"/>
        <v>2</v>
      </c>
    </row>
    <row r="493">
      <c r="A493" s="28">
        <v>8.0</v>
      </c>
      <c r="B493" s="28">
        <v>56.0</v>
      </c>
      <c r="C493" s="28">
        <v>53.4960029775103</v>
      </c>
      <c r="D493" s="28">
        <v>10.0030333773293</v>
      </c>
      <c r="E493" s="28" t="s">
        <v>15</v>
      </c>
      <c r="F493" s="28" t="s">
        <v>168</v>
      </c>
      <c r="G493" s="29" t="s">
        <v>26</v>
      </c>
      <c r="H493" s="30" t="str">
        <f>HYPERLINK("https://www.munzee.com/m/Elli/6098/", "Elli/6098")</f>
        <v>Elli/6098</v>
      </c>
      <c r="J493" s="31">
        <f t="shared" si="2"/>
        <v>143</v>
      </c>
    </row>
    <row r="494">
      <c r="A494" s="28">
        <v>8.0</v>
      </c>
      <c r="B494" s="28">
        <v>57.0</v>
      </c>
      <c r="C494" s="28">
        <v>53.4959904503348</v>
      </c>
      <c r="D494" s="28">
        <v>10.003274070812</v>
      </c>
      <c r="E494" s="28" t="s">
        <v>15</v>
      </c>
      <c r="F494" s="28" t="s">
        <v>168</v>
      </c>
      <c r="G494" s="29" t="s">
        <v>40</v>
      </c>
      <c r="H494" s="30" t="str">
        <f>HYPERLINK("https://www.munzee.com/m/csThanner/2525/", "csThanner/2525")</f>
        <v>csThanner/2525</v>
      </c>
      <c r="J494" s="31">
        <f t="shared" si="2"/>
        <v>88</v>
      </c>
    </row>
    <row r="495">
      <c r="A495" s="28">
        <v>8.0</v>
      </c>
      <c r="B495" s="28">
        <v>58.0</v>
      </c>
      <c r="C495" s="28">
        <v>53.4959779231594</v>
      </c>
      <c r="D495" s="28">
        <v>10.0035147642236</v>
      </c>
      <c r="E495" s="28" t="s">
        <v>15</v>
      </c>
      <c r="F495" s="28" t="s">
        <v>168</v>
      </c>
      <c r="G495" s="29" t="s">
        <v>47</v>
      </c>
      <c r="H495" s="30" t="str">
        <f>HYPERLINK("https://www.munzee.com/m/Dad35/10431/", "Dad35/10431")</f>
        <v>Dad35/10431</v>
      </c>
      <c r="J495" s="31">
        <f t="shared" si="2"/>
        <v>44</v>
      </c>
    </row>
    <row r="496">
      <c r="A496" s="28">
        <v>8.0</v>
      </c>
      <c r="B496" s="28">
        <v>59.0</v>
      </c>
      <c r="C496" s="28">
        <v>53.4959653959839</v>
      </c>
      <c r="D496" s="28">
        <v>10.0037554575641</v>
      </c>
      <c r="E496" s="28" t="s">
        <v>15</v>
      </c>
      <c r="F496" s="28" t="s">
        <v>168</v>
      </c>
      <c r="G496" s="29" t="s">
        <v>26</v>
      </c>
      <c r="H496" s="30" t="str">
        <f>HYPERLINK("https://www.munzee.com/m/Elli/6099/", "Elli/6099")</f>
        <v>Elli/6099</v>
      </c>
      <c r="J496" s="31">
        <f t="shared" si="2"/>
        <v>143</v>
      </c>
    </row>
    <row r="497">
      <c r="A497" s="28">
        <v>8.0</v>
      </c>
      <c r="B497" s="28">
        <v>60.0</v>
      </c>
      <c r="C497" s="28">
        <v>53.4959528688084</v>
      </c>
      <c r="D497" s="28">
        <v>10.0039961508334</v>
      </c>
      <c r="E497" s="28" t="s">
        <v>25</v>
      </c>
      <c r="F497" s="28" t="s">
        <v>14</v>
      </c>
      <c r="G497" s="29" t="s">
        <v>94</v>
      </c>
      <c r="H497" s="33" t="s">
        <v>232</v>
      </c>
      <c r="J497" s="31">
        <f t="shared" si="2"/>
        <v>42</v>
      </c>
    </row>
    <row r="498">
      <c r="A498" s="28">
        <v>9.0</v>
      </c>
      <c r="B498" s="28">
        <v>1.0</v>
      </c>
      <c r="C498" s="28">
        <v>53.4965487886522</v>
      </c>
      <c r="D498" s="28">
        <v>9.9897740680426</v>
      </c>
      <c r="E498" s="28" t="s">
        <v>25</v>
      </c>
      <c r="F498" s="28" t="s">
        <v>14</v>
      </c>
      <c r="G498" s="29" t="s">
        <v>30</v>
      </c>
      <c r="H498" s="30" t="str">
        <f>HYPERLINK("https://www.munzee.com/m/SachensucherHB/1487/", "SachensucherHB/1487")</f>
        <v>SachensucherHB/1487</v>
      </c>
      <c r="J498" s="31">
        <f t="shared" si="2"/>
        <v>62</v>
      </c>
    </row>
    <row r="499">
      <c r="A499" s="28">
        <v>9.0</v>
      </c>
      <c r="B499" s="28">
        <v>2.0</v>
      </c>
      <c r="C499" s="28">
        <v>53.4965362614767</v>
      </c>
      <c r="D499" s="28">
        <v>9.99001476462353</v>
      </c>
      <c r="E499" s="28" t="s">
        <v>15</v>
      </c>
      <c r="F499" s="28" t="s">
        <v>168</v>
      </c>
      <c r="G499" s="29" t="s">
        <v>192</v>
      </c>
      <c r="H499" s="30" t="str">
        <f>HYPERLINK("https://www.munzee.com/m/mandello/5384/", "mandello/5384")</f>
        <v>mandello/5384</v>
      </c>
      <c r="J499" s="31">
        <f t="shared" si="2"/>
        <v>3</v>
      </c>
    </row>
    <row r="500">
      <c r="A500" s="28">
        <v>9.0</v>
      </c>
      <c r="B500" s="28">
        <v>3.0</v>
      </c>
      <c r="C500" s="28">
        <v>53.4965237343012</v>
      </c>
      <c r="D500" s="28">
        <v>9.99025546113341</v>
      </c>
      <c r="E500" s="28" t="s">
        <v>15</v>
      </c>
      <c r="F500" s="28" t="s">
        <v>168</v>
      </c>
      <c r="G500" s="29" t="s">
        <v>40</v>
      </c>
      <c r="H500" s="30" t="str">
        <f>HYPERLINK("https://www.munzee.com/m/csThanner/2517/", "csThanner/2517")</f>
        <v>csThanner/2517</v>
      </c>
      <c r="J500" s="31">
        <f t="shared" si="2"/>
        <v>88</v>
      </c>
    </row>
    <row r="501">
      <c r="A501" s="28">
        <v>9.0</v>
      </c>
      <c r="B501" s="28">
        <v>4.0</v>
      </c>
      <c r="C501" s="28">
        <v>53.4965112071258</v>
      </c>
      <c r="D501" s="28">
        <v>9.99049615757212</v>
      </c>
      <c r="E501" s="28" t="s">
        <v>15</v>
      </c>
      <c r="F501" s="28" t="s">
        <v>168</v>
      </c>
      <c r="G501" s="29" t="s">
        <v>26</v>
      </c>
      <c r="H501" s="30" t="str">
        <f>HYPERLINK("https://www.munzee.com/m/Elli/6407/", "Elli/6407")</f>
        <v>Elli/6407</v>
      </c>
      <c r="J501" s="31">
        <f t="shared" si="2"/>
        <v>143</v>
      </c>
    </row>
    <row r="502">
      <c r="A502" s="28">
        <v>9.0</v>
      </c>
      <c r="B502" s="28">
        <v>5.0</v>
      </c>
      <c r="C502" s="28">
        <v>53.4964986799503</v>
      </c>
      <c r="D502" s="28">
        <v>9.99073685393978</v>
      </c>
      <c r="E502" s="28" t="s">
        <v>15</v>
      </c>
      <c r="F502" s="28" t="s">
        <v>168</v>
      </c>
      <c r="G502" s="29" t="s">
        <v>214</v>
      </c>
      <c r="H502" s="30" t="str">
        <f>HYPERLINK("https://www.munzee.com/m/90mile/716/", "90mile/716")</f>
        <v>90mile/716</v>
      </c>
      <c r="J502" s="31">
        <f t="shared" si="2"/>
        <v>25</v>
      </c>
    </row>
    <row r="503">
      <c r="A503" s="28">
        <v>9.0</v>
      </c>
      <c r="B503" s="28">
        <v>6.0</v>
      </c>
      <c r="C503" s="28">
        <v>53.4964861527748</v>
      </c>
      <c r="D503" s="28">
        <v>9.99097755023638</v>
      </c>
      <c r="E503" s="28" t="s">
        <v>15</v>
      </c>
      <c r="F503" s="28" t="s">
        <v>168</v>
      </c>
      <c r="G503" s="29" t="s">
        <v>40</v>
      </c>
      <c r="H503" s="30" t="str">
        <f>HYPERLINK("https://www.munzee.com/m/csThanner/2514/", "csThanner/2514")</f>
        <v>csThanner/2514</v>
      </c>
      <c r="J503" s="31">
        <f t="shared" si="2"/>
        <v>88</v>
      </c>
    </row>
    <row r="504">
      <c r="A504" s="28">
        <v>9.0</v>
      </c>
      <c r="B504" s="28">
        <v>7.0</v>
      </c>
      <c r="C504" s="28">
        <v>53.4964736255993</v>
      </c>
      <c r="D504" s="28">
        <v>9.99121824646181</v>
      </c>
      <c r="E504" s="28" t="s">
        <v>15</v>
      </c>
      <c r="F504" s="28" t="s">
        <v>168</v>
      </c>
      <c r="G504" s="29" t="s">
        <v>26</v>
      </c>
      <c r="H504" s="30" t="str">
        <f>HYPERLINK("https://www.munzee.com/m/Elli/6406/", "Elli/6406")</f>
        <v>Elli/6406</v>
      </c>
      <c r="J504" s="31">
        <f t="shared" si="2"/>
        <v>143</v>
      </c>
    </row>
    <row r="505">
      <c r="A505" s="28">
        <v>9.0</v>
      </c>
      <c r="B505" s="28">
        <v>8.0</v>
      </c>
      <c r="C505" s="28">
        <v>53.4964610984238</v>
      </c>
      <c r="D505" s="28">
        <v>9.99145894261619</v>
      </c>
      <c r="E505" s="28" t="s">
        <v>15</v>
      </c>
      <c r="F505" s="28" t="s">
        <v>168</v>
      </c>
      <c r="G505" s="29" t="s">
        <v>215</v>
      </c>
      <c r="H505" s="30" t="str">
        <f>HYPERLINK("https://www.munzee.com/m/amadoreugen/4400", "amadoreugen/4400")</f>
        <v>amadoreugen/4400</v>
      </c>
      <c r="J505" s="31">
        <f t="shared" si="2"/>
        <v>6</v>
      </c>
    </row>
    <row r="506">
      <c r="A506" s="28">
        <v>9.0</v>
      </c>
      <c r="B506" s="28">
        <v>9.0</v>
      </c>
      <c r="C506" s="28">
        <v>53.4964485712484</v>
      </c>
      <c r="D506" s="28">
        <v>9.9916996386994</v>
      </c>
      <c r="E506" s="28" t="s">
        <v>15</v>
      </c>
      <c r="F506" s="28" t="s">
        <v>168</v>
      </c>
      <c r="G506" s="29" t="s">
        <v>55</v>
      </c>
      <c r="H506" s="30" t="str">
        <f>HYPERLINK("https://www.munzee.com/m/boerse82/5472/", "boerse82/5472")</f>
        <v>boerse82/5472</v>
      </c>
      <c r="J506" s="31">
        <f t="shared" si="2"/>
        <v>51</v>
      </c>
    </row>
    <row r="507">
      <c r="A507" s="28">
        <v>9.0</v>
      </c>
      <c r="B507" s="28">
        <v>10.0</v>
      </c>
      <c r="C507" s="28">
        <v>53.4964360440729</v>
      </c>
      <c r="D507" s="28">
        <v>9.99194033471155</v>
      </c>
      <c r="E507" s="28" t="s">
        <v>15</v>
      </c>
      <c r="F507" s="28" t="s">
        <v>168</v>
      </c>
      <c r="G507" s="29" t="s">
        <v>56</v>
      </c>
      <c r="H507" s="30" t="str">
        <f>HYPERLINK("https://www.munzee.com/m/Flattermaus/3460/", "Flattermaus/3460")</f>
        <v>Flattermaus/3460</v>
      </c>
      <c r="J507" s="31">
        <f t="shared" si="2"/>
        <v>55</v>
      </c>
    </row>
    <row r="508">
      <c r="A508" s="28">
        <v>9.0</v>
      </c>
      <c r="B508" s="28">
        <v>11.0</v>
      </c>
      <c r="C508" s="28">
        <v>53.4964235168974</v>
      </c>
      <c r="D508" s="28">
        <v>9.99218103065254</v>
      </c>
      <c r="E508" s="28" t="s">
        <v>15</v>
      </c>
      <c r="F508" s="28" t="s">
        <v>168</v>
      </c>
      <c r="G508" s="29" t="s">
        <v>212</v>
      </c>
      <c r="H508" s="30" t="str">
        <f>HYPERLINK("https://www.munzee.com/m/Captainwilly/2117/", "Captainwilly/2117")</f>
        <v>Captainwilly/2117</v>
      </c>
      <c r="J508" s="31">
        <f t="shared" si="2"/>
        <v>3</v>
      </c>
    </row>
    <row r="509">
      <c r="A509" s="28">
        <v>9.0</v>
      </c>
      <c r="B509" s="28">
        <v>12.0</v>
      </c>
      <c r="C509" s="28">
        <v>53.4964109897219</v>
      </c>
      <c r="D509" s="28">
        <v>9.99242172652248</v>
      </c>
      <c r="E509" s="28" t="s">
        <v>15</v>
      </c>
      <c r="F509" s="28" t="s">
        <v>168</v>
      </c>
      <c r="G509" s="29" t="s">
        <v>233</v>
      </c>
      <c r="H509" s="30" t="str">
        <f>HYPERLINK("https://www.munzee.com/m/Jafo43/17080", "Jafo43/17080")</f>
        <v>Jafo43/17080</v>
      </c>
      <c r="J509" s="31">
        <f t="shared" si="2"/>
        <v>4</v>
      </c>
    </row>
    <row r="510">
      <c r="A510" s="28">
        <v>9.0</v>
      </c>
      <c r="B510" s="28">
        <v>13.0</v>
      </c>
      <c r="C510" s="28">
        <v>53.4963984625464</v>
      </c>
      <c r="D510" s="28">
        <v>9.99266242232124</v>
      </c>
      <c r="E510" s="28" t="s">
        <v>15</v>
      </c>
      <c r="F510" s="28" t="s">
        <v>168</v>
      </c>
      <c r="G510" s="29" t="s">
        <v>56</v>
      </c>
      <c r="H510" s="30" t="str">
        <f>HYPERLINK("https://www.munzee.com/m/Flattermaus/3457/", "Flattermaus/3457")</f>
        <v>Flattermaus/3457</v>
      </c>
      <c r="J510" s="31">
        <f t="shared" si="2"/>
        <v>55</v>
      </c>
    </row>
    <row r="511">
      <c r="A511" s="28">
        <v>9.0</v>
      </c>
      <c r="B511" s="28">
        <v>14.0</v>
      </c>
      <c r="C511" s="28">
        <v>53.496385935371</v>
      </c>
      <c r="D511" s="28">
        <v>9.99290311804895</v>
      </c>
      <c r="E511" s="28" t="s">
        <v>15</v>
      </c>
      <c r="F511" s="28" t="s">
        <v>168</v>
      </c>
      <c r="G511" s="29" t="s">
        <v>55</v>
      </c>
      <c r="H511" s="30" t="str">
        <f>HYPERLINK("https://www.munzee.com/m/boerse82/5448/", "boerse82/5448")</f>
        <v>boerse82/5448</v>
      </c>
      <c r="J511" s="31">
        <f t="shared" si="2"/>
        <v>51</v>
      </c>
    </row>
    <row r="512">
      <c r="A512" s="28">
        <v>9.0</v>
      </c>
      <c r="B512" s="28">
        <v>15.0</v>
      </c>
      <c r="C512" s="28">
        <v>53.4963734081955</v>
      </c>
      <c r="D512" s="28">
        <v>9.9931438137055</v>
      </c>
      <c r="E512" s="28" t="s">
        <v>15</v>
      </c>
      <c r="F512" s="28" t="s">
        <v>168</v>
      </c>
      <c r="G512" s="29" t="s">
        <v>234</v>
      </c>
      <c r="H512" s="30" t="str">
        <f>HYPERLINK("https://www.munzee.com/m/volki2000/1792/", "volki2000/1792")</f>
        <v>volki2000/1792</v>
      </c>
      <c r="J512" s="31">
        <f t="shared" si="2"/>
        <v>2</v>
      </c>
    </row>
    <row r="513">
      <c r="A513" s="28">
        <v>9.0</v>
      </c>
      <c r="B513" s="28">
        <v>16.0</v>
      </c>
      <c r="C513" s="28">
        <v>53.49636088102</v>
      </c>
      <c r="D513" s="28">
        <v>9.99338450929099</v>
      </c>
      <c r="E513" s="28" t="s">
        <v>15</v>
      </c>
      <c r="F513" s="28" t="s">
        <v>168</v>
      </c>
      <c r="G513" s="29" t="s">
        <v>26</v>
      </c>
      <c r="H513" s="30" t="str">
        <f>HYPERLINK("https://www.munzee.com/m/Elli/6387/", "Elli/6387")</f>
        <v>Elli/6387</v>
      </c>
      <c r="J513" s="31">
        <f t="shared" si="2"/>
        <v>143</v>
      </c>
    </row>
    <row r="514">
      <c r="A514" s="28">
        <v>9.0</v>
      </c>
      <c r="B514" s="28">
        <v>17.0</v>
      </c>
      <c r="C514" s="28">
        <v>53.4963483538445</v>
      </c>
      <c r="D514" s="28">
        <v>9.99362520480531</v>
      </c>
      <c r="E514" s="28" t="s">
        <v>15</v>
      </c>
      <c r="F514" s="28" t="s">
        <v>168</v>
      </c>
      <c r="G514" s="29" t="s">
        <v>219</v>
      </c>
      <c r="H514" s="30" t="str">
        <f>HYPERLINK("https://www.munzee.com/m/Drazoria/215/", "Drazoria/215")</f>
        <v>Drazoria/215</v>
      </c>
      <c r="J514" s="31">
        <f t="shared" si="2"/>
        <v>8</v>
      </c>
    </row>
    <row r="515">
      <c r="A515" s="28">
        <v>9.0</v>
      </c>
      <c r="B515" s="28">
        <v>18.0</v>
      </c>
      <c r="C515" s="28">
        <v>53.496335826669</v>
      </c>
      <c r="D515" s="28">
        <v>9.99386590024858</v>
      </c>
      <c r="E515" s="28" t="s">
        <v>15</v>
      </c>
      <c r="F515" s="28" t="s">
        <v>168</v>
      </c>
      <c r="G515" s="29" t="s">
        <v>55</v>
      </c>
      <c r="H515" s="30" t="str">
        <f>HYPERLINK("https://www.munzee.com/m/boerse82/5433/", "boerse82/5433")</f>
        <v>boerse82/5433</v>
      </c>
      <c r="J515" s="31">
        <f t="shared" si="2"/>
        <v>51</v>
      </c>
    </row>
    <row r="516">
      <c r="A516" s="28">
        <v>9.0</v>
      </c>
      <c r="B516" s="28">
        <v>19.0</v>
      </c>
      <c r="C516" s="28">
        <v>53.4963232994936</v>
      </c>
      <c r="D516" s="28">
        <v>9.99410659562067</v>
      </c>
      <c r="E516" s="28" t="s">
        <v>15</v>
      </c>
      <c r="F516" s="28" t="s">
        <v>168</v>
      </c>
      <c r="G516" s="29" t="s">
        <v>220</v>
      </c>
      <c r="H516" s="30" t="str">
        <f>HYPERLINK("https://www.munzee.com/m/Tinake1309/230/", "Tinake1309/230")</f>
        <v>Tinake1309/230</v>
      </c>
      <c r="J516" s="31">
        <f t="shared" si="2"/>
        <v>9</v>
      </c>
    </row>
    <row r="517">
      <c r="A517" s="28">
        <v>9.0</v>
      </c>
      <c r="B517" s="28">
        <v>20.0</v>
      </c>
      <c r="C517" s="28">
        <v>53.4963107723181</v>
      </c>
      <c r="D517" s="28">
        <v>9.99434729092172</v>
      </c>
      <c r="E517" s="28" t="s">
        <v>15</v>
      </c>
      <c r="F517" s="28" t="s">
        <v>168</v>
      </c>
      <c r="G517" s="29" t="s">
        <v>56</v>
      </c>
      <c r="H517" s="30" t="str">
        <f>HYPERLINK("https://www.munzee.com/m/Flattermaus/3453/", "Flattermaus/3453")</f>
        <v>Flattermaus/3453</v>
      </c>
      <c r="J517" s="31">
        <f t="shared" si="2"/>
        <v>55</v>
      </c>
    </row>
    <row r="518">
      <c r="A518" s="28">
        <v>9.0</v>
      </c>
      <c r="B518" s="28">
        <v>21.0</v>
      </c>
      <c r="C518" s="28">
        <v>53.4962982451426</v>
      </c>
      <c r="D518" s="28">
        <v>9.9945879861516</v>
      </c>
      <c r="E518" s="28" t="s">
        <v>15</v>
      </c>
      <c r="F518" s="28" t="s">
        <v>168</v>
      </c>
      <c r="G518" s="29" t="s">
        <v>221</v>
      </c>
      <c r="H518" s="30" t="str">
        <f>HYPERLINK("https://www.munzee.com/m/Berg14/208", "Berg14/208")</f>
        <v>Berg14/208</v>
      </c>
      <c r="J518" s="31">
        <f t="shared" si="2"/>
        <v>8</v>
      </c>
    </row>
    <row r="519">
      <c r="A519" s="28">
        <v>9.0</v>
      </c>
      <c r="B519" s="28">
        <v>22.0</v>
      </c>
      <c r="C519" s="28">
        <v>53.4962857179671</v>
      </c>
      <c r="D519" s="28">
        <v>9.99482868131042</v>
      </c>
      <c r="E519" s="28" t="s">
        <v>15</v>
      </c>
      <c r="F519" s="28" t="s">
        <v>168</v>
      </c>
      <c r="G519" s="29" t="s">
        <v>233</v>
      </c>
      <c r="H519" s="30" t="str">
        <f>HYPERLINK("https://www.munzee.com/m/Jafo43/17075", "Jafo43/17075")</f>
        <v>Jafo43/17075</v>
      </c>
      <c r="J519" s="31">
        <f t="shared" si="2"/>
        <v>4</v>
      </c>
    </row>
    <row r="520">
      <c r="A520" s="28">
        <v>9.0</v>
      </c>
      <c r="B520" s="28">
        <v>23.0</v>
      </c>
      <c r="C520" s="28">
        <v>53.4962731907917</v>
      </c>
      <c r="D520" s="28">
        <v>9.99506937639807</v>
      </c>
      <c r="E520" s="28" t="s">
        <v>15</v>
      </c>
      <c r="F520" s="28" t="s">
        <v>168</v>
      </c>
      <c r="G520" s="29" t="s">
        <v>222</v>
      </c>
      <c r="H520" s="30" t="str">
        <f>HYPERLINK("https://www.munzee.com/m/Niks13/167", "Niks13/167")</f>
        <v>Niks13/167</v>
      </c>
      <c r="J520" s="31">
        <f t="shared" si="2"/>
        <v>8</v>
      </c>
    </row>
    <row r="521">
      <c r="A521" s="28">
        <v>9.0</v>
      </c>
      <c r="B521" s="28">
        <v>24.0</v>
      </c>
      <c r="C521" s="28">
        <v>53.4962606636162</v>
      </c>
      <c r="D521" s="28">
        <v>9.99531007141467</v>
      </c>
      <c r="E521" s="28" t="s">
        <v>25</v>
      </c>
      <c r="F521" s="28" t="s">
        <v>14</v>
      </c>
      <c r="G521" s="29" t="s">
        <v>56</v>
      </c>
      <c r="H521" s="36" t="s">
        <v>235</v>
      </c>
      <c r="J521" s="31">
        <f t="shared" si="2"/>
        <v>55</v>
      </c>
    </row>
    <row r="522">
      <c r="A522" s="28">
        <v>9.0</v>
      </c>
      <c r="B522" s="28">
        <v>25.0</v>
      </c>
      <c r="C522" s="28">
        <v>53.4962481364407</v>
      </c>
      <c r="D522" s="28">
        <v>9.99555076636011</v>
      </c>
      <c r="E522" s="28" t="s">
        <v>25</v>
      </c>
      <c r="F522" s="28" t="s">
        <v>14</v>
      </c>
      <c r="G522" s="29" t="s">
        <v>34</v>
      </c>
      <c r="H522" s="30" t="s">
        <v>236</v>
      </c>
      <c r="J522" s="31">
        <f t="shared" si="2"/>
        <v>8</v>
      </c>
    </row>
    <row r="523">
      <c r="A523" s="28">
        <v>9.0</v>
      </c>
      <c r="B523" s="28">
        <v>26.0</v>
      </c>
      <c r="C523" s="28">
        <v>53.4962356092652</v>
      </c>
      <c r="D523" s="28">
        <v>9.99579146123449</v>
      </c>
      <c r="E523" s="28" t="s">
        <v>25</v>
      </c>
      <c r="F523" s="28" t="s">
        <v>14</v>
      </c>
      <c r="G523" s="29" t="s">
        <v>35</v>
      </c>
      <c r="H523" s="30" t="s">
        <v>237</v>
      </c>
      <c r="J523" s="31">
        <f t="shared" si="2"/>
        <v>8</v>
      </c>
    </row>
    <row r="524">
      <c r="A524" s="28">
        <v>9.0</v>
      </c>
      <c r="B524" s="28">
        <v>27.0</v>
      </c>
      <c r="C524" s="28">
        <v>53.4962230820898</v>
      </c>
      <c r="D524" s="28">
        <v>9.9960321560377</v>
      </c>
      <c r="E524" s="28" t="s">
        <v>25</v>
      </c>
      <c r="F524" s="28" t="s">
        <v>14</v>
      </c>
      <c r="G524" s="29" t="s">
        <v>238</v>
      </c>
      <c r="H524" s="30" t="s">
        <v>239</v>
      </c>
      <c r="J524" s="31">
        <f t="shared" si="2"/>
        <v>2</v>
      </c>
    </row>
    <row r="525">
      <c r="A525" s="28">
        <v>9.0</v>
      </c>
      <c r="B525" s="28">
        <v>28.0</v>
      </c>
      <c r="C525" s="28">
        <v>53.4962105549143</v>
      </c>
      <c r="D525" s="28">
        <v>9.99627285076985</v>
      </c>
      <c r="E525" s="28" t="s">
        <v>25</v>
      </c>
      <c r="F525" s="28" t="s">
        <v>14</v>
      </c>
      <c r="G525" s="29" t="s">
        <v>240</v>
      </c>
      <c r="H525" s="30" t="s">
        <v>241</v>
      </c>
      <c r="J525" s="31">
        <f t="shared" si="2"/>
        <v>2</v>
      </c>
    </row>
    <row r="526">
      <c r="A526" s="28">
        <v>9.0</v>
      </c>
      <c r="B526" s="28">
        <v>29.0</v>
      </c>
      <c r="C526" s="28">
        <v>53.4961980277388</v>
      </c>
      <c r="D526" s="28">
        <v>9.99651354543084</v>
      </c>
      <c r="E526" s="28" t="s">
        <v>25</v>
      </c>
      <c r="F526" s="28" t="s">
        <v>14</v>
      </c>
      <c r="G526" s="29" t="s">
        <v>145</v>
      </c>
      <c r="H526" s="30" t="s">
        <v>242</v>
      </c>
      <c r="J526" s="31">
        <f t="shared" si="2"/>
        <v>40</v>
      </c>
    </row>
    <row r="527">
      <c r="A527" s="28">
        <v>9.0</v>
      </c>
      <c r="B527" s="28">
        <v>30.0</v>
      </c>
      <c r="C527" s="28">
        <v>53.4961855005633</v>
      </c>
      <c r="D527" s="28">
        <v>9.99675424002077</v>
      </c>
      <c r="E527" s="28" t="s">
        <v>25</v>
      </c>
      <c r="F527" s="28" t="s">
        <v>14</v>
      </c>
      <c r="G527" s="29" t="s">
        <v>66</v>
      </c>
      <c r="H527" s="30" t="s">
        <v>243</v>
      </c>
      <c r="J527" s="31">
        <f t="shared" si="2"/>
        <v>6</v>
      </c>
    </row>
    <row r="528">
      <c r="A528" s="28">
        <v>9.0</v>
      </c>
      <c r="B528" s="28">
        <v>31.0</v>
      </c>
      <c r="C528" s="28">
        <v>53.4961729733878</v>
      </c>
      <c r="D528" s="28">
        <v>9.99699493453954</v>
      </c>
      <c r="E528" s="28" t="s">
        <v>25</v>
      </c>
      <c r="F528" s="28" t="s">
        <v>14</v>
      </c>
      <c r="G528" s="29" t="s">
        <v>240</v>
      </c>
      <c r="H528" s="30" t="s">
        <v>244</v>
      </c>
      <c r="J528" s="31">
        <f t="shared" si="2"/>
        <v>2</v>
      </c>
    </row>
    <row r="529">
      <c r="A529" s="28">
        <v>9.0</v>
      </c>
      <c r="B529" s="28">
        <v>32.0</v>
      </c>
      <c r="C529" s="28">
        <v>53.4961604462124</v>
      </c>
      <c r="D529" s="28">
        <v>9.99723562898725</v>
      </c>
      <c r="E529" s="28" t="s">
        <v>25</v>
      </c>
      <c r="F529" s="28" t="s">
        <v>14</v>
      </c>
      <c r="G529" s="29" t="s">
        <v>194</v>
      </c>
      <c r="H529" s="30" t="str">
        <f>HYPERLINK("https://www.munzee.com/m/munz619/4161/", "munz619/4161")</f>
        <v>munz619/4161</v>
      </c>
      <c r="J529" s="31">
        <f t="shared" si="2"/>
        <v>7</v>
      </c>
    </row>
    <row r="530">
      <c r="A530" s="28">
        <v>9.0</v>
      </c>
      <c r="B530" s="28">
        <v>33.0</v>
      </c>
      <c r="C530" s="28">
        <v>53.4961479190369</v>
      </c>
      <c r="D530" s="28">
        <v>9.99747632336379</v>
      </c>
      <c r="E530" s="28" t="s">
        <v>25</v>
      </c>
      <c r="F530" s="28" t="s">
        <v>14</v>
      </c>
      <c r="G530" s="29" t="s">
        <v>195</v>
      </c>
      <c r="H530" s="30" t="str">
        <f>HYPERLINK("https://www.munzee.com/m/JackSparrow/16807", "JackSparrow/16807")</f>
        <v>JackSparrow/16807</v>
      </c>
      <c r="J530" s="31">
        <f t="shared" si="2"/>
        <v>2</v>
      </c>
    </row>
    <row r="531">
      <c r="A531" s="28">
        <v>9.0</v>
      </c>
      <c r="B531" s="28">
        <v>34.0</v>
      </c>
      <c r="C531" s="28">
        <v>53.4961353918614</v>
      </c>
      <c r="D531" s="28">
        <v>9.99771701766928</v>
      </c>
      <c r="E531" s="28" t="s">
        <v>25</v>
      </c>
      <c r="F531" s="28" t="s">
        <v>14</v>
      </c>
      <c r="G531" s="29" t="s">
        <v>238</v>
      </c>
      <c r="H531" s="30" t="s">
        <v>245</v>
      </c>
      <c r="J531" s="31">
        <f t="shared" si="2"/>
        <v>2</v>
      </c>
    </row>
    <row r="532">
      <c r="A532" s="28">
        <v>9.0</v>
      </c>
      <c r="B532" s="28">
        <v>35.0</v>
      </c>
      <c r="C532" s="28">
        <v>53.4961228646859</v>
      </c>
      <c r="D532" s="28">
        <v>9.99795771190361</v>
      </c>
      <c r="E532" s="28" t="s">
        <v>25</v>
      </c>
      <c r="F532" s="28" t="s">
        <v>14</v>
      </c>
      <c r="G532" s="29" t="s">
        <v>246</v>
      </c>
      <c r="H532" s="30" t="str">
        <f>HYPERLINK("https://www.munzee.com/m/Muskratmarie/5396", "Muskratmarie/5396")</f>
        <v>Muskratmarie/5396</v>
      </c>
      <c r="J532" s="31">
        <f t="shared" si="2"/>
        <v>3</v>
      </c>
    </row>
    <row r="533">
      <c r="A533" s="28">
        <v>9.0</v>
      </c>
      <c r="B533" s="28">
        <v>36.0</v>
      </c>
      <c r="C533" s="28">
        <v>53.4961103375104</v>
      </c>
      <c r="D533" s="28">
        <v>9.99819840606687</v>
      </c>
      <c r="E533" s="28" t="s">
        <v>15</v>
      </c>
      <c r="F533" s="28" t="s">
        <v>168</v>
      </c>
      <c r="G533" s="41" t="s">
        <v>28</v>
      </c>
      <c r="H533" s="34" t="s">
        <v>247</v>
      </c>
      <c r="J533" s="31">
        <f t="shared" si="2"/>
        <v>9</v>
      </c>
    </row>
    <row r="534">
      <c r="A534" s="28">
        <v>9.0</v>
      </c>
      <c r="B534" s="28">
        <v>37.0</v>
      </c>
      <c r="C534" s="28">
        <v>53.496097810335</v>
      </c>
      <c r="D534" s="28">
        <v>9.99843910015897</v>
      </c>
      <c r="E534" s="28" t="s">
        <v>15</v>
      </c>
      <c r="F534" s="28" t="s">
        <v>168</v>
      </c>
      <c r="G534" s="29" t="s">
        <v>248</v>
      </c>
      <c r="H534" s="30" t="str">
        <f>HYPERLINK("https://www.munzee.com/m/Keni/996/", "Keni/996")</f>
        <v>Keni/996</v>
      </c>
      <c r="J534" s="31">
        <f t="shared" si="2"/>
        <v>3</v>
      </c>
    </row>
    <row r="535">
      <c r="A535" s="28">
        <v>9.0</v>
      </c>
      <c r="B535" s="28">
        <v>38.0</v>
      </c>
      <c r="C535" s="28">
        <v>53.4960852831595</v>
      </c>
      <c r="D535" s="28">
        <v>9.99867979418002</v>
      </c>
      <c r="E535" s="28" t="s">
        <v>15</v>
      </c>
      <c r="F535" s="28" t="s">
        <v>168</v>
      </c>
      <c r="G535" s="29" t="s">
        <v>194</v>
      </c>
      <c r="H535" s="30" t="str">
        <f>HYPERLINK("https://www.munzee.com/m/munz619/4180/", "munz619/4180")</f>
        <v>munz619/4180</v>
      </c>
      <c r="J535" s="31">
        <f t="shared" si="2"/>
        <v>7</v>
      </c>
    </row>
    <row r="536">
      <c r="A536" s="28">
        <v>9.0</v>
      </c>
      <c r="B536" s="28">
        <v>39.0</v>
      </c>
      <c r="C536" s="28">
        <v>53.496072755984</v>
      </c>
      <c r="D536" s="28">
        <v>9.99892048812989</v>
      </c>
      <c r="E536" s="28" t="s">
        <v>15</v>
      </c>
      <c r="F536" s="28" t="s">
        <v>168</v>
      </c>
      <c r="G536" s="29" t="s">
        <v>219</v>
      </c>
      <c r="H536" s="30" t="str">
        <f>HYPERLINK("https://www.munzee.com/m/Drazoria/216/", "Drazoria/216")</f>
        <v>Drazoria/216</v>
      </c>
      <c r="J536" s="31">
        <f t="shared" si="2"/>
        <v>8</v>
      </c>
    </row>
    <row r="537">
      <c r="A537" s="28">
        <v>9.0</v>
      </c>
      <c r="B537" s="28">
        <v>40.0</v>
      </c>
      <c r="C537" s="28">
        <v>53.4960602288085</v>
      </c>
      <c r="D537" s="28">
        <v>9.99916118200872</v>
      </c>
      <c r="E537" s="28" t="s">
        <v>15</v>
      </c>
      <c r="F537" s="28" t="s">
        <v>168</v>
      </c>
      <c r="G537" s="29" t="s">
        <v>31</v>
      </c>
      <c r="H537" s="30" t="str">
        <f>HYPERLINK("https://www.munzee.com/m/FeuerBrake/3847/", "FeuerBrake/3847")</f>
        <v>FeuerBrake/3847</v>
      </c>
      <c r="J537" s="31">
        <f t="shared" si="2"/>
        <v>5</v>
      </c>
    </row>
    <row r="538">
      <c r="A538" s="28">
        <v>9.0</v>
      </c>
      <c r="B538" s="28">
        <v>41.0</v>
      </c>
      <c r="C538" s="28">
        <v>53.496047701633</v>
      </c>
      <c r="D538" s="28">
        <v>9.99940187581637</v>
      </c>
      <c r="E538" s="28" t="s">
        <v>15</v>
      </c>
      <c r="F538" s="28" t="s">
        <v>168</v>
      </c>
      <c r="G538" s="29" t="s">
        <v>220</v>
      </c>
      <c r="H538" s="30" t="str">
        <f>HYPERLINK("https://www.munzee.com/m/Tinake1309/236", "Tinake1309/236")</f>
        <v>Tinake1309/236</v>
      </c>
      <c r="J538" s="31">
        <f t="shared" si="2"/>
        <v>9</v>
      </c>
    </row>
    <row r="539">
      <c r="A539" s="28">
        <v>9.0</v>
      </c>
      <c r="B539" s="28">
        <v>42.0</v>
      </c>
      <c r="C539" s="28">
        <v>53.4960351744576</v>
      </c>
      <c r="D539" s="28">
        <v>9.99964256955297</v>
      </c>
      <c r="E539" s="28" t="s">
        <v>15</v>
      </c>
      <c r="F539" s="28" t="s">
        <v>168</v>
      </c>
      <c r="G539" s="29" t="s">
        <v>56</v>
      </c>
      <c r="H539" s="30" t="str">
        <f>HYPERLINK("https://www.munzee.com/m/Flattermaus/3440/", "Flattermaus/3440")</f>
        <v>Flattermaus/3440</v>
      </c>
      <c r="J539" s="31">
        <f t="shared" si="2"/>
        <v>55</v>
      </c>
    </row>
    <row r="540">
      <c r="A540" s="28">
        <v>9.0</v>
      </c>
      <c r="B540" s="28">
        <v>43.0</v>
      </c>
      <c r="C540" s="28">
        <v>53.4960226472821</v>
      </c>
      <c r="D540" s="28">
        <v>9.9998832632184</v>
      </c>
      <c r="E540" s="28" t="s">
        <v>15</v>
      </c>
      <c r="F540" s="28" t="s">
        <v>168</v>
      </c>
      <c r="G540" s="29" t="s">
        <v>221</v>
      </c>
      <c r="H540" s="30" t="str">
        <f>HYPERLINK("https://www.munzee.com/m/Berg14/209", "Berg14/209")</f>
        <v>Berg14/209</v>
      </c>
      <c r="J540" s="31">
        <f t="shared" si="2"/>
        <v>8</v>
      </c>
    </row>
    <row r="541">
      <c r="A541" s="28">
        <v>9.0</v>
      </c>
      <c r="B541" s="28">
        <v>44.0</v>
      </c>
      <c r="C541" s="28">
        <v>53.4960101201066</v>
      </c>
      <c r="D541" s="28">
        <v>10.0001239568127</v>
      </c>
      <c r="E541" s="28" t="s">
        <v>15</v>
      </c>
      <c r="F541" s="28" t="s">
        <v>168</v>
      </c>
      <c r="G541" s="29" t="s">
        <v>48</v>
      </c>
      <c r="H541" s="30" t="str">
        <f>HYPERLINK("https://www.munzee.com/m/Herbie/9989/", "Herbie/9989")</f>
        <v>Herbie/9989</v>
      </c>
      <c r="J541" s="31">
        <f t="shared" si="2"/>
        <v>6</v>
      </c>
    </row>
    <row r="542">
      <c r="A542" s="28">
        <v>9.0</v>
      </c>
      <c r="B542" s="28">
        <v>45.0</v>
      </c>
      <c r="C542" s="28">
        <v>53.4959975929311</v>
      </c>
      <c r="D542" s="28">
        <v>10.0003646503359</v>
      </c>
      <c r="E542" s="28" t="s">
        <v>15</v>
      </c>
      <c r="F542" s="28" t="s">
        <v>168</v>
      </c>
      <c r="G542" s="29" t="s">
        <v>222</v>
      </c>
      <c r="H542" s="30" t="str">
        <f>HYPERLINK("https://www.munzee.com/m/Niks13/169", "Niks13/169")</f>
        <v>Niks13/169</v>
      </c>
      <c r="J542" s="31">
        <f t="shared" si="2"/>
        <v>8</v>
      </c>
    </row>
    <row r="543">
      <c r="A543" s="28">
        <v>9.0</v>
      </c>
      <c r="B543" s="28">
        <v>46.0</v>
      </c>
      <c r="C543" s="28">
        <v>53.4959850657557</v>
      </c>
      <c r="D543" s="28">
        <v>10.0006053437881</v>
      </c>
      <c r="E543" s="28" t="s">
        <v>15</v>
      </c>
      <c r="F543" s="28" t="s">
        <v>168</v>
      </c>
      <c r="G543" s="29" t="s">
        <v>215</v>
      </c>
      <c r="H543" s="30" t="str">
        <f>HYPERLINK("https://www.munzee.com/m/amadoreugen/4420", "amadoreugen/4420")</f>
        <v>amadoreugen/4420</v>
      </c>
      <c r="J543" s="31">
        <f t="shared" si="2"/>
        <v>6</v>
      </c>
    </row>
    <row r="544">
      <c r="A544" s="28">
        <v>9.0</v>
      </c>
      <c r="B544" s="28">
        <v>47.0</v>
      </c>
      <c r="C544" s="28">
        <v>53.4959725385802</v>
      </c>
      <c r="D544" s="28">
        <v>10.0008460371692</v>
      </c>
      <c r="E544" s="28" t="s">
        <v>15</v>
      </c>
      <c r="F544" s="28" t="s">
        <v>168</v>
      </c>
      <c r="G544" s="29" t="s">
        <v>209</v>
      </c>
      <c r="H544" s="30" t="s">
        <v>249</v>
      </c>
      <c r="J544" s="31">
        <f t="shared" si="2"/>
        <v>2</v>
      </c>
    </row>
    <row r="545">
      <c r="A545" s="28">
        <v>9.0</v>
      </c>
      <c r="B545" s="28">
        <v>48.0</v>
      </c>
      <c r="C545" s="28">
        <v>53.4959600114047</v>
      </c>
      <c r="D545" s="28">
        <v>10.0010867304791</v>
      </c>
      <c r="E545" s="28" t="s">
        <v>15</v>
      </c>
      <c r="F545" s="28" t="s">
        <v>168</v>
      </c>
      <c r="G545" s="29" t="s">
        <v>56</v>
      </c>
      <c r="H545" s="30" t="str">
        <f>HYPERLINK("https://www.munzee.com/m/Flattermaus/3416/", "Flattermaus/3416")</f>
        <v>Flattermaus/3416</v>
      </c>
      <c r="J545" s="31">
        <f t="shared" si="2"/>
        <v>55</v>
      </c>
    </row>
    <row r="546">
      <c r="A546" s="28">
        <v>9.0</v>
      </c>
      <c r="B546" s="28">
        <v>49.0</v>
      </c>
      <c r="C546" s="28">
        <v>53.4959474842292</v>
      </c>
      <c r="D546" s="28">
        <v>10.001327423718</v>
      </c>
      <c r="E546" s="28" t="s">
        <v>15</v>
      </c>
      <c r="F546" s="28" t="s">
        <v>168</v>
      </c>
      <c r="G546" s="29" t="s">
        <v>219</v>
      </c>
      <c r="H546" s="30" t="str">
        <f>HYPERLINK("https://www.munzee.com/m/Drazoria/219/", "Drazoria/219")</f>
        <v>Drazoria/219</v>
      </c>
      <c r="J546" s="31">
        <f t="shared" si="2"/>
        <v>8</v>
      </c>
    </row>
    <row r="547">
      <c r="A547" s="28">
        <v>9.0</v>
      </c>
      <c r="B547" s="28">
        <v>50.0</v>
      </c>
      <c r="C547" s="28">
        <v>53.4959349570537</v>
      </c>
      <c r="D547" s="28">
        <v>10.0015681168857</v>
      </c>
      <c r="E547" s="28" t="s">
        <v>15</v>
      </c>
      <c r="F547" s="28" t="s">
        <v>168</v>
      </c>
      <c r="G547" s="29" t="s">
        <v>48</v>
      </c>
      <c r="H547" s="30" t="str">
        <f>HYPERLINK("https://www.munzee.com/m/Herbie/9992/", "Herbie/9992")</f>
        <v>Herbie/9992</v>
      </c>
      <c r="J547" s="31">
        <f t="shared" si="2"/>
        <v>6</v>
      </c>
    </row>
    <row r="548">
      <c r="A548" s="28">
        <v>9.0</v>
      </c>
      <c r="B548" s="28">
        <v>51.0</v>
      </c>
      <c r="C548" s="28">
        <v>53.4959224298783</v>
      </c>
      <c r="D548" s="28">
        <v>10.0018088099824</v>
      </c>
      <c r="E548" s="28" t="s">
        <v>15</v>
      </c>
      <c r="F548" s="28" t="s">
        <v>168</v>
      </c>
      <c r="G548" s="29" t="s">
        <v>220</v>
      </c>
      <c r="H548" s="30" t="str">
        <f>HYPERLINK("https://www.munzee.com/m/Tinake1309/234", "Tinake1309/234")</f>
        <v>Tinake1309/234</v>
      </c>
      <c r="J548" s="31">
        <f t="shared" si="2"/>
        <v>9</v>
      </c>
    </row>
    <row r="549">
      <c r="A549" s="28">
        <v>9.0</v>
      </c>
      <c r="B549" s="28">
        <v>52.0</v>
      </c>
      <c r="C549" s="28">
        <v>53.4959099027028</v>
      </c>
      <c r="D549" s="28">
        <v>10.0020495030079</v>
      </c>
      <c r="E549" s="28" t="s">
        <v>15</v>
      </c>
      <c r="F549" s="28" t="s">
        <v>168</v>
      </c>
      <c r="G549" s="29" t="s">
        <v>250</v>
      </c>
      <c r="H549" s="30" t="str">
        <f>HYPERLINK("https://www.munzee.com/m/Arendsoog/5530", "Arendsoog/5530")</f>
        <v>Arendsoog/5530</v>
      </c>
      <c r="J549" s="31">
        <f t="shared" si="2"/>
        <v>2</v>
      </c>
    </row>
    <row r="550">
      <c r="A550" s="28">
        <v>9.0</v>
      </c>
      <c r="B550" s="28">
        <v>53.0</v>
      </c>
      <c r="C550" s="28">
        <v>53.4958973755273</v>
      </c>
      <c r="D550" s="28">
        <v>10.0022901959623</v>
      </c>
      <c r="E550" s="28" t="s">
        <v>15</v>
      </c>
      <c r="F550" s="28" t="s">
        <v>168</v>
      </c>
      <c r="G550" s="29" t="s">
        <v>221</v>
      </c>
      <c r="H550" s="30" t="str">
        <f>HYPERLINK("https://www.munzee.com/m/Berg14/227", "Berg14/227")</f>
        <v>Berg14/227</v>
      </c>
      <c r="J550" s="31">
        <f t="shared" si="2"/>
        <v>8</v>
      </c>
    </row>
    <row r="551">
      <c r="A551" s="28">
        <v>9.0</v>
      </c>
      <c r="B551" s="28">
        <v>54.0</v>
      </c>
      <c r="C551" s="28">
        <v>53.4958848483518</v>
      </c>
      <c r="D551" s="28">
        <v>10.0025308888456</v>
      </c>
      <c r="E551" s="28" t="s">
        <v>15</v>
      </c>
      <c r="F551" s="28" t="s">
        <v>168</v>
      </c>
      <c r="G551" s="29" t="s">
        <v>56</v>
      </c>
      <c r="H551" s="30" t="str">
        <f>HYPERLINK("https://www.munzee.com/m/Flattermaus/3510/", "Flattermaus/3510")</f>
        <v>Flattermaus/3510</v>
      </c>
      <c r="J551" s="31">
        <f t="shared" si="2"/>
        <v>55</v>
      </c>
    </row>
    <row r="552">
      <c r="A552" s="28">
        <v>9.0</v>
      </c>
      <c r="B552" s="28">
        <v>55.0</v>
      </c>
      <c r="C552" s="28">
        <v>53.4958723211764</v>
      </c>
      <c r="D552" s="28">
        <v>10.0027715816578</v>
      </c>
      <c r="E552" s="28" t="s">
        <v>15</v>
      </c>
      <c r="F552" s="28" t="s">
        <v>168</v>
      </c>
      <c r="G552" s="29" t="s">
        <v>222</v>
      </c>
      <c r="H552" s="30" t="str">
        <f>HYPERLINK("https://www.munzee.com/m/Niks13/176", "Niks13/176")</f>
        <v>Niks13/176</v>
      </c>
      <c r="J552" s="31">
        <f t="shared" si="2"/>
        <v>8</v>
      </c>
    </row>
    <row r="553">
      <c r="A553" s="28">
        <v>9.0</v>
      </c>
      <c r="B553" s="28">
        <v>56.0</v>
      </c>
      <c r="C553" s="28">
        <v>53.4958597940009</v>
      </c>
      <c r="D553" s="28">
        <v>10.0030122743989</v>
      </c>
      <c r="E553" s="28" t="s">
        <v>15</v>
      </c>
      <c r="F553" s="28" t="s">
        <v>168</v>
      </c>
      <c r="G553" s="29" t="s">
        <v>251</v>
      </c>
      <c r="H553" s="30" t="str">
        <f>HYPERLINK("https://www.munzee.com/m/rgforsythe/7554", "rgforsythe/7554")</f>
        <v>rgforsythe/7554</v>
      </c>
      <c r="J553" s="31">
        <f t="shared" si="2"/>
        <v>3</v>
      </c>
    </row>
    <row r="554">
      <c r="A554" s="28">
        <v>9.0</v>
      </c>
      <c r="B554" s="28">
        <v>57.0</v>
      </c>
      <c r="C554" s="28">
        <v>53.4958472668254</v>
      </c>
      <c r="D554" s="28">
        <v>10.0032529670689</v>
      </c>
      <c r="E554" s="28" t="s">
        <v>15</v>
      </c>
      <c r="F554" s="28" t="s">
        <v>168</v>
      </c>
      <c r="G554" s="29" t="s">
        <v>250</v>
      </c>
      <c r="H554" s="30" t="str">
        <f>HYPERLINK("https://www.munzee.com/m/Arendsoog/5538", "Arendsoog/5538")</f>
        <v>Arendsoog/5538</v>
      </c>
      <c r="J554" s="31">
        <f t="shared" si="2"/>
        <v>2</v>
      </c>
    </row>
    <row r="555">
      <c r="A555" s="28">
        <v>9.0</v>
      </c>
      <c r="B555" s="28">
        <v>58.0</v>
      </c>
      <c r="C555" s="28">
        <v>53.4958347396499</v>
      </c>
      <c r="D555" s="28">
        <v>10.0034936596678</v>
      </c>
      <c r="E555" s="28" t="s">
        <v>15</v>
      </c>
      <c r="F555" s="28" t="s">
        <v>168</v>
      </c>
      <c r="G555" s="29" t="s">
        <v>252</v>
      </c>
      <c r="H555" s="30" t="str">
        <f>HYPERLINK("https://www.munzee.com/m/Teambobcats/4776", "Teambobcats/4776")</f>
        <v>Teambobcats/4776</v>
      </c>
      <c r="J555" s="31">
        <f t="shared" si="2"/>
        <v>2</v>
      </c>
    </row>
    <row r="556">
      <c r="A556" s="28">
        <v>9.0</v>
      </c>
      <c r="B556" s="28">
        <v>59.0</v>
      </c>
      <c r="C556" s="28">
        <v>53.4958222124744</v>
      </c>
      <c r="D556" s="28">
        <v>10.0037343521955</v>
      </c>
      <c r="E556" s="28" t="s">
        <v>15</v>
      </c>
      <c r="F556" s="28" t="s">
        <v>168</v>
      </c>
      <c r="G556" s="29" t="s">
        <v>189</v>
      </c>
      <c r="H556" s="30" t="str">
        <f>HYPERLINK("https://www.munzee.com/m/kwd/5771/", "kwd/5771")</f>
        <v>kwd/5771</v>
      </c>
      <c r="J556" s="31">
        <f t="shared" si="2"/>
        <v>40</v>
      </c>
    </row>
    <row r="557">
      <c r="A557" s="28">
        <v>9.0</v>
      </c>
      <c r="B557" s="28">
        <v>60.0</v>
      </c>
      <c r="C557" s="28">
        <v>53.4958096852989</v>
      </c>
      <c r="D557" s="28">
        <v>10.0039750446521</v>
      </c>
      <c r="E557" s="28" t="s">
        <v>25</v>
      </c>
      <c r="F557" s="28" t="s">
        <v>14</v>
      </c>
      <c r="G557" s="29" t="s">
        <v>145</v>
      </c>
      <c r="H557" s="30" t="s">
        <v>253</v>
      </c>
      <c r="J557" s="31">
        <f t="shared" si="2"/>
        <v>40</v>
      </c>
    </row>
    <row r="558">
      <c r="A558" s="28">
        <v>10.0</v>
      </c>
      <c r="B558" s="28">
        <v>1.0</v>
      </c>
      <c r="C558" s="28">
        <v>53.4964056051426</v>
      </c>
      <c r="D558" s="28">
        <v>9.98975300988536</v>
      </c>
      <c r="E558" s="28" t="s">
        <v>25</v>
      </c>
      <c r="F558" s="28" t="s">
        <v>14</v>
      </c>
      <c r="G558" s="29" t="s">
        <v>27</v>
      </c>
      <c r="H558" s="30" t="str">
        <f>HYPERLINK("https://www.munzee.com/m/DarkHaribo/12197/", "DarkHaribo/12197")</f>
        <v>DarkHaribo/12197</v>
      </c>
      <c r="J558" s="31">
        <f t="shared" si="2"/>
        <v>103</v>
      </c>
    </row>
    <row r="559">
      <c r="A559" s="28">
        <v>10.0</v>
      </c>
      <c r="B559" s="28">
        <v>2.0</v>
      </c>
      <c r="C559" s="28">
        <v>53.4963930779672</v>
      </c>
      <c r="D559" s="28">
        <v>9.98999370565354</v>
      </c>
      <c r="E559" s="28" t="s">
        <v>15</v>
      </c>
      <c r="F559" s="28" t="s">
        <v>168</v>
      </c>
      <c r="G559" s="29" t="s">
        <v>47</v>
      </c>
      <c r="H559" s="30" t="str">
        <f>HYPERLINK("https://www.munzee.com/m/Dad35/10430/", "Dad35/10430")</f>
        <v>Dad35/10430</v>
      </c>
      <c r="J559" s="31">
        <f t="shared" si="2"/>
        <v>44</v>
      </c>
    </row>
    <row r="560">
      <c r="A560" s="28">
        <v>10.0</v>
      </c>
      <c r="B560" s="28">
        <v>3.0</v>
      </c>
      <c r="C560" s="28">
        <v>53.4963805507917</v>
      </c>
      <c r="D560" s="28">
        <v>9.99023440135067</v>
      </c>
      <c r="E560" s="28" t="s">
        <v>15</v>
      </c>
      <c r="F560" s="28" t="s">
        <v>168</v>
      </c>
      <c r="G560" s="29" t="s">
        <v>194</v>
      </c>
      <c r="H560" s="30" t="str">
        <f>HYPERLINK("https://www.munzee.com/m/munz619/4467/", "munz619/4467")</f>
        <v>munz619/4467</v>
      </c>
      <c r="J560" s="31">
        <f t="shared" si="2"/>
        <v>7</v>
      </c>
    </row>
    <row r="561">
      <c r="A561" s="28">
        <v>10.0</v>
      </c>
      <c r="B561" s="28">
        <v>4.0</v>
      </c>
      <c r="C561" s="28">
        <v>53.4963680236162</v>
      </c>
      <c r="D561" s="28">
        <v>9.99047509697663</v>
      </c>
      <c r="E561" s="28" t="s">
        <v>15</v>
      </c>
      <c r="F561" s="28" t="s">
        <v>168</v>
      </c>
      <c r="G561" s="29" t="s">
        <v>56</v>
      </c>
      <c r="H561" s="30" t="str">
        <f>HYPERLINK("https://www.munzee.com/m/Flattermaus/3509/", "Flattermaus/3509")</f>
        <v>Flattermaus/3509</v>
      </c>
      <c r="J561" s="31">
        <f t="shared" si="2"/>
        <v>55</v>
      </c>
    </row>
    <row r="562">
      <c r="A562" s="28">
        <v>10.0</v>
      </c>
      <c r="B562" s="28">
        <v>5.0</v>
      </c>
      <c r="C562" s="28">
        <v>53.4963554964407</v>
      </c>
      <c r="D562" s="28">
        <v>9.99071579253154</v>
      </c>
      <c r="E562" s="28" t="s">
        <v>15</v>
      </c>
      <c r="F562" s="28" t="s">
        <v>168</v>
      </c>
      <c r="G562" s="29" t="s">
        <v>55</v>
      </c>
      <c r="H562" s="30" t="str">
        <f>HYPERLINK("https://www.munzee.com/m/boerse82/5573/", "boerse82/5573")</f>
        <v>boerse82/5573</v>
      </c>
      <c r="J562" s="31">
        <f t="shared" si="2"/>
        <v>51</v>
      </c>
    </row>
    <row r="563">
      <c r="A563" s="28">
        <v>10.0</v>
      </c>
      <c r="B563" s="28">
        <v>6.0</v>
      </c>
      <c r="C563" s="28">
        <v>53.4963429692653</v>
      </c>
      <c r="D563" s="28">
        <v>9.99095648801528</v>
      </c>
      <c r="E563" s="28" t="s">
        <v>15</v>
      </c>
      <c r="F563" s="28" t="s">
        <v>168</v>
      </c>
      <c r="G563" s="29" t="s">
        <v>251</v>
      </c>
      <c r="H563" s="30" t="str">
        <f>HYPERLINK("https://www.munzee.com/m/rgforsythe/7512/", "rgforsythe/7512")</f>
        <v>rgforsythe/7512</v>
      </c>
      <c r="J563" s="31">
        <f t="shared" si="2"/>
        <v>3</v>
      </c>
    </row>
    <row r="564">
      <c r="A564" s="28">
        <v>10.0</v>
      </c>
      <c r="B564" s="28">
        <v>7.0</v>
      </c>
      <c r="C564" s="28">
        <v>53.4963304420898</v>
      </c>
      <c r="D564" s="28">
        <v>9.99119718342797</v>
      </c>
      <c r="E564" s="28" t="s">
        <v>15</v>
      </c>
      <c r="F564" s="28" t="s">
        <v>168</v>
      </c>
      <c r="G564" s="29" t="s">
        <v>254</v>
      </c>
      <c r="H564" s="30" t="str">
        <f>HYPERLINK("https://www.munzee.com/m/Calvertcachers/6374/", "Calvertcachers/6374")</f>
        <v>Calvertcachers/6374</v>
      </c>
      <c r="J564" s="31">
        <f t="shared" si="2"/>
        <v>1</v>
      </c>
    </row>
    <row r="565">
      <c r="A565" s="28">
        <v>10.0</v>
      </c>
      <c r="B565" s="28">
        <v>8.0</v>
      </c>
      <c r="C565" s="28">
        <v>53.4963179149143</v>
      </c>
      <c r="D565" s="28">
        <v>9.99143787876948</v>
      </c>
      <c r="E565" s="28" t="s">
        <v>15</v>
      </c>
      <c r="F565" s="28" t="s">
        <v>168</v>
      </c>
      <c r="G565" s="29" t="s">
        <v>255</v>
      </c>
      <c r="H565" s="30" t="str">
        <f>HYPERLINK("https://www.munzee.com/m/LilCrab/3863/", "LilCrab/3863")</f>
        <v>LilCrab/3863</v>
      </c>
      <c r="J565" s="31">
        <f t="shared" si="2"/>
        <v>1</v>
      </c>
    </row>
    <row r="566">
      <c r="A566" s="28">
        <v>10.0</v>
      </c>
      <c r="B566" s="28">
        <v>9.0</v>
      </c>
      <c r="C566" s="28">
        <v>53.4963053877388</v>
      </c>
      <c r="D566" s="28">
        <v>9.99167857403995</v>
      </c>
      <c r="E566" s="28" t="s">
        <v>15</v>
      </c>
      <c r="F566" s="28" t="s">
        <v>168</v>
      </c>
      <c r="G566" s="29" t="s">
        <v>256</v>
      </c>
      <c r="H566" s="30" t="str">
        <f>HYPERLINK("https://www.munzee.com/m/PrincessMeli/1851/", "PrincessMeli/1851")</f>
        <v>PrincessMeli/1851</v>
      </c>
      <c r="J566" s="31">
        <f t="shared" si="2"/>
        <v>1</v>
      </c>
    </row>
    <row r="567">
      <c r="A567" s="28">
        <v>10.0</v>
      </c>
      <c r="B567" s="28">
        <v>10.0</v>
      </c>
      <c r="C567" s="28">
        <v>53.4962928605633</v>
      </c>
      <c r="D567" s="28">
        <v>9.99191926923936</v>
      </c>
      <c r="E567" s="28" t="s">
        <v>15</v>
      </c>
      <c r="F567" s="28" t="s">
        <v>168</v>
      </c>
      <c r="G567" s="29" t="s">
        <v>257</v>
      </c>
      <c r="H567" s="30" t="str">
        <f>HYPERLINK("https://www.munzee.com/m/Westies/5403", "Westies/5403")</f>
        <v>Westies/5403</v>
      </c>
      <c r="J567" s="31">
        <f t="shared" si="2"/>
        <v>2</v>
      </c>
    </row>
    <row r="568">
      <c r="A568" s="28">
        <v>10.0</v>
      </c>
      <c r="B568" s="28">
        <v>11.0</v>
      </c>
      <c r="C568" s="28">
        <v>53.4962803333879</v>
      </c>
      <c r="D568" s="28">
        <v>9.9921599643676</v>
      </c>
      <c r="E568" s="28" t="s">
        <v>15</v>
      </c>
      <c r="F568" s="28" t="s">
        <v>168</v>
      </c>
      <c r="G568" s="29" t="s">
        <v>219</v>
      </c>
      <c r="H568" s="30" t="str">
        <f>HYPERLINK("https://www.munzee.com/m/Drazoria/220", "Drazoria/220")</f>
        <v>Drazoria/220</v>
      </c>
      <c r="J568" s="31">
        <f t="shared" si="2"/>
        <v>8</v>
      </c>
    </row>
    <row r="569">
      <c r="A569" s="28">
        <v>10.0</v>
      </c>
      <c r="B569" s="28">
        <v>12.0</v>
      </c>
      <c r="C569" s="28">
        <v>53.4962678062124</v>
      </c>
      <c r="D569" s="28">
        <v>9.99240065942467</v>
      </c>
      <c r="E569" s="28" t="s">
        <v>15</v>
      </c>
      <c r="F569" s="28" t="s">
        <v>168</v>
      </c>
      <c r="G569" s="29" t="s">
        <v>258</v>
      </c>
      <c r="H569" s="30" t="str">
        <f>HYPERLINK("https://www.munzee.com/m/sickman/5042", "sickman/5042")</f>
        <v>sickman/5042</v>
      </c>
      <c r="J569" s="31">
        <f t="shared" si="2"/>
        <v>2</v>
      </c>
    </row>
    <row r="570">
      <c r="A570" s="28">
        <v>10.0</v>
      </c>
      <c r="B570" s="28">
        <v>13.0</v>
      </c>
      <c r="C570" s="28">
        <v>53.4962552790369</v>
      </c>
      <c r="D570" s="28">
        <v>9.99264135441069</v>
      </c>
      <c r="E570" s="28" t="s">
        <v>15</v>
      </c>
      <c r="F570" s="28" t="s">
        <v>168</v>
      </c>
      <c r="G570" s="29" t="s">
        <v>220</v>
      </c>
      <c r="H570" s="30" t="str">
        <f>HYPERLINK("https://www.munzee.com/m/Tinake1309/246", "Tinake1309/246")</f>
        <v>Tinake1309/246</v>
      </c>
      <c r="J570" s="31">
        <f t="shared" si="2"/>
        <v>9</v>
      </c>
    </row>
    <row r="571">
      <c r="A571" s="28">
        <v>10.0</v>
      </c>
      <c r="B571" s="28">
        <v>14.0</v>
      </c>
      <c r="C571" s="28">
        <v>53.4962427518614</v>
      </c>
      <c r="D571" s="28">
        <v>9.99288204932554</v>
      </c>
      <c r="E571" s="28" t="s">
        <v>15</v>
      </c>
      <c r="F571" s="28" t="s">
        <v>168</v>
      </c>
      <c r="G571" s="29" t="s">
        <v>257</v>
      </c>
      <c r="H571" s="30" t="str">
        <f>HYPERLINK("https://www.munzee.com/m/Westies/5401", "Westies/5401")</f>
        <v>Westies/5401</v>
      </c>
      <c r="J571" s="31">
        <f t="shared" si="2"/>
        <v>2</v>
      </c>
    </row>
    <row r="572">
      <c r="A572" s="28">
        <v>10.0</v>
      </c>
      <c r="B572" s="28">
        <v>15.0</v>
      </c>
      <c r="C572" s="28">
        <v>53.4962302246859</v>
      </c>
      <c r="D572" s="28">
        <v>9.99312274416934</v>
      </c>
      <c r="E572" s="28" t="s">
        <v>15</v>
      </c>
      <c r="F572" s="28" t="s">
        <v>168</v>
      </c>
      <c r="G572" s="29" t="s">
        <v>221</v>
      </c>
      <c r="H572" s="30" t="str">
        <f>HYPERLINK("https://www.munzee.com/m/Berg14/228", "Berg14/228")</f>
        <v>Berg14/228</v>
      </c>
      <c r="J572" s="31">
        <f t="shared" si="2"/>
        <v>8</v>
      </c>
    </row>
    <row r="573">
      <c r="A573" s="28">
        <v>10.0</v>
      </c>
      <c r="B573" s="28">
        <v>16.0</v>
      </c>
      <c r="C573" s="28">
        <v>53.4962176975105</v>
      </c>
      <c r="D573" s="28">
        <v>9.99336343894197</v>
      </c>
      <c r="E573" s="28" t="s">
        <v>15</v>
      </c>
      <c r="F573" s="28" t="s">
        <v>168</v>
      </c>
      <c r="G573" s="29" t="s">
        <v>56</v>
      </c>
      <c r="H573" s="30" t="str">
        <f>HYPERLINK("https://www.munzee.com/m/Flattermaus/3508/", "Flattermaus/3508")</f>
        <v>Flattermaus/3508</v>
      </c>
      <c r="J573" s="31">
        <f t="shared" si="2"/>
        <v>55</v>
      </c>
    </row>
    <row r="574">
      <c r="A574" s="28">
        <v>10.0</v>
      </c>
      <c r="B574" s="28">
        <v>17.0</v>
      </c>
      <c r="C574" s="28">
        <v>53.496205170335</v>
      </c>
      <c r="D574" s="28">
        <v>9.99360413364354</v>
      </c>
      <c r="E574" s="28" t="s">
        <v>15</v>
      </c>
      <c r="F574" s="28" t="s">
        <v>168</v>
      </c>
      <c r="G574" s="29" t="s">
        <v>222</v>
      </c>
      <c r="H574" s="30" t="str">
        <f>HYPERLINK("https://www.munzee.com/m/Niks13/185", "Niks13/185")</f>
        <v>Niks13/185</v>
      </c>
      <c r="J574" s="31">
        <f t="shared" si="2"/>
        <v>8</v>
      </c>
    </row>
    <row r="575">
      <c r="A575" s="28">
        <v>10.0</v>
      </c>
      <c r="B575" s="28">
        <v>18.0</v>
      </c>
      <c r="C575" s="28">
        <v>53.4961926431595</v>
      </c>
      <c r="D575" s="28">
        <v>9.99384482827395</v>
      </c>
      <c r="E575" s="28" t="s">
        <v>15</v>
      </c>
      <c r="F575" s="28" t="s">
        <v>168</v>
      </c>
      <c r="G575" s="29" t="s">
        <v>258</v>
      </c>
      <c r="H575" s="30" t="str">
        <f>HYPERLINK("https://www.munzee.com/m/sickman/5041", "sickman/5041")</f>
        <v>sickman/5041</v>
      </c>
      <c r="J575" s="31">
        <f t="shared" si="2"/>
        <v>2</v>
      </c>
    </row>
    <row r="576">
      <c r="A576" s="28">
        <v>10.0</v>
      </c>
      <c r="B576" s="28">
        <v>19.0</v>
      </c>
      <c r="C576" s="28">
        <v>53.496180115984</v>
      </c>
      <c r="D576" s="28">
        <v>9.9940855228333</v>
      </c>
      <c r="E576" s="28" t="s">
        <v>15</v>
      </c>
      <c r="F576" s="28" t="s">
        <v>168</v>
      </c>
      <c r="G576" s="29" t="s">
        <v>252</v>
      </c>
      <c r="H576" s="30" t="str">
        <f>HYPERLINK("https://www.munzee.com/m/Teambobcats/4774", "Teambobcats/4774")</f>
        <v>Teambobcats/4774</v>
      </c>
      <c r="J576" s="31">
        <f t="shared" si="2"/>
        <v>2</v>
      </c>
    </row>
    <row r="577">
      <c r="A577" s="28">
        <v>10.0</v>
      </c>
      <c r="B577" s="28">
        <v>20.0</v>
      </c>
      <c r="C577" s="28">
        <v>53.4961675888085</v>
      </c>
      <c r="D577" s="28">
        <v>9.99432621732148</v>
      </c>
      <c r="E577" s="28" t="s">
        <v>15</v>
      </c>
      <c r="F577" s="28" t="s">
        <v>168</v>
      </c>
      <c r="G577" s="29" t="s">
        <v>259</v>
      </c>
      <c r="H577" s="30" t="str">
        <f>HYPERLINK("https://www.munzee.com/m/FindersGirl/4865/", "FindersGirl/4865")</f>
        <v>FindersGirl/4865</v>
      </c>
      <c r="J577" s="31">
        <f t="shared" si="2"/>
        <v>1</v>
      </c>
    </row>
    <row r="578">
      <c r="A578" s="28">
        <v>10.0</v>
      </c>
      <c r="B578" s="28">
        <v>21.0</v>
      </c>
      <c r="C578" s="28">
        <v>53.496155061633</v>
      </c>
      <c r="D578" s="28">
        <v>9.99456691173861</v>
      </c>
      <c r="E578" s="28" t="s">
        <v>15</v>
      </c>
      <c r="F578" s="28" t="s">
        <v>168</v>
      </c>
      <c r="G578" s="29" t="s">
        <v>260</v>
      </c>
      <c r="H578" s="30" t="str">
        <f>HYPERLINK("https://www.munzee.com/m/MetteS/6154/", "MetteS/6154")</f>
        <v>MetteS/6154</v>
      </c>
      <c r="J578" s="31">
        <f t="shared" si="2"/>
        <v>10</v>
      </c>
    </row>
    <row r="579">
      <c r="A579" s="28">
        <v>10.0</v>
      </c>
      <c r="B579" s="28">
        <v>22.0</v>
      </c>
      <c r="C579" s="28">
        <v>53.4961425344576</v>
      </c>
      <c r="D579" s="28">
        <v>9.99480760608457</v>
      </c>
      <c r="E579" s="28" t="s">
        <v>15</v>
      </c>
      <c r="F579" s="28" t="s">
        <v>168</v>
      </c>
      <c r="G579" s="29" t="s">
        <v>261</v>
      </c>
      <c r="H579" s="30" t="str">
        <f>HYPERLINK("https://www.munzee.com/m/BoMS/7598/", "BoMS/7598")</f>
        <v>BoMS/7598</v>
      </c>
      <c r="J579" s="31">
        <f t="shared" si="2"/>
        <v>10</v>
      </c>
    </row>
    <row r="580">
      <c r="A580" s="28">
        <v>10.0</v>
      </c>
      <c r="B580" s="28">
        <v>23.0</v>
      </c>
      <c r="C580" s="28">
        <v>53.4961300072821</v>
      </c>
      <c r="D580" s="28">
        <v>9.99504830035948</v>
      </c>
      <c r="E580" s="28" t="s">
        <v>25</v>
      </c>
      <c r="F580" s="28" t="s">
        <v>14</v>
      </c>
      <c r="G580" s="29" t="s">
        <v>30</v>
      </c>
      <c r="H580" s="33" t="s">
        <v>262</v>
      </c>
      <c r="J580" s="31">
        <f t="shared" si="2"/>
        <v>62</v>
      </c>
    </row>
    <row r="581">
      <c r="A581" s="28">
        <v>10.0</v>
      </c>
      <c r="B581" s="28">
        <v>24.0</v>
      </c>
      <c r="C581" s="28">
        <v>53.4961174801066</v>
      </c>
      <c r="D581" s="28">
        <v>9.99528899456322</v>
      </c>
      <c r="E581" s="28" t="s">
        <v>25</v>
      </c>
      <c r="F581" s="28" t="s">
        <v>14</v>
      </c>
      <c r="G581" s="29" t="s">
        <v>66</v>
      </c>
      <c r="H581" s="30" t="s">
        <v>263</v>
      </c>
      <c r="J581" s="31">
        <f t="shared" si="2"/>
        <v>6</v>
      </c>
    </row>
    <row r="582">
      <c r="A582" s="28">
        <v>10.0</v>
      </c>
      <c r="B582" s="28">
        <v>25.0</v>
      </c>
      <c r="C582" s="28">
        <v>53.4961049529312</v>
      </c>
      <c r="D582" s="28">
        <v>9.99552968869591</v>
      </c>
      <c r="E582" s="28" t="s">
        <v>25</v>
      </c>
      <c r="F582" s="28" t="s">
        <v>14</v>
      </c>
      <c r="G582" s="29" t="s">
        <v>146</v>
      </c>
      <c r="H582" s="30" t="s">
        <v>264</v>
      </c>
      <c r="J582" s="31">
        <f t="shared" si="2"/>
        <v>4</v>
      </c>
    </row>
    <row r="583">
      <c r="A583" s="28">
        <v>10.0</v>
      </c>
      <c r="B583" s="28">
        <v>26.0</v>
      </c>
      <c r="C583" s="28">
        <v>53.4960924257557</v>
      </c>
      <c r="D583" s="28">
        <v>9.99577038275742</v>
      </c>
      <c r="E583" s="28" t="s">
        <v>25</v>
      </c>
      <c r="F583" s="28" t="s">
        <v>14</v>
      </c>
      <c r="G583" s="29" t="s">
        <v>145</v>
      </c>
      <c r="H583" s="30" t="s">
        <v>265</v>
      </c>
      <c r="J583" s="31">
        <f t="shared" si="2"/>
        <v>40</v>
      </c>
    </row>
    <row r="584">
      <c r="A584" s="28">
        <v>10.0</v>
      </c>
      <c r="B584" s="28">
        <v>27.0</v>
      </c>
      <c r="C584" s="28">
        <v>53.4960798985802</v>
      </c>
      <c r="D584" s="28">
        <v>9.99601107674789</v>
      </c>
      <c r="E584" s="28" t="s">
        <v>25</v>
      </c>
      <c r="F584" s="28" t="s">
        <v>14</v>
      </c>
      <c r="G584" s="29" t="s">
        <v>66</v>
      </c>
      <c r="H584" s="30" t="s">
        <v>266</v>
      </c>
      <c r="J584" s="31">
        <f t="shared" si="2"/>
        <v>6</v>
      </c>
    </row>
    <row r="585">
      <c r="A585" s="28">
        <v>10.0</v>
      </c>
      <c r="B585" s="28">
        <v>28.0</v>
      </c>
      <c r="C585" s="28">
        <v>53.4960673714047</v>
      </c>
      <c r="D585" s="28">
        <v>9.9962517706673</v>
      </c>
      <c r="E585" s="28" t="s">
        <v>25</v>
      </c>
      <c r="F585" s="28" t="s">
        <v>14</v>
      </c>
      <c r="G585" s="29" t="s">
        <v>27</v>
      </c>
      <c r="H585" s="30" t="s">
        <v>267</v>
      </c>
      <c r="J585" s="31">
        <f t="shared" si="2"/>
        <v>103</v>
      </c>
    </row>
    <row r="586">
      <c r="A586" s="28">
        <v>10.0</v>
      </c>
      <c r="B586" s="28">
        <v>29.0</v>
      </c>
      <c r="C586" s="28">
        <v>53.4960548442292</v>
      </c>
      <c r="D586" s="28">
        <v>9.99649246451554</v>
      </c>
      <c r="E586" s="28" t="s">
        <v>25</v>
      </c>
      <c r="F586" s="28" t="s">
        <v>14</v>
      </c>
      <c r="G586" s="29" t="s">
        <v>268</v>
      </c>
      <c r="H586" s="34" t="s">
        <v>269</v>
      </c>
      <c r="J586" s="31">
        <f t="shared" si="2"/>
        <v>4</v>
      </c>
    </row>
    <row r="587">
      <c r="A587" s="28">
        <v>10.0</v>
      </c>
      <c r="B587" s="28">
        <v>30.0</v>
      </c>
      <c r="C587" s="28">
        <v>53.4960423170538</v>
      </c>
      <c r="D587" s="28">
        <v>9.99673315829272</v>
      </c>
      <c r="E587" s="28" t="s">
        <v>25</v>
      </c>
      <c r="F587" s="28" t="s">
        <v>14</v>
      </c>
      <c r="G587" s="29" t="s">
        <v>164</v>
      </c>
      <c r="H587" s="35" t="s">
        <v>270</v>
      </c>
      <c r="J587" s="31">
        <f t="shared" si="2"/>
        <v>133</v>
      </c>
    </row>
    <row r="588">
      <c r="A588" s="28">
        <v>10.0</v>
      </c>
      <c r="B588" s="28">
        <v>31.0</v>
      </c>
      <c r="C588" s="28">
        <v>53.4960297898783</v>
      </c>
      <c r="D588" s="28">
        <v>9.99697385199874</v>
      </c>
      <c r="E588" s="28" t="s">
        <v>25</v>
      </c>
      <c r="F588" s="28" t="s">
        <v>14</v>
      </c>
      <c r="G588" s="29" t="s">
        <v>27</v>
      </c>
      <c r="H588" s="34" t="s">
        <v>271</v>
      </c>
      <c r="J588" s="31">
        <f t="shared" si="2"/>
        <v>103</v>
      </c>
    </row>
    <row r="589">
      <c r="A589" s="28">
        <v>10.0</v>
      </c>
      <c r="B589" s="28">
        <v>32.0</v>
      </c>
      <c r="C589" s="28">
        <v>53.4960172627028</v>
      </c>
      <c r="D589" s="28">
        <v>9.99721454563371</v>
      </c>
      <c r="E589" s="28" t="s">
        <v>25</v>
      </c>
      <c r="F589" s="28" t="s">
        <v>14</v>
      </c>
      <c r="G589" s="29" t="s">
        <v>272</v>
      </c>
      <c r="H589" s="30" t="s">
        <v>273</v>
      </c>
      <c r="J589" s="31">
        <f t="shared" si="2"/>
        <v>2</v>
      </c>
    </row>
    <row r="590">
      <c r="A590" s="28">
        <v>10.0</v>
      </c>
      <c r="B590" s="28">
        <v>33.0</v>
      </c>
      <c r="C590" s="28">
        <v>53.4960047355273</v>
      </c>
      <c r="D590" s="28">
        <v>9.9974552391975</v>
      </c>
      <c r="E590" s="28" t="s">
        <v>25</v>
      </c>
      <c r="F590" s="28" t="s">
        <v>14</v>
      </c>
      <c r="G590" s="29" t="s">
        <v>145</v>
      </c>
      <c r="H590" s="30" t="s">
        <v>274</v>
      </c>
      <c r="J590" s="31">
        <f t="shared" si="2"/>
        <v>40</v>
      </c>
    </row>
    <row r="591">
      <c r="A591" s="28">
        <v>10.0</v>
      </c>
      <c r="B591" s="28">
        <v>34.0</v>
      </c>
      <c r="C591" s="28">
        <v>53.4959922083518</v>
      </c>
      <c r="D591" s="28">
        <v>9.99769593269024</v>
      </c>
      <c r="E591" s="28" t="s">
        <v>25</v>
      </c>
      <c r="F591" s="28" t="s">
        <v>14</v>
      </c>
      <c r="G591" s="29" t="s">
        <v>149</v>
      </c>
      <c r="H591" s="30" t="s">
        <v>275</v>
      </c>
      <c r="J591" s="31">
        <f t="shared" si="2"/>
        <v>9</v>
      </c>
    </row>
    <row r="592">
      <c r="A592" s="28">
        <v>10.0</v>
      </c>
      <c r="B592" s="28">
        <v>35.0</v>
      </c>
      <c r="C592" s="28">
        <v>53.4959796811764</v>
      </c>
      <c r="D592" s="28">
        <v>9.99793662611182</v>
      </c>
      <c r="E592" s="28" t="s">
        <v>25</v>
      </c>
      <c r="F592" s="28" t="s">
        <v>14</v>
      </c>
      <c r="G592" s="29" t="s">
        <v>27</v>
      </c>
      <c r="H592" s="30" t="s">
        <v>276</v>
      </c>
      <c r="J592" s="31">
        <f t="shared" si="2"/>
        <v>103</v>
      </c>
    </row>
    <row r="593">
      <c r="A593" s="28">
        <v>10.0</v>
      </c>
      <c r="B593" s="28">
        <v>36.0</v>
      </c>
      <c r="C593" s="28">
        <v>53.4959671540009</v>
      </c>
      <c r="D593" s="28">
        <v>9.99817731946234</v>
      </c>
      <c r="E593" s="28" t="s">
        <v>25</v>
      </c>
      <c r="F593" s="28" t="s">
        <v>14</v>
      </c>
      <c r="G593" s="29" t="s">
        <v>145</v>
      </c>
      <c r="H593" s="30" t="s">
        <v>277</v>
      </c>
      <c r="J593" s="31">
        <f t="shared" si="2"/>
        <v>40</v>
      </c>
    </row>
    <row r="594">
      <c r="A594" s="28">
        <v>10.0</v>
      </c>
      <c r="B594" s="28">
        <v>37.0</v>
      </c>
      <c r="C594" s="28">
        <v>53.4959546268254</v>
      </c>
      <c r="D594" s="28">
        <v>9.99841801274169</v>
      </c>
      <c r="E594" s="28" t="s">
        <v>25</v>
      </c>
      <c r="F594" s="28" t="s">
        <v>14</v>
      </c>
      <c r="G594" s="29" t="s">
        <v>149</v>
      </c>
      <c r="H594" s="30" t="s">
        <v>278</v>
      </c>
      <c r="J594" s="31">
        <f t="shared" si="2"/>
        <v>9</v>
      </c>
    </row>
    <row r="595">
      <c r="A595" s="28">
        <v>10.0</v>
      </c>
      <c r="B595" s="28">
        <v>38.0</v>
      </c>
      <c r="C595" s="28">
        <v>53.4959420996499</v>
      </c>
      <c r="D595" s="28">
        <v>9.99865870594999</v>
      </c>
      <c r="E595" s="28" t="s">
        <v>15</v>
      </c>
      <c r="F595" s="28" t="s">
        <v>168</v>
      </c>
      <c r="G595" s="29" t="s">
        <v>279</v>
      </c>
      <c r="H595" s="30" t="str">
        <f>HYPERLINK("https://www.munzee.com/m/meka/4143/", "meka/4143")</f>
        <v>meka/4143</v>
      </c>
      <c r="J595" s="31">
        <f t="shared" si="2"/>
        <v>2</v>
      </c>
    </row>
    <row r="596">
      <c r="A596" s="28">
        <v>10.0</v>
      </c>
      <c r="B596" s="28">
        <v>39.0</v>
      </c>
      <c r="C596" s="28">
        <v>53.4959295724745</v>
      </c>
      <c r="D596" s="28">
        <v>9.99889939908712</v>
      </c>
      <c r="E596" s="28" t="s">
        <v>15</v>
      </c>
      <c r="F596" s="28" t="s">
        <v>168</v>
      </c>
      <c r="G596" s="29" t="s">
        <v>26</v>
      </c>
      <c r="H596" s="30" t="str">
        <f>HYPERLINK("https://www.munzee.com/m/Elli/6549/", "Elli/6549")</f>
        <v>Elli/6549</v>
      </c>
      <c r="J596" s="31">
        <f t="shared" si="2"/>
        <v>143</v>
      </c>
    </row>
    <row r="597">
      <c r="A597" s="28">
        <v>10.0</v>
      </c>
      <c r="B597" s="28">
        <v>40.0</v>
      </c>
      <c r="C597" s="28">
        <v>53.495917045299</v>
      </c>
      <c r="D597" s="28">
        <v>9.99914009215319</v>
      </c>
      <c r="E597" s="28" t="s">
        <v>15</v>
      </c>
      <c r="F597" s="28" t="s">
        <v>168</v>
      </c>
      <c r="G597" s="29" t="s">
        <v>280</v>
      </c>
      <c r="H597" s="30" t="str">
        <f>HYPERLINK("https://www.munzee.com/m/habu/9846/", "habu/9846")</f>
        <v>habu/9846</v>
      </c>
      <c r="J597" s="31">
        <f t="shared" si="2"/>
        <v>3</v>
      </c>
    </row>
    <row r="598">
      <c r="A598" s="28">
        <v>10.0</v>
      </c>
      <c r="B598" s="28">
        <v>41.0</v>
      </c>
      <c r="C598" s="28">
        <v>53.4959045181235</v>
      </c>
      <c r="D598" s="28">
        <v>9.9993807851481</v>
      </c>
      <c r="E598" s="28" t="s">
        <v>15</v>
      </c>
      <c r="F598" s="28" t="s">
        <v>168</v>
      </c>
      <c r="G598" s="29" t="s">
        <v>281</v>
      </c>
      <c r="H598" s="30" t="str">
        <f>HYPERLINK("https://www.munzee.com/m/mrsg9064/7033/", "mrsg9064/7033")</f>
        <v>mrsg9064/7033</v>
      </c>
      <c r="J598" s="31">
        <f t="shared" si="2"/>
        <v>3</v>
      </c>
    </row>
    <row r="599">
      <c r="A599" s="28">
        <v>10.0</v>
      </c>
      <c r="B599" s="28">
        <v>42.0</v>
      </c>
      <c r="C599" s="28">
        <v>53.495891990948</v>
      </c>
      <c r="D599" s="28">
        <v>9.99962147807195</v>
      </c>
      <c r="E599" s="28" t="s">
        <v>15</v>
      </c>
      <c r="F599" s="28" t="s">
        <v>168</v>
      </c>
      <c r="G599" s="29" t="s">
        <v>219</v>
      </c>
      <c r="H599" s="30" t="str">
        <f>HYPERLINK("https://www.munzee.com/m/Drazoria/229", "Drazoria/229")</f>
        <v>Drazoria/229</v>
      </c>
      <c r="J599" s="31">
        <f t="shared" si="2"/>
        <v>8</v>
      </c>
    </row>
    <row r="600">
      <c r="A600" s="28">
        <v>10.0</v>
      </c>
      <c r="B600" s="28">
        <v>43.0</v>
      </c>
      <c r="C600" s="28">
        <v>53.4958794637725</v>
      </c>
      <c r="D600" s="28">
        <v>9.99986217092464</v>
      </c>
      <c r="E600" s="28" t="s">
        <v>15</v>
      </c>
      <c r="F600" s="28" t="s">
        <v>168</v>
      </c>
      <c r="G600" s="29" t="s">
        <v>260</v>
      </c>
      <c r="H600" s="30" t="str">
        <f>HYPERLINK("https://www.munzee.com/m/MetteS/6152/", "MetteS/6152")</f>
        <v>MetteS/6152</v>
      </c>
      <c r="J600" s="31">
        <f t="shared" si="2"/>
        <v>10</v>
      </c>
    </row>
    <row r="601">
      <c r="A601" s="28">
        <v>10.0</v>
      </c>
      <c r="B601" s="28">
        <v>44.0</v>
      </c>
      <c r="C601" s="28">
        <v>53.495866936597</v>
      </c>
      <c r="D601" s="28">
        <v>10.0001028637062</v>
      </c>
      <c r="E601" s="28" t="s">
        <v>15</v>
      </c>
      <c r="F601" s="28" t="s">
        <v>168</v>
      </c>
      <c r="G601" s="29" t="s">
        <v>220</v>
      </c>
      <c r="H601" s="30" t="str">
        <f>HYPERLINK("https://www.munzee.com/m/Tinake1309/268", "Tinake1309/268")</f>
        <v>Tinake1309/268</v>
      </c>
      <c r="J601" s="31">
        <f t="shared" si="2"/>
        <v>9</v>
      </c>
    </row>
    <row r="602">
      <c r="A602" s="28">
        <v>10.0</v>
      </c>
      <c r="B602" s="28">
        <v>45.0</v>
      </c>
      <c r="C602" s="28">
        <v>53.4958544094216</v>
      </c>
      <c r="D602" s="28">
        <v>10.0003435564167</v>
      </c>
      <c r="E602" s="28" t="s">
        <v>15</v>
      </c>
      <c r="F602" s="28" t="s">
        <v>168</v>
      </c>
      <c r="G602" s="29" t="s">
        <v>56</v>
      </c>
      <c r="H602" s="30" t="str">
        <f>HYPERLINK("https://www.munzee.com/m/Flattermaus/3474/", "Flattermaus/3474")</f>
        <v>Flattermaus/3474</v>
      </c>
      <c r="J602" s="31">
        <f t="shared" si="2"/>
        <v>55</v>
      </c>
    </row>
    <row r="603">
      <c r="A603" s="28">
        <v>10.0</v>
      </c>
      <c r="B603" s="28">
        <v>46.0</v>
      </c>
      <c r="C603" s="28">
        <v>53.4958418822461</v>
      </c>
      <c r="D603" s="28">
        <v>10.0005842490561</v>
      </c>
      <c r="E603" s="28" t="s">
        <v>15</v>
      </c>
      <c r="F603" s="28" t="s">
        <v>168</v>
      </c>
      <c r="G603" s="29" t="s">
        <v>221</v>
      </c>
      <c r="H603" s="30" t="str">
        <f>HYPERLINK("https://www.munzee.com/m/Berg14/243", "Berg14/243")</f>
        <v>Berg14/243</v>
      </c>
      <c r="J603" s="31">
        <f t="shared" si="2"/>
        <v>8</v>
      </c>
    </row>
    <row r="604">
      <c r="A604" s="28">
        <v>10.0</v>
      </c>
      <c r="B604" s="28">
        <v>47.0</v>
      </c>
      <c r="C604" s="28">
        <v>53.4958293550706</v>
      </c>
      <c r="D604" s="28">
        <v>10.0008249416243</v>
      </c>
      <c r="E604" s="28" t="s">
        <v>15</v>
      </c>
      <c r="F604" s="28" t="s">
        <v>168</v>
      </c>
      <c r="G604" s="29" t="s">
        <v>55</v>
      </c>
      <c r="H604" s="30" t="str">
        <f>HYPERLINK("https://www.munzee.com/m/boerse82/5566/", "boerse82/5566")</f>
        <v>boerse82/5566</v>
      </c>
      <c r="J604" s="31">
        <f t="shared" si="2"/>
        <v>51</v>
      </c>
    </row>
    <row r="605">
      <c r="A605" s="28">
        <v>10.0</v>
      </c>
      <c r="B605" s="28">
        <v>48.0</v>
      </c>
      <c r="C605" s="28">
        <v>53.4958168278951</v>
      </c>
      <c r="D605" s="28">
        <v>10.0010656341215</v>
      </c>
      <c r="E605" s="28" t="s">
        <v>15</v>
      </c>
      <c r="F605" s="28" t="s">
        <v>168</v>
      </c>
      <c r="G605" s="29" t="s">
        <v>222</v>
      </c>
      <c r="H605" s="30" t="str">
        <f>HYPERLINK("https://www.munzee.com/m/Niks13/193", "Niks13/193")</f>
        <v>Niks13/193</v>
      </c>
      <c r="J605" s="31">
        <f t="shared" si="2"/>
        <v>8</v>
      </c>
    </row>
    <row r="606">
      <c r="A606" s="28">
        <v>10.0</v>
      </c>
      <c r="B606" s="28">
        <v>49.0</v>
      </c>
      <c r="C606" s="28">
        <v>53.4958043007197</v>
      </c>
      <c r="D606" s="28">
        <v>10.0013063265477</v>
      </c>
      <c r="E606" s="28" t="s">
        <v>15</v>
      </c>
      <c r="F606" s="28" t="s">
        <v>168</v>
      </c>
      <c r="G606" s="29" t="s">
        <v>261</v>
      </c>
      <c r="H606" s="30" t="str">
        <f>HYPERLINK("https://www.munzee.com/m/BoMS/7597/", "BoMS/7597")</f>
        <v>BoMS/7597</v>
      </c>
      <c r="J606" s="31">
        <f t="shared" si="2"/>
        <v>10</v>
      </c>
    </row>
    <row r="607">
      <c r="A607" s="28">
        <v>10.0</v>
      </c>
      <c r="B607" s="28">
        <v>50.0</v>
      </c>
      <c r="C607" s="28">
        <v>53.4957917735442</v>
      </c>
      <c r="D607" s="28">
        <v>10.0015470189026</v>
      </c>
      <c r="E607" s="28" t="s">
        <v>15</v>
      </c>
      <c r="F607" s="28" t="s">
        <v>168</v>
      </c>
      <c r="G607" s="29" t="s">
        <v>55</v>
      </c>
      <c r="H607" s="30" t="str">
        <f>HYPERLINK("https://www.munzee.com/m/boerse82/5565/", "boerse82/5565")</f>
        <v>boerse82/5565</v>
      </c>
      <c r="J607" s="31">
        <f t="shared" si="2"/>
        <v>51</v>
      </c>
    </row>
    <row r="608">
      <c r="A608" s="28">
        <v>10.0</v>
      </c>
      <c r="B608" s="28">
        <v>51.0</v>
      </c>
      <c r="C608" s="28">
        <v>53.4957792463687</v>
      </c>
      <c r="D608" s="28">
        <v>10.0017877111865</v>
      </c>
      <c r="E608" s="28" t="s">
        <v>15</v>
      </c>
      <c r="F608" s="28" t="s">
        <v>168</v>
      </c>
      <c r="G608" s="29" t="s">
        <v>56</v>
      </c>
      <c r="H608" s="30" t="str">
        <f>HYPERLINK("https://www.munzee.com/m/Flattermaus/3336/", "Flattermaus/3336")</f>
        <v>Flattermaus/3336</v>
      </c>
      <c r="J608" s="31">
        <f t="shared" si="2"/>
        <v>55</v>
      </c>
    </row>
    <row r="609">
      <c r="A609" s="28">
        <v>10.0</v>
      </c>
      <c r="B609" s="28">
        <v>52.0</v>
      </c>
      <c r="C609" s="28">
        <v>53.4957667191932</v>
      </c>
      <c r="D609" s="28">
        <v>10.0020284033993</v>
      </c>
      <c r="E609" s="28" t="s">
        <v>15</v>
      </c>
      <c r="F609" s="28" t="s">
        <v>168</v>
      </c>
      <c r="G609" s="29" t="s">
        <v>215</v>
      </c>
      <c r="H609" s="30" t="str">
        <f>HYPERLINK("https://www.munzee.com/m/amadoreugen/4418", "amadoreugen/4418")</f>
        <v>amadoreugen/4418</v>
      </c>
      <c r="J609" s="31">
        <f t="shared" si="2"/>
        <v>6</v>
      </c>
    </row>
    <row r="610">
      <c r="A610" s="28">
        <v>10.0</v>
      </c>
      <c r="B610" s="28">
        <v>53.0</v>
      </c>
      <c r="C610" s="28">
        <v>53.4957541920178</v>
      </c>
      <c r="D610" s="28">
        <v>10.002269095541</v>
      </c>
      <c r="E610" s="28" t="s">
        <v>15</v>
      </c>
      <c r="F610" s="28" t="s">
        <v>168</v>
      </c>
      <c r="G610" s="29" t="s">
        <v>55</v>
      </c>
      <c r="H610" s="30" t="str">
        <f>HYPERLINK("https://www.munzee.com/m/boerse82/5564/", "boerse82/5564")</f>
        <v>boerse82/5564</v>
      </c>
      <c r="J610" s="31">
        <f t="shared" si="2"/>
        <v>51</v>
      </c>
    </row>
    <row r="611">
      <c r="A611" s="28">
        <v>10.0</v>
      </c>
      <c r="B611" s="28">
        <v>54.0</v>
      </c>
      <c r="C611" s="28">
        <v>53.4957416648423</v>
      </c>
      <c r="D611" s="28">
        <v>10.0025097876115</v>
      </c>
      <c r="E611" s="28" t="s">
        <v>15</v>
      </c>
      <c r="F611" s="28" t="s">
        <v>168</v>
      </c>
      <c r="G611" s="29" t="s">
        <v>260</v>
      </c>
      <c r="H611" s="30" t="str">
        <f>HYPERLINK("https://www.munzee.com/m/MetteS/6144/", "MetteS/6144")</f>
        <v>MetteS/6144</v>
      </c>
      <c r="J611" s="31">
        <f t="shared" si="2"/>
        <v>10</v>
      </c>
    </row>
    <row r="612">
      <c r="A612" s="28">
        <v>10.0</v>
      </c>
      <c r="B612" s="28">
        <v>55.0</v>
      </c>
      <c r="C612" s="28">
        <v>53.4957291376668</v>
      </c>
      <c r="D612" s="28">
        <v>10.0027504796109</v>
      </c>
      <c r="E612" s="28" t="s">
        <v>15</v>
      </c>
      <c r="F612" s="28" t="s">
        <v>168</v>
      </c>
      <c r="G612" s="29" t="s">
        <v>261</v>
      </c>
      <c r="H612" s="30" t="str">
        <f>HYPERLINK("https://www.munzee.com/m/BoMS/7581/", "BoMS/7581")</f>
        <v>BoMS/7581</v>
      </c>
      <c r="J612" s="31">
        <f t="shared" si="2"/>
        <v>10</v>
      </c>
    </row>
    <row r="613">
      <c r="A613" s="28">
        <v>10.0</v>
      </c>
      <c r="B613" s="28">
        <v>56.0</v>
      </c>
      <c r="C613" s="28">
        <v>53.4957166104913</v>
      </c>
      <c r="D613" s="28">
        <v>10.0029911715392</v>
      </c>
      <c r="E613" s="28" t="s">
        <v>15</v>
      </c>
      <c r="F613" s="28" t="s">
        <v>168</v>
      </c>
      <c r="G613" s="29" t="s">
        <v>55</v>
      </c>
      <c r="H613" s="30" t="str">
        <f>HYPERLINK("https://www.munzee.com/m/boerse82/5488/", "boerse82/5488")</f>
        <v>boerse82/5488</v>
      </c>
      <c r="J613" s="31">
        <f t="shared" si="2"/>
        <v>51</v>
      </c>
    </row>
    <row r="614">
      <c r="A614" s="28">
        <v>10.0</v>
      </c>
      <c r="B614" s="28">
        <v>57.0</v>
      </c>
      <c r="C614" s="28">
        <v>53.4957040833159</v>
      </c>
      <c r="D614" s="28">
        <v>10.0032318633965</v>
      </c>
      <c r="E614" s="28" t="s">
        <v>15</v>
      </c>
      <c r="F614" s="28" t="s">
        <v>168</v>
      </c>
      <c r="G614" s="29" t="s">
        <v>56</v>
      </c>
      <c r="H614" s="30" t="str">
        <f>HYPERLINK("https://www.munzee.com/m/Flattermaus/3317/", "Flattermaus/3317")</f>
        <v>Flattermaus/3317</v>
      </c>
      <c r="J614" s="31">
        <f t="shared" si="2"/>
        <v>55</v>
      </c>
    </row>
    <row r="615">
      <c r="A615" s="28">
        <v>10.0</v>
      </c>
      <c r="B615" s="28">
        <v>58.0</v>
      </c>
      <c r="C615" s="28">
        <v>53.4956915561404</v>
      </c>
      <c r="D615" s="28">
        <v>10.0034725551827</v>
      </c>
      <c r="E615" s="28" t="s">
        <v>15</v>
      </c>
      <c r="F615" s="28" t="s">
        <v>168</v>
      </c>
      <c r="G615" s="29" t="s">
        <v>194</v>
      </c>
      <c r="H615" s="30" t="str">
        <f>HYPERLINK("https://www.munzee.com/m/munz619/4463/", "munz619/4463")</f>
        <v>munz619/4463</v>
      </c>
      <c r="J615" s="31">
        <f t="shared" si="2"/>
        <v>7</v>
      </c>
    </row>
    <row r="616">
      <c r="A616" s="28">
        <v>10.0</v>
      </c>
      <c r="B616" s="28">
        <v>59.0</v>
      </c>
      <c r="C616" s="28">
        <v>53.4956790289649</v>
      </c>
      <c r="D616" s="28">
        <v>10.0037132468977</v>
      </c>
      <c r="E616" s="28" t="s">
        <v>15</v>
      </c>
      <c r="F616" s="28" t="s">
        <v>168</v>
      </c>
      <c r="G616" s="29" t="s">
        <v>282</v>
      </c>
      <c r="H616" s="30" t="str">
        <f>HYPERLINK("https://www.munzee.com/m/webeon2it/3850/", "webeon2it/3850")</f>
        <v>webeon2it/3850</v>
      </c>
      <c r="J616" s="31">
        <f t="shared" si="2"/>
        <v>1</v>
      </c>
    </row>
    <row r="617">
      <c r="A617" s="28">
        <v>10.0</v>
      </c>
      <c r="B617" s="28">
        <v>60.0</v>
      </c>
      <c r="C617" s="28">
        <v>53.4956665017894</v>
      </c>
      <c r="D617" s="28">
        <v>10.0039539385416</v>
      </c>
      <c r="E617" s="28" t="s">
        <v>25</v>
      </c>
      <c r="F617" s="28" t="s">
        <v>14</v>
      </c>
      <c r="G617" s="29" t="s">
        <v>27</v>
      </c>
      <c r="H617" s="30" t="str">
        <f>HYPERLINK("https://www.munzee.com/m/DarkHaribo/12672", "DarkHaribo/12672")</f>
        <v>DarkHaribo/12672</v>
      </c>
      <c r="J617" s="31">
        <f t="shared" si="2"/>
        <v>103</v>
      </c>
    </row>
    <row r="618">
      <c r="A618" s="28">
        <v>11.0</v>
      </c>
      <c r="B618" s="28">
        <v>1.0</v>
      </c>
      <c r="C618" s="28">
        <v>53.4962624216331</v>
      </c>
      <c r="D618" s="28">
        <v>9.98973195179917</v>
      </c>
      <c r="E618" s="28" t="s">
        <v>25</v>
      </c>
      <c r="F618" s="28" t="s">
        <v>14</v>
      </c>
      <c r="G618" s="29" t="s">
        <v>145</v>
      </c>
      <c r="H618" s="30" t="s">
        <v>283</v>
      </c>
      <c r="J618" s="31">
        <f t="shared" si="2"/>
        <v>40</v>
      </c>
    </row>
    <row r="619">
      <c r="A619" s="28">
        <v>11.0</v>
      </c>
      <c r="B619" s="28">
        <v>2.0</v>
      </c>
      <c r="C619" s="28">
        <v>53.4962498944576</v>
      </c>
      <c r="D619" s="28">
        <v>9.9899726467546</v>
      </c>
      <c r="E619" s="28" t="s">
        <v>15</v>
      </c>
      <c r="F619" s="28" t="s">
        <v>168</v>
      </c>
      <c r="G619" s="29" t="s">
        <v>219</v>
      </c>
      <c r="H619" s="30" t="str">
        <f>HYPERLINK("https://www.munzee.com/m/Drazoria/257", "Drazoria/257")</f>
        <v>Drazoria/257</v>
      </c>
      <c r="J619" s="31">
        <f t="shared" si="2"/>
        <v>8</v>
      </c>
    </row>
    <row r="620">
      <c r="A620" s="28">
        <v>11.0</v>
      </c>
      <c r="B620" s="28">
        <v>3.0</v>
      </c>
      <c r="C620" s="28">
        <v>53.4962373672821</v>
      </c>
      <c r="D620" s="28">
        <v>9.99021334163899</v>
      </c>
      <c r="E620" s="28" t="s">
        <v>15</v>
      </c>
      <c r="F620" s="28" t="s">
        <v>168</v>
      </c>
      <c r="G620" s="29" t="s">
        <v>213</v>
      </c>
      <c r="H620" s="30" t="str">
        <f>HYPERLINK("https://www.munzee.com/m/delaner46/4890", "delaner46/4890")</f>
        <v>delaner46/4890</v>
      </c>
      <c r="J620" s="31">
        <f t="shared" si="2"/>
        <v>4</v>
      </c>
    </row>
    <row r="621">
      <c r="A621" s="28">
        <v>11.0</v>
      </c>
      <c r="B621" s="28">
        <v>4.0</v>
      </c>
      <c r="C621" s="28">
        <v>53.4962248401066</v>
      </c>
      <c r="D621" s="28">
        <v>9.9904540364522</v>
      </c>
      <c r="E621" s="28" t="s">
        <v>15</v>
      </c>
      <c r="F621" s="28" t="s">
        <v>168</v>
      </c>
      <c r="G621" s="29" t="s">
        <v>220</v>
      </c>
      <c r="H621" s="30" t="str">
        <f>HYPERLINK("https://www.munzee.com/m/Tinake1309/281", "Tinake1309/281")</f>
        <v>Tinake1309/281</v>
      </c>
      <c r="J621" s="31">
        <f t="shared" si="2"/>
        <v>9</v>
      </c>
    </row>
    <row r="622">
      <c r="A622" s="28">
        <v>11.0</v>
      </c>
      <c r="B622" s="28">
        <v>5.0</v>
      </c>
      <c r="C622" s="28">
        <v>53.4962123129311</v>
      </c>
      <c r="D622" s="28">
        <v>9.99069473119425</v>
      </c>
      <c r="E622" s="28" t="s">
        <v>15</v>
      </c>
      <c r="F622" s="28" t="s">
        <v>168</v>
      </c>
      <c r="G622" s="29" t="s">
        <v>191</v>
      </c>
      <c r="H622" s="30" t="str">
        <f>HYPERLINK("https://www.munzee.com/m/driver582/6073", "driver582/6073")</f>
        <v>driver582/6073</v>
      </c>
      <c r="J622" s="31">
        <f t="shared" si="2"/>
        <v>6</v>
      </c>
    </row>
    <row r="623">
      <c r="A623" s="28">
        <v>11.0</v>
      </c>
      <c r="B623" s="28">
        <v>6.0</v>
      </c>
      <c r="C623" s="28">
        <v>53.4961997857557</v>
      </c>
      <c r="D623" s="28">
        <v>9.99093542586524</v>
      </c>
      <c r="E623" s="28" t="s">
        <v>15</v>
      </c>
      <c r="F623" s="28" t="s">
        <v>168</v>
      </c>
      <c r="G623" s="29" t="s">
        <v>221</v>
      </c>
      <c r="H623" s="30" t="str">
        <f>HYPERLINK("https://www.munzee.com/m/Berg14/245", "Berg14/245")</f>
        <v>Berg14/245</v>
      </c>
      <c r="J623" s="31">
        <f t="shared" si="2"/>
        <v>8</v>
      </c>
    </row>
    <row r="624">
      <c r="A624" s="28">
        <v>11.0</v>
      </c>
      <c r="B624" s="28">
        <v>7.0</v>
      </c>
      <c r="C624" s="28">
        <v>53.4961872585802</v>
      </c>
      <c r="D624" s="28">
        <v>9.99117612046518</v>
      </c>
      <c r="E624" s="28" t="s">
        <v>15</v>
      </c>
      <c r="F624" s="28" t="s">
        <v>168</v>
      </c>
      <c r="G624" s="29" t="s">
        <v>56</v>
      </c>
      <c r="H624" s="30" t="str">
        <f>HYPERLINK("https://www.munzee.com/m/Flattermaus/3501/", "Flattermaus/3501")</f>
        <v>Flattermaus/3501</v>
      </c>
      <c r="J624" s="31">
        <f t="shared" si="2"/>
        <v>55</v>
      </c>
    </row>
    <row r="625">
      <c r="A625" s="28">
        <v>11.0</v>
      </c>
      <c r="B625" s="28">
        <v>8.0</v>
      </c>
      <c r="C625" s="28">
        <v>53.4961747314047</v>
      </c>
      <c r="D625" s="28">
        <v>9.99141681499395</v>
      </c>
      <c r="E625" s="28" t="s">
        <v>15</v>
      </c>
      <c r="F625" s="28" t="s">
        <v>168</v>
      </c>
      <c r="G625" s="29" t="s">
        <v>222</v>
      </c>
      <c r="H625" s="30" t="str">
        <f>HYPERLINK("https://www.munzee.com/m/Niks13/195", "Niks13/195")</f>
        <v>Niks13/195</v>
      </c>
      <c r="J625" s="31">
        <f t="shared" si="2"/>
        <v>8</v>
      </c>
    </row>
    <row r="626">
      <c r="A626" s="28">
        <v>11.0</v>
      </c>
      <c r="B626" s="28">
        <v>9.0</v>
      </c>
      <c r="C626" s="28">
        <v>53.4961622042292</v>
      </c>
      <c r="D626" s="28">
        <v>9.99165750945167</v>
      </c>
      <c r="E626" s="28" t="s">
        <v>15</v>
      </c>
      <c r="F626" s="28" t="s">
        <v>168</v>
      </c>
      <c r="G626" s="29" t="s">
        <v>284</v>
      </c>
      <c r="H626" s="30" t="str">
        <f>HYPERLINK("https://www.munzee.com/m/hz/4116/", "hz/4116")</f>
        <v>hz/4116</v>
      </c>
      <c r="J626" s="31">
        <f t="shared" si="2"/>
        <v>4</v>
      </c>
    </row>
    <row r="627">
      <c r="A627" s="28">
        <v>11.0</v>
      </c>
      <c r="B627" s="28">
        <v>10.0</v>
      </c>
      <c r="C627" s="28">
        <v>53.4961496770537</v>
      </c>
      <c r="D627" s="28">
        <v>9.99189820383821</v>
      </c>
      <c r="E627" s="28" t="s">
        <v>15</v>
      </c>
      <c r="F627" s="28" t="s">
        <v>168</v>
      </c>
      <c r="G627" s="29" t="s">
        <v>285</v>
      </c>
      <c r="H627" s="30" t="str">
        <f>HYPERLINK("https://www.munzee.com/m/fyrsel/1508/", "fyrsel/1508")</f>
        <v>fyrsel/1508</v>
      </c>
      <c r="J627" s="31">
        <f t="shared" si="2"/>
        <v>3</v>
      </c>
    </row>
    <row r="628">
      <c r="A628" s="28">
        <v>11.0</v>
      </c>
      <c r="B628" s="28">
        <v>11.0</v>
      </c>
      <c r="C628" s="28">
        <v>53.4961371498783</v>
      </c>
      <c r="D628" s="28">
        <v>9.99213889815371</v>
      </c>
      <c r="E628" s="28" t="s">
        <v>15</v>
      </c>
      <c r="F628" s="28" t="s">
        <v>168</v>
      </c>
      <c r="G628" s="29" t="s">
        <v>213</v>
      </c>
      <c r="H628" s="30" t="str">
        <f>HYPERLINK("https://www.munzee.com/m/delaner46/4885", "delaner46/4885")</f>
        <v>delaner46/4885</v>
      </c>
      <c r="J628" s="31">
        <f t="shared" si="2"/>
        <v>4</v>
      </c>
    </row>
    <row r="629">
      <c r="A629" s="28">
        <v>11.0</v>
      </c>
      <c r="B629" s="28">
        <v>12.0</v>
      </c>
      <c r="C629" s="28">
        <v>53.4961246227028</v>
      </c>
      <c r="D629" s="28">
        <v>9.99237959239803</v>
      </c>
      <c r="E629" s="28" t="s">
        <v>15</v>
      </c>
      <c r="F629" s="28" t="s">
        <v>168</v>
      </c>
      <c r="G629" s="29" t="s">
        <v>284</v>
      </c>
      <c r="H629" s="30" t="str">
        <f>HYPERLINK("https://www.munzee.com/m/hz/4121/", "hz/4121")</f>
        <v>hz/4121</v>
      </c>
      <c r="J629" s="31">
        <f t="shared" si="2"/>
        <v>4</v>
      </c>
    </row>
    <row r="630">
      <c r="A630" s="28">
        <v>11.0</v>
      </c>
      <c r="B630" s="28">
        <v>13.0</v>
      </c>
      <c r="C630" s="28">
        <v>53.4961120955273</v>
      </c>
      <c r="D630" s="28">
        <v>9.99262028657131</v>
      </c>
      <c r="E630" s="28" t="s">
        <v>15</v>
      </c>
      <c r="F630" s="28" t="s">
        <v>168</v>
      </c>
      <c r="G630" s="29" t="s">
        <v>286</v>
      </c>
      <c r="H630" s="30" t="str">
        <f>HYPERLINK("https://www.munzee.com/m/MariaBr/3909/", "MariaBr/3909")</f>
        <v>MariaBr/3909</v>
      </c>
      <c r="J630" s="31">
        <f t="shared" si="2"/>
        <v>1</v>
      </c>
    </row>
    <row r="631">
      <c r="A631" s="28">
        <v>11.0</v>
      </c>
      <c r="B631" s="28">
        <v>14.0</v>
      </c>
      <c r="C631" s="28">
        <v>53.4960995683518</v>
      </c>
      <c r="D631" s="28">
        <v>9.99286098067341</v>
      </c>
      <c r="E631" s="28" t="s">
        <v>15</v>
      </c>
      <c r="F631" s="28" t="s">
        <v>168</v>
      </c>
      <c r="G631" s="29" t="s">
        <v>287</v>
      </c>
      <c r="H631" s="30" t="str">
        <f>HYPERLINK("https://www.munzee.com/m/RafMar78/647", "RafMar78/647")</f>
        <v>RafMar78/647</v>
      </c>
      <c r="J631" s="31">
        <f t="shared" si="2"/>
        <v>1</v>
      </c>
    </row>
    <row r="632">
      <c r="A632" s="28">
        <v>11.0</v>
      </c>
      <c r="B632" s="28">
        <v>15.0</v>
      </c>
      <c r="C632" s="28">
        <v>53.4960870411763</v>
      </c>
      <c r="D632" s="28">
        <v>9.99310167470446</v>
      </c>
      <c r="E632" s="28" t="s">
        <v>15</v>
      </c>
      <c r="F632" s="28" t="s">
        <v>168</v>
      </c>
      <c r="G632" s="29" t="s">
        <v>284</v>
      </c>
      <c r="H632" s="30" t="str">
        <f>HYPERLINK("https://www.munzee.com/m/hz/4117/", "hz/4117")</f>
        <v>hz/4117</v>
      </c>
      <c r="J632" s="31">
        <f t="shared" si="2"/>
        <v>4</v>
      </c>
    </row>
    <row r="633">
      <c r="A633" s="28">
        <v>11.0</v>
      </c>
      <c r="B633" s="28">
        <v>16.0</v>
      </c>
      <c r="C633" s="28">
        <v>53.4960745140009</v>
      </c>
      <c r="D633" s="28">
        <v>9.99334236866434</v>
      </c>
      <c r="E633" s="28" t="s">
        <v>15</v>
      </c>
      <c r="F633" s="28" t="s">
        <v>168</v>
      </c>
      <c r="G633" s="29" t="s">
        <v>280</v>
      </c>
      <c r="H633" s="30" t="str">
        <f>HYPERLINK("https://www.munzee.com/m/habu/9666/", "habu/9666")</f>
        <v>habu/9666</v>
      </c>
      <c r="J633" s="31">
        <f t="shared" si="2"/>
        <v>3</v>
      </c>
    </row>
    <row r="634">
      <c r="A634" s="28">
        <v>11.0</v>
      </c>
      <c r="B634" s="28">
        <v>17.0</v>
      </c>
      <c r="C634" s="28">
        <v>53.4960619868254</v>
      </c>
      <c r="D634" s="28">
        <v>9.99358306255317</v>
      </c>
      <c r="E634" s="28" t="s">
        <v>15</v>
      </c>
      <c r="F634" s="28" t="s">
        <v>168</v>
      </c>
      <c r="G634" s="29" t="s">
        <v>281</v>
      </c>
      <c r="H634" s="30" t="str">
        <f>HYPERLINK("https://www.munzee.com/m/mrsg9064/6849/", "mrsg9064/6849")</f>
        <v>mrsg9064/6849</v>
      </c>
      <c r="J634" s="31">
        <f t="shared" si="2"/>
        <v>3</v>
      </c>
    </row>
    <row r="635">
      <c r="A635" s="28">
        <v>11.0</v>
      </c>
      <c r="B635" s="28">
        <v>18.0</v>
      </c>
      <c r="C635" s="28">
        <v>53.4960494596499</v>
      </c>
      <c r="D635" s="28">
        <v>9.99382375637083</v>
      </c>
      <c r="E635" s="28" t="s">
        <v>15</v>
      </c>
      <c r="F635" s="28" t="s">
        <v>168</v>
      </c>
      <c r="G635" s="29" t="s">
        <v>288</v>
      </c>
      <c r="H635" s="30" t="str">
        <f>HYPERLINK("https://www.munzee.com/m/Ladyl89/830/", "Ladyl89/830")</f>
        <v>Ladyl89/830</v>
      </c>
      <c r="J635" s="31">
        <f t="shared" si="2"/>
        <v>1</v>
      </c>
    </row>
    <row r="636">
      <c r="A636" s="28">
        <v>11.0</v>
      </c>
      <c r="B636" s="28">
        <v>19.0</v>
      </c>
      <c r="C636" s="28">
        <v>53.4960369324744</v>
      </c>
      <c r="D636" s="28">
        <v>9.99406445011743</v>
      </c>
      <c r="E636" s="28" t="s">
        <v>15</v>
      </c>
      <c r="F636" s="28" t="s">
        <v>168</v>
      </c>
      <c r="G636" s="29" t="s">
        <v>289</v>
      </c>
      <c r="H636" s="30" t="str">
        <f>HYPERLINK("https://www.munzee.com/m/Faby/955/", "Faby/955")</f>
        <v>Faby/955</v>
      </c>
      <c r="J636" s="31">
        <f t="shared" si="2"/>
        <v>1</v>
      </c>
    </row>
    <row r="637">
      <c r="A637" s="28">
        <v>11.0</v>
      </c>
      <c r="B637" s="28">
        <v>20.0</v>
      </c>
      <c r="C637" s="28">
        <v>53.496024405299</v>
      </c>
      <c r="D637" s="28">
        <v>9.99430514379287</v>
      </c>
      <c r="E637" s="28" t="s">
        <v>15</v>
      </c>
      <c r="F637" s="28" t="s">
        <v>168</v>
      </c>
      <c r="G637" s="29" t="s">
        <v>290</v>
      </c>
      <c r="H637" s="30" t="str">
        <f>HYPERLINK("https://www.munzee.com/m/Kyrandia/2714/", "Kyrandia/2714")</f>
        <v>Kyrandia/2714</v>
      </c>
      <c r="J637" s="31">
        <f t="shared" si="2"/>
        <v>1</v>
      </c>
    </row>
    <row r="638">
      <c r="A638" s="28">
        <v>11.0</v>
      </c>
      <c r="B638" s="28">
        <v>21.0</v>
      </c>
      <c r="C638" s="28">
        <v>53.4960118781235</v>
      </c>
      <c r="D638" s="28">
        <v>9.99454583739725</v>
      </c>
      <c r="E638" s="28" t="s">
        <v>15</v>
      </c>
      <c r="F638" s="28" t="s">
        <v>168</v>
      </c>
      <c r="G638" s="29" t="s">
        <v>28</v>
      </c>
      <c r="H638" s="30" t="str">
        <f>HYPERLINK("https://www.munzee.com/m/dreiengel/7833/", "dreiengel/7833")</f>
        <v>dreiengel/7833</v>
      </c>
      <c r="J638" s="31">
        <f t="shared" si="2"/>
        <v>9</v>
      </c>
    </row>
    <row r="639">
      <c r="A639" s="28">
        <v>11.0</v>
      </c>
      <c r="B639" s="28">
        <v>22.0</v>
      </c>
      <c r="C639" s="28">
        <v>53.495999350948</v>
      </c>
      <c r="D639" s="28">
        <v>9.99478653093046</v>
      </c>
      <c r="E639" s="28" t="s">
        <v>25</v>
      </c>
      <c r="F639" s="28" t="s">
        <v>14</v>
      </c>
      <c r="G639" s="29" t="s">
        <v>145</v>
      </c>
      <c r="H639" s="30" t="s">
        <v>291</v>
      </c>
      <c r="J639" s="31">
        <f t="shared" si="2"/>
        <v>40</v>
      </c>
    </row>
    <row r="640">
      <c r="A640" s="28">
        <v>11.0</v>
      </c>
      <c r="B640" s="28">
        <v>23.0</v>
      </c>
      <c r="C640" s="28">
        <v>53.4959868237725</v>
      </c>
      <c r="D640" s="28">
        <v>9.99502722439263</v>
      </c>
      <c r="E640" s="28" t="s">
        <v>25</v>
      </c>
      <c r="F640" s="28" t="s">
        <v>14</v>
      </c>
      <c r="G640" s="29" t="s">
        <v>27</v>
      </c>
      <c r="H640" s="30" t="s">
        <v>292</v>
      </c>
      <c r="J640" s="31">
        <f t="shared" si="2"/>
        <v>103</v>
      </c>
    </row>
    <row r="641">
      <c r="A641" s="28">
        <v>11.0</v>
      </c>
      <c r="B641" s="28">
        <v>24.0</v>
      </c>
      <c r="C641" s="28">
        <v>53.495974296597</v>
      </c>
      <c r="D641" s="28">
        <v>9.99526791778362</v>
      </c>
      <c r="E641" s="28" t="s">
        <v>25</v>
      </c>
      <c r="F641" s="28" t="s">
        <v>14</v>
      </c>
      <c r="G641" s="29" t="s">
        <v>57</v>
      </c>
      <c r="H641" s="30" t="str">
        <f>HYPERLINK("https://www.munzee.com/m/Steerzer/8175/", "Steerzer/8175")</f>
        <v>Steerzer/8175</v>
      </c>
      <c r="J641" s="31">
        <f t="shared" si="2"/>
        <v>20</v>
      </c>
    </row>
    <row r="642">
      <c r="A642" s="28">
        <v>11.0</v>
      </c>
      <c r="B642" s="28">
        <v>25.0</v>
      </c>
      <c r="C642" s="28">
        <v>53.4959617694216</v>
      </c>
      <c r="D642" s="28">
        <v>9.99550861110356</v>
      </c>
      <c r="E642" s="28" t="s">
        <v>25</v>
      </c>
      <c r="F642" s="28" t="s">
        <v>14</v>
      </c>
      <c r="G642" s="29" t="s">
        <v>164</v>
      </c>
      <c r="H642" s="35" t="s">
        <v>293</v>
      </c>
      <c r="J642" s="31">
        <f t="shared" si="2"/>
        <v>133</v>
      </c>
    </row>
    <row r="643">
      <c r="A643" s="28">
        <v>11.0</v>
      </c>
      <c r="B643" s="28">
        <v>26.0</v>
      </c>
      <c r="C643" s="28">
        <v>53.4959492422461</v>
      </c>
      <c r="D643" s="28">
        <v>9.99574930435233</v>
      </c>
      <c r="E643" s="28" t="s">
        <v>25</v>
      </c>
      <c r="F643" s="28" t="s">
        <v>14</v>
      </c>
      <c r="G643" s="29" t="s">
        <v>294</v>
      </c>
      <c r="H643" s="30" t="s">
        <v>295</v>
      </c>
      <c r="J643" s="31">
        <f t="shared" si="2"/>
        <v>2</v>
      </c>
    </row>
    <row r="644">
      <c r="A644" s="28">
        <v>11.0</v>
      </c>
      <c r="B644" s="28">
        <v>27.0</v>
      </c>
      <c r="C644" s="28">
        <v>53.4959367150706</v>
      </c>
      <c r="D644" s="28">
        <v>9.99598999753004</v>
      </c>
      <c r="E644" s="28" t="s">
        <v>25</v>
      </c>
      <c r="F644" s="28" t="s">
        <v>14</v>
      </c>
      <c r="G644" s="29" t="s">
        <v>57</v>
      </c>
      <c r="H644" s="30" t="str">
        <f>HYPERLINK("https://www.munzee.com/m/Steerzer/8176/", "Steerzer/8176")</f>
        <v>Steerzer/8176</v>
      </c>
      <c r="J644" s="31">
        <f t="shared" si="2"/>
        <v>20</v>
      </c>
    </row>
    <row r="645">
      <c r="A645" s="28">
        <v>11.0</v>
      </c>
      <c r="B645" s="28">
        <v>28.0</v>
      </c>
      <c r="C645" s="28">
        <v>53.4959241878951</v>
      </c>
      <c r="D645" s="28">
        <v>9.99623069063659</v>
      </c>
      <c r="E645" s="28" t="s">
        <v>25</v>
      </c>
      <c r="F645" s="28" t="s">
        <v>14</v>
      </c>
      <c r="G645" s="29" t="s">
        <v>149</v>
      </c>
      <c r="H645" s="30" t="s">
        <v>296</v>
      </c>
      <c r="J645" s="31">
        <f t="shared" si="2"/>
        <v>9</v>
      </c>
    </row>
    <row r="646">
      <c r="A646" s="28">
        <v>11.0</v>
      </c>
      <c r="B646" s="28">
        <v>29.0</v>
      </c>
      <c r="C646" s="28">
        <v>53.4959116607197</v>
      </c>
      <c r="D646" s="28">
        <v>9.99647138367208</v>
      </c>
      <c r="E646" s="28" t="s">
        <v>25</v>
      </c>
      <c r="F646" s="28" t="s">
        <v>14</v>
      </c>
      <c r="G646" s="29" t="s">
        <v>146</v>
      </c>
      <c r="H646" s="30" t="s">
        <v>297</v>
      </c>
      <c r="J646" s="31">
        <f t="shared" si="2"/>
        <v>4</v>
      </c>
    </row>
    <row r="647">
      <c r="A647" s="28">
        <v>11.0</v>
      </c>
      <c r="B647" s="28">
        <v>30.0</v>
      </c>
      <c r="C647" s="28">
        <v>53.4958991335442</v>
      </c>
      <c r="D647" s="28">
        <v>9.99671207663641</v>
      </c>
      <c r="E647" s="28" t="s">
        <v>25</v>
      </c>
      <c r="F647" s="28" t="s">
        <v>14</v>
      </c>
      <c r="G647" s="29" t="s">
        <v>57</v>
      </c>
      <c r="H647" s="30" t="str">
        <f>HYPERLINK("https://www.munzee.com/m/Steerzer/8180/", "Steerzer/8180")</f>
        <v>Steerzer/8180</v>
      </c>
      <c r="J647" s="31">
        <f t="shared" si="2"/>
        <v>20</v>
      </c>
    </row>
    <row r="648">
      <c r="A648" s="28">
        <v>11.0</v>
      </c>
      <c r="B648" s="28">
        <v>31.0</v>
      </c>
      <c r="C648" s="28">
        <v>53.4958866063687</v>
      </c>
      <c r="D648" s="28">
        <v>9.99695276952968</v>
      </c>
      <c r="E648" s="28" t="s">
        <v>25</v>
      </c>
      <c r="F648" s="28" t="s">
        <v>14</v>
      </c>
      <c r="G648" s="29" t="s">
        <v>298</v>
      </c>
      <c r="H648" s="30" t="s">
        <v>299</v>
      </c>
      <c r="J648" s="31">
        <f t="shared" si="2"/>
        <v>3</v>
      </c>
    </row>
    <row r="649">
      <c r="A649" s="28">
        <v>11.0</v>
      </c>
      <c r="B649" s="28">
        <v>32.0</v>
      </c>
      <c r="C649" s="28">
        <v>53.4958740791932</v>
      </c>
      <c r="D649" s="28">
        <v>9.9971934623519</v>
      </c>
      <c r="E649" s="28" t="s">
        <v>25</v>
      </c>
      <c r="F649" s="28" t="s">
        <v>14</v>
      </c>
      <c r="G649" s="29" t="s">
        <v>300</v>
      </c>
      <c r="H649" s="30" t="s">
        <v>301</v>
      </c>
      <c r="J649" s="31">
        <f t="shared" si="2"/>
        <v>2</v>
      </c>
    </row>
    <row r="650">
      <c r="A650" s="28">
        <v>11.0</v>
      </c>
      <c r="B650" s="28">
        <v>33.0</v>
      </c>
      <c r="C650" s="28">
        <v>53.4958615520177</v>
      </c>
      <c r="D650" s="28">
        <v>9.99743415510295</v>
      </c>
      <c r="E650" s="28" t="s">
        <v>25</v>
      </c>
      <c r="F650" s="28" t="s">
        <v>14</v>
      </c>
      <c r="G650" s="29" t="s">
        <v>229</v>
      </c>
      <c r="H650" s="30" t="str">
        <f>HYPERLINK("https://www.munzee.com/m/kohalas/487", "kohalas/487")</f>
        <v>kohalas/487</v>
      </c>
      <c r="J650" s="31">
        <f t="shared" si="2"/>
        <v>2</v>
      </c>
    </row>
    <row r="651">
      <c r="A651" s="28">
        <v>11.0</v>
      </c>
      <c r="B651" s="28">
        <v>34.0</v>
      </c>
      <c r="C651" s="28">
        <v>53.4958490248423</v>
      </c>
      <c r="D651" s="28">
        <v>9.99767484778294</v>
      </c>
      <c r="E651" s="28" t="s">
        <v>25</v>
      </c>
      <c r="F651" s="28" t="s">
        <v>14</v>
      </c>
      <c r="G651" s="29" t="s">
        <v>164</v>
      </c>
      <c r="H651" s="35" t="s">
        <v>302</v>
      </c>
      <c r="J651" s="31">
        <f t="shared" si="2"/>
        <v>133</v>
      </c>
    </row>
    <row r="652">
      <c r="A652" s="28">
        <v>11.0</v>
      </c>
      <c r="B652" s="28">
        <v>35.0</v>
      </c>
      <c r="C652" s="28">
        <v>53.4958364976668</v>
      </c>
      <c r="D652" s="28">
        <v>9.99791554039177</v>
      </c>
      <c r="E652" s="28" t="s">
        <v>25</v>
      </c>
      <c r="F652" s="28" t="s">
        <v>14</v>
      </c>
      <c r="G652" s="29" t="s">
        <v>298</v>
      </c>
      <c r="H652" s="30" t="s">
        <v>303</v>
      </c>
      <c r="J652" s="31">
        <f t="shared" si="2"/>
        <v>3</v>
      </c>
    </row>
    <row r="653">
      <c r="A653" s="28">
        <v>11.0</v>
      </c>
      <c r="B653" s="28">
        <v>36.0</v>
      </c>
      <c r="C653" s="28">
        <v>53.4958239704913</v>
      </c>
      <c r="D653" s="28">
        <v>9.99815623292954</v>
      </c>
      <c r="E653" s="28" t="s">
        <v>25</v>
      </c>
      <c r="F653" s="28" t="s">
        <v>14</v>
      </c>
      <c r="G653" s="29" t="s">
        <v>57</v>
      </c>
      <c r="H653" s="30" t="str">
        <f>HYPERLINK("https://www.munzee.com/m/Steerzer/8182/", "Steerzer/8182")</f>
        <v>Steerzer/8182</v>
      </c>
      <c r="J653" s="31">
        <f t="shared" si="2"/>
        <v>20</v>
      </c>
    </row>
    <row r="654">
      <c r="A654" s="28">
        <v>11.0</v>
      </c>
      <c r="B654" s="28">
        <v>37.0</v>
      </c>
      <c r="C654" s="28">
        <v>53.4958114433158</v>
      </c>
      <c r="D654" s="28">
        <v>9.99839692539615</v>
      </c>
      <c r="E654" s="28" t="s">
        <v>25</v>
      </c>
      <c r="F654" s="28" t="s">
        <v>14</v>
      </c>
      <c r="G654" s="29" t="s">
        <v>164</v>
      </c>
      <c r="H654" s="35" t="s">
        <v>304</v>
      </c>
      <c r="J654" s="31">
        <f t="shared" si="2"/>
        <v>133</v>
      </c>
    </row>
    <row r="655">
      <c r="A655" s="28">
        <v>11.0</v>
      </c>
      <c r="B655" s="28">
        <v>38.0</v>
      </c>
      <c r="C655" s="28">
        <v>53.4957989161404</v>
      </c>
      <c r="D655" s="28">
        <v>9.9986376177917</v>
      </c>
      <c r="E655" s="28" t="s">
        <v>25</v>
      </c>
      <c r="F655" s="28" t="s">
        <v>14</v>
      </c>
      <c r="G655" s="29" t="s">
        <v>300</v>
      </c>
      <c r="H655" s="30" t="s">
        <v>305</v>
      </c>
      <c r="J655" s="31">
        <f t="shared" si="2"/>
        <v>2</v>
      </c>
    </row>
    <row r="656">
      <c r="A656" s="28">
        <v>11.0</v>
      </c>
      <c r="B656" s="28">
        <v>39.0</v>
      </c>
      <c r="C656" s="28">
        <v>53.4957863889649</v>
      </c>
      <c r="D656" s="28">
        <v>9.99887831011608</v>
      </c>
      <c r="E656" s="28" t="s">
        <v>15</v>
      </c>
      <c r="F656" s="28" t="s">
        <v>168</v>
      </c>
      <c r="G656" s="42" t="s">
        <v>306</v>
      </c>
      <c r="H656" s="30" t="str">
        <f>HYPERLINK("https://www.munzee.com/m/WE4NCS/16424", "WE4NCS/16424")</f>
        <v>WE4NCS/16424</v>
      </c>
      <c r="J656" s="31">
        <f t="shared" si="2"/>
        <v>3</v>
      </c>
    </row>
    <row r="657">
      <c r="A657" s="28">
        <v>11.0</v>
      </c>
      <c r="B657" s="28">
        <v>40.0</v>
      </c>
      <c r="C657" s="28">
        <v>53.4957738617894</v>
      </c>
      <c r="D657" s="28">
        <v>9.99911900236941</v>
      </c>
      <c r="E657" s="28" t="s">
        <v>15</v>
      </c>
      <c r="F657" s="28" t="s">
        <v>168</v>
      </c>
      <c r="G657" s="42" t="s">
        <v>307</v>
      </c>
      <c r="H657" s="30" t="str">
        <f>HYPERLINK("https://www.munzee.com/m/easterb/1359/", "easterb/1359")</f>
        <v>easterb/1359</v>
      </c>
      <c r="J657" s="31">
        <f t="shared" si="2"/>
        <v>3</v>
      </c>
    </row>
    <row r="658">
      <c r="A658" s="28">
        <v>11.0</v>
      </c>
      <c r="B658" s="28">
        <v>41.0</v>
      </c>
      <c r="C658" s="28">
        <v>53.4957613346139</v>
      </c>
      <c r="D658" s="28">
        <v>9.99935969455168</v>
      </c>
      <c r="E658" s="28" t="s">
        <v>15</v>
      </c>
      <c r="F658" s="28" t="s">
        <v>168</v>
      </c>
      <c r="G658" s="42" t="s">
        <v>308</v>
      </c>
      <c r="H658" s="30" t="str">
        <f>HYPERLINK("https://www.munzee.com/m/munzeeprof/9196/", "munzeeprof/9196")</f>
        <v>munzeeprof/9196</v>
      </c>
      <c r="J658" s="31">
        <f t="shared" si="2"/>
        <v>4</v>
      </c>
    </row>
    <row r="659">
      <c r="A659" s="28">
        <v>11.0</v>
      </c>
      <c r="B659" s="28">
        <v>42.0</v>
      </c>
      <c r="C659" s="28">
        <v>53.4957488074384</v>
      </c>
      <c r="D659" s="28">
        <v>9.99960038666279</v>
      </c>
      <c r="E659" s="28" t="s">
        <v>15</v>
      </c>
      <c r="F659" s="28" t="s">
        <v>168</v>
      </c>
      <c r="G659" s="42" t="s">
        <v>306</v>
      </c>
      <c r="H659" s="30" t="str">
        <f>HYPERLINK("https://www.munzee.com/m/WE4NCS/16423", "WE4NCS/16423")</f>
        <v>WE4NCS/16423</v>
      </c>
      <c r="J659" s="31">
        <f t="shared" si="2"/>
        <v>3</v>
      </c>
    </row>
    <row r="660">
      <c r="A660" s="28">
        <v>11.0</v>
      </c>
      <c r="B660" s="28">
        <v>43.0</v>
      </c>
      <c r="C660" s="28">
        <v>53.495736280263</v>
      </c>
      <c r="D660" s="28">
        <v>9.99984107870273</v>
      </c>
      <c r="E660" s="28" t="s">
        <v>15</v>
      </c>
      <c r="F660" s="28" t="s">
        <v>168</v>
      </c>
      <c r="G660" s="42" t="s">
        <v>309</v>
      </c>
      <c r="H660" s="30" t="str">
        <f>HYPERLINK("https://www.munzee.com/m/CrazyLadyLisa/14103/", "CrazyLadyLisa/14103")</f>
        <v>CrazyLadyLisa/14103</v>
      </c>
      <c r="J660" s="31">
        <f t="shared" si="2"/>
        <v>2</v>
      </c>
    </row>
    <row r="661">
      <c r="A661" s="28">
        <v>11.0</v>
      </c>
      <c r="B661" s="28">
        <v>44.0</v>
      </c>
      <c r="C661" s="28">
        <v>53.4957237530875</v>
      </c>
      <c r="D661" s="28">
        <v>10.0000817706716</v>
      </c>
      <c r="E661" s="28" t="s">
        <v>15</v>
      </c>
      <c r="F661" s="28" t="s">
        <v>168</v>
      </c>
      <c r="G661" s="42" t="s">
        <v>308</v>
      </c>
      <c r="H661" s="30" t="str">
        <f>HYPERLINK("https://www.munzee.com/m/munzeeprof/9045/", "munzeeprof/9045")</f>
        <v>munzeeprof/9045</v>
      </c>
      <c r="J661" s="31">
        <f t="shared" si="2"/>
        <v>4</v>
      </c>
    </row>
    <row r="662">
      <c r="A662" s="28">
        <v>11.0</v>
      </c>
      <c r="B662" s="28">
        <v>45.0</v>
      </c>
      <c r="C662" s="28">
        <v>53.495711225912</v>
      </c>
      <c r="D662" s="28">
        <v>10.0003224625693</v>
      </c>
      <c r="E662" s="28" t="s">
        <v>15</v>
      </c>
      <c r="F662" s="28" t="s">
        <v>168</v>
      </c>
      <c r="G662" s="43" t="s">
        <v>219</v>
      </c>
      <c r="H662" s="30" t="str">
        <f>HYPERLINK("https://www.munzee.com/m/Drazoria/264", "Drazoria/264")</f>
        <v>Drazoria/264</v>
      </c>
      <c r="J662" s="31">
        <f t="shared" si="2"/>
        <v>8</v>
      </c>
    </row>
    <row r="663">
      <c r="A663" s="28">
        <v>11.0</v>
      </c>
      <c r="B663" s="28">
        <v>46.0</v>
      </c>
      <c r="C663" s="28">
        <v>53.4956986987365</v>
      </c>
      <c r="D663" s="28">
        <v>10.0005631543959</v>
      </c>
      <c r="E663" s="28" t="s">
        <v>15</v>
      </c>
      <c r="F663" s="28" t="s">
        <v>168</v>
      </c>
      <c r="G663" s="42" t="s">
        <v>306</v>
      </c>
      <c r="H663" s="30" t="str">
        <f>HYPERLINK("https://www.munzee.com/m/WE4NCS/16422", "WE4NCS/16422")</f>
        <v>WE4NCS/16422</v>
      </c>
      <c r="J663" s="31">
        <f t="shared" si="2"/>
        <v>3</v>
      </c>
    </row>
    <row r="664">
      <c r="A664" s="28">
        <v>11.0</v>
      </c>
      <c r="B664" s="28">
        <v>47.0</v>
      </c>
      <c r="C664" s="28">
        <v>53.4956861715611</v>
      </c>
      <c r="D664" s="28">
        <v>10.0008038461514</v>
      </c>
      <c r="E664" s="28" t="s">
        <v>15</v>
      </c>
      <c r="F664" s="28" t="s">
        <v>168</v>
      </c>
      <c r="G664" s="43" t="s">
        <v>220</v>
      </c>
      <c r="H664" s="30" t="str">
        <f>HYPERLINK("https://www.munzee.com/m/Tinake1309/284", "Tinake1309/284")</f>
        <v>Tinake1309/284</v>
      </c>
      <c r="J664" s="31">
        <f t="shared" si="2"/>
        <v>9</v>
      </c>
    </row>
    <row r="665">
      <c r="A665" s="28">
        <v>11.0</v>
      </c>
      <c r="B665" s="28">
        <v>48.0</v>
      </c>
      <c r="C665" s="28">
        <v>53.4956736443856</v>
      </c>
      <c r="D665" s="28">
        <v>10.0010445378359</v>
      </c>
      <c r="E665" s="28" t="s">
        <v>15</v>
      </c>
      <c r="F665" s="28" t="s">
        <v>168</v>
      </c>
      <c r="G665" s="42" t="s">
        <v>308</v>
      </c>
      <c r="H665" s="30" t="str">
        <f>HYPERLINK("https://www.munzee.com/m/munzeeprof/8944/", "munzeeprof/8944")</f>
        <v>munzeeprof/8944</v>
      </c>
      <c r="J665" s="31">
        <f t="shared" si="2"/>
        <v>4</v>
      </c>
    </row>
    <row r="666">
      <c r="A666" s="28">
        <v>11.0</v>
      </c>
      <c r="B666" s="28">
        <v>49.0</v>
      </c>
      <c r="C666" s="28">
        <v>53.4956611172101</v>
      </c>
      <c r="D666" s="28">
        <v>10.0012852294491</v>
      </c>
      <c r="E666" s="28" t="s">
        <v>15</v>
      </c>
      <c r="F666" s="28" t="s">
        <v>168</v>
      </c>
      <c r="G666" s="43" t="s">
        <v>221</v>
      </c>
      <c r="H666" s="30" t="str">
        <f>HYPERLINK("https://www.munzee.com/m/Berg14/246", "Berg14/246")</f>
        <v>Berg14/246</v>
      </c>
      <c r="J666" s="31">
        <f t="shared" si="2"/>
        <v>8</v>
      </c>
    </row>
    <row r="667">
      <c r="A667" s="28">
        <v>11.0</v>
      </c>
      <c r="B667" s="28">
        <v>50.0</v>
      </c>
      <c r="C667" s="28">
        <v>53.4956485900346</v>
      </c>
      <c r="D667" s="28">
        <v>10.0015259209914</v>
      </c>
      <c r="E667" s="28" t="s">
        <v>15</v>
      </c>
      <c r="F667" s="28" t="s">
        <v>168</v>
      </c>
      <c r="G667" s="42" t="s">
        <v>310</v>
      </c>
      <c r="H667" s="30" t="str">
        <f>HYPERLINK("https://www.munzee.com/m/mihul/3685/", "mihul/3685")</f>
        <v>mihul/3685</v>
      </c>
      <c r="I667" s="44">
        <v>43897.0</v>
      </c>
      <c r="J667" s="31">
        <f t="shared" si="2"/>
        <v>6</v>
      </c>
    </row>
    <row r="668">
      <c r="A668" s="28">
        <v>11.0</v>
      </c>
      <c r="B668" s="28">
        <v>51.0</v>
      </c>
      <c r="C668" s="28">
        <v>53.4956360628591</v>
      </c>
      <c r="D668" s="28">
        <v>10.0017666124625</v>
      </c>
      <c r="E668" s="28" t="s">
        <v>15</v>
      </c>
      <c r="F668" s="28" t="s">
        <v>168</v>
      </c>
      <c r="G668" s="43" t="s">
        <v>222</v>
      </c>
      <c r="H668" s="30" t="str">
        <f>HYPERLINK("https://www.munzee.com/m/Niks13/198", "Niks13/198")</f>
        <v>Niks13/198</v>
      </c>
      <c r="J668" s="31">
        <f t="shared" si="2"/>
        <v>8</v>
      </c>
    </row>
    <row r="669">
      <c r="A669" s="28">
        <v>11.0</v>
      </c>
      <c r="B669" s="28">
        <v>52.0</v>
      </c>
      <c r="C669" s="28">
        <v>53.4956235356837</v>
      </c>
      <c r="D669" s="28">
        <v>10.0020073038625</v>
      </c>
      <c r="E669" s="28" t="s">
        <v>15</v>
      </c>
      <c r="F669" s="28" t="s">
        <v>168</v>
      </c>
      <c r="G669" s="29" t="s">
        <v>311</v>
      </c>
      <c r="H669" s="30" t="str">
        <f>HYPERLINK("https://www.munzee.com/m/szakica/1615/", "szakica/1615")</f>
        <v>szakica/1615</v>
      </c>
      <c r="I669" s="28" t="s">
        <v>312</v>
      </c>
      <c r="J669" s="31">
        <f t="shared" si="2"/>
        <v>1</v>
      </c>
    </row>
    <row r="670">
      <c r="A670" s="28">
        <v>11.0</v>
      </c>
      <c r="B670" s="28">
        <v>53.0</v>
      </c>
      <c r="C670" s="28">
        <v>53.4956110085082</v>
      </c>
      <c r="D670" s="28">
        <v>10.0022479951915</v>
      </c>
      <c r="E670" s="28" t="s">
        <v>15</v>
      </c>
      <c r="F670" s="28" t="s">
        <v>168</v>
      </c>
      <c r="G670" s="29" t="s">
        <v>189</v>
      </c>
      <c r="H670" s="30" t="str">
        <f>HYPERLINK("https://www.munzee.com/m/kwd/6279/", "kwd/6279")</f>
        <v>kwd/6279</v>
      </c>
      <c r="J670" s="31">
        <f t="shared" si="2"/>
        <v>40</v>
      </c>
    </row>
    <row r="671">
      <c r="A671" s="28">
        <v>11.0</v>
      </c>
      <c r="B671" s="28">
        <v>54.0</v>
      </c>
      <c r="C671" s="28">
        <v>53.4955984813327</v>
      </c>
      <c r="D671" s="28">
        <v>10.0024886864492</v>
      </c>
      <c r="E671" s="28" t="s">
        <v>15</v>
      </c>
      <c r="F671" s="28" t="s">
        <v>168</v>
      </c>
      <c r="G671" s="29" t="s">
        <v>313</v>
      </c>
      <c r="H671" s="30" t="str">
        <f>HYPERLINK("https://www.munzee.com/m/Cidinho/1944/", "Cidinho/1944")</f>
        <v>Cidinho/1944</v>
      </c>
      <c r="J671" s="31">
        <f t="shared" si="2"/>
        <v>2</v>
      </c>
    </row>
    <row r="672">
      <c r="A672" s="28">
        <v>11.0</v>
      </c>
      <c r="B672" s="28">
        <v>55.0</v>
      </c>
      <c r="C672" s="28">
        <v>53.4955859541572</v>
      </c>
      <c r="D672" s="28">
        <v>10.002729377636</v>
      </c>
      <c r="E672" s="28" t="s">
        <v>15</v>
      </c>
      <c r="F672" s="28" t="s">
        <v>168</v>
      </c>
      <c r="G672" s="29" t="s">
        <v>314</v>
      </c>
      <c r="H672" s="30" t="str">
        <f>HYPERLINK("https://www.munzee.com/m/SAVVY18/2270/", "SAVVY18/2270")</f>
        <v>SAVVY18/2270</v>
      </c>
      <c r="J672" s="31">
        <f t="shared" si="2"/>
        <v>1</v>
      </c>
    </row>
    <row r="673">
      <c r="A673" s="28">
        <v>11.0</v>
      </c>
      <c r="B673" s="28">
        <v>56.0</v>
      </c>
      <c r="C673" s="28">
        <v>53.4955734269817</v>
      </c>
      <c r="D673" s="28">
        <v>10.0029700687516</v>
      </c>
      <c r="E673" s="28" t="s">
        <v>15</v>
      </c>
      <c r="F673" s="28" t="s">
        <v>168</v>
      </c>
      <c r="G673" s="29" t="s">
        <v>315</v>
      </c>
      <c r="H673" s="30" t="str">
        <f>HYPERLINK("https://www.munzee.com/m/HabakukTibatong/1236/map/", "HabakukTibatong/1236")</f>
        <v>HabakukTibatong/1236</v>
      </c>
      <c r="J673" s="31">
        <f t="shared" si="2"/>
        <v>10</v>
      </c>
    </row>
    <row r="674">
      <c r="A674" s="28">
        <v>11.0</v>
      </c>
      <c r="B674" s="28">
        <v>57.0</v>
      </c>
      <c r="C674" s="28">
        <v>53.4955608998063</v>
      </c>
      <c r="D674" s="28">
        <v>10.0032107597961</v>
      </c>
      <c r="E674" s="28" t="s">
        <v>15</v>
      </c>
      <c r="F674" s="28" t="s">
        <v>168</v>
      </c>
      <c r="G674" s="29" t="s">
        <v>106</v>
      </c>
      <c r="H674" s="30" t="str">
        <f>HYPERLINK("https://www.munzee.com/m/heinbloed/1838/map/", "heinbloed/1838")</f>
        <v>heinbloed/1838</v>
      </c>
      <c r="J674" s="31">
        <f t="shared" si="2"/>
        <v>9</v>
      </c>
    </row>
    <row r="675">
      <c r="A675" s="28">
        <v>11.0</v>
      </c>
      <c r="B675" s="28">
        <v>58.0</v>
      </c>
      <c r="C675" s="28">
        <v>53.4955483726308</v>
      </c>
      <c r="D675" s="28">
        <v>10.0034514507694</v>
      </c>
      <c r="E675" s="28" t="s">
        <v>15</v>
      </c>
      <c r="F675" s="28" t="s">
        <v>168</v>
      </c>
      <c r="G675" s="29" t="s">
        <v>316</v>
      </c>
      <c r="H675" s="30" t="str">
        <f>HYPERLINK("https://www.munzee.com/m/Gamsci/5055/", "Gamsci/5055")</f>
        <v>Gamsci/5055</v>
      </c>
      <c r="J675" s="31">
        <f t="shared" si="2"/>
        <v>10</v>
      </c>
    </row>
    <row r="676">
      <c r="A676" s="28">
        <v>11.0</v>
      </c>
      <c r="B676" s="28">
        <v>59.0</v>
      </c>
      <c r="C676" s="28">
        <v>53.4955358454553</v>
      </c>
      <c r="D676" s="28">
        <v>10.0036921416717</v>
      </c>
      <c r="E676" s="28" t="s">
        <v>15</v>
      </c>
      <c r="F676" s="28" t="s">
        <v>168</v>
      </c>
      <c r="G676" s="29" t="s">
        <v>317</v>
      </c>
      <c r="H676" s="30" t="str">
        <f>HYPERLINK("https://www.munzee.com/m/ivwarrior/4264/", "ivwarrior/4264")</f>
        <v>ivwarrior/4264</v>
      </c>
      <c r="J676" s="31">
        <f t="shared" si="2"/>
        <v>6</v>
      </c>
    </row>
    <row r="677">
      <c r="A677" s="28">
        <v>11.0</v>
      </c>
      <c r="B677" s="28">
        <v>60.0</v>
      </c>
      <c r="C677" s="28">
        <v>53.4955233182798</v>
      </c>
      <c r="D677" s="28">
        <v>10.0039328325028</v>
      </c>
      <c r="E677" s="28" t="s">
        <v>25</v>
      </c>
      <c r="F677" s="28" t="s">
        <v>14</v>
      </c>
      <c r="G677" s="29" t="s">
        <v>57</v>
      </c>
      <c r="H677" s="30" t="str">
        <f>HYPERLINK("https://www.munzee.com/m/Steerzer/8189/", "Steerzer/8189")</f>
        <v>Steerzer/8189</v>
      </c>
      <c r="J677" s="31">
        <f t="shared" si="2"/>
        <v>20</v>
      </c>
    </row>
    <row r="678">
      <c r="A678" s="28">
        <v>12.0</v>
      </c>
      <c r="B678" s="28">
        <v>1.0</v>
      </c>
      <c r="C678" s="28">
        <v>53.4961192381235</v>
      </c>
      <c r="D678" s="28">
        <v>9.98971089378415</v>
      </c>
      <c r="E678" s="28" t="s">
        <v>25</v>
      </c>
      <c r="F678" s="28" t="s">
        <v>14</v>
      </c>
      <c r="G678" s="29" t="s">
        <v>30</v>
      </c>
      <c r="H678" s="30" t="str">
        <f>HYPERLINK("https://www.munzee.com/m/SachensucherHB/1488/", "SachensucherHB/1488")</f>
        <v>SachensucherHB/1488</v>
      </c>
      <c r="J678" s="31">
        <f t="shared" si="2"/>
        <v>62</v>
      </c>
    </row>
    <row r="679">
      <c r="A679" s="28">
        <v>12.0</v>
      </c>
      <c r="B679" s="28">
        <v>2.0</v>
      </c>
      <c r="C679" s="28">
        <v>53.496106710948</v>
      </c>
      <c r="D679" s="28">
        <v>9.98995158792684</v>
      </c>
      <c r="E679" s="28" t="s">
        <v>15</v>
      </c>
      <c r="F679" s="28" t="s">
        <v>168</v>
      </c>
      <c r="G679" s="29" t="s">
        <v>26</v>
      </c>
      <c r="H679" s="30" t="str">
        <f>HYPERLINK("https://www.munzee.com/m/Elli/6285/", "Elli/6285")</f>
        <v>Elli/6285</v>
      </c>
      <c r="J679" s="31">
        <f t="shared" si="2"/>
        <v>143</v>
      </c>
    </row>
    <row r="680">
      <c r="A680" s="28">
        <v>12.0</v>
      </c>
      <c r="B680" s="28">
        <v>3.0</v>
      </c>
      <c r="C680" s="28">
        <v>53.4960941837725</v>
      </c>
      <c r="D680" s="28">
        <v>9.99019228199836</v>
      </c>
      <c r="E680" s="28" t="s">
        <v>15</v>
      </c>
      <c r="F680" s="28" t="s">
        <v>168</v>
      </c>
      <c r="G680" s="29" t="s">
        <v>233</v>
      </c>
      <c r="H680" s="30" t="str">
        <f>HYPERLINK("https://www.munzee.com/m/Jafo43/17071", "Jafo43/17071")</f>
        <v>Jafo43/17071</v>
      </c>
      <c r="J680" s="31">
        <f t="shared" si="2"/>
        <v>4</v>
      </c>
    </row>
    <row r="681">
      <c r="A681" s="28">
        <v>12.0</v>
      </c>
      <c r="B681" s="28">
        <v>4.0</v>
      </c>
      <c r="C681" s="28">
        <v>53.4960816565971</v>
      </c>
      <c r="D681" s="28">
        <v>9.99043297599882</v>
      </c>
      <c r="E681" s="28" t="s">
        <v>15</v>
      </c>
      <c r="F681" s="28" t="s">
        <v>168</v>
      </c>
      <c r="G681" s="29" t="s">
        <v>318</v>
      </c>
      <c r="H681" s="30" t="str">
        <f>HYPERLINK("https://www.munzee.com/m/paupau/8697", "paupau/8697")</f>
        <v>paupau/8697</v>
      </c>
      <c r="J681" s="31">
        <f t="shared" si="2"/>
        <v>2</v>
      </c>
    </row>
    <row r="682">
      <c r="A682" s="28">
        <v>12.0</v>
      </c>
      <c r="B682" s="28">
        <v>5.0</v>
      </c>
      <c r="C682" s="28">
        <v>53.4960691294216</v>
      </c>
      <c r="D682" s="28">
        <v>9.99067366992812</v>
      </c>
      <c r="E682" s="28" t="s">
        <v>15</v>
      </c>
      <c r="F682" s="28" t="s">
        <v>168</v>
      </c>
      <c r="G682" s="29" t="s">
        <v>26</v>
      </c>
      <c r="H682" s="30" t="str">
        <f>HYPERLINK("https://www.munzee.com/m/Elli/6272/", "Elli/6272")</f>
        <v>Elli/6272</v>
      </c>
      <c r="J682" s="31">
        <f t="shared" si="2"/>
        <v>143</v>
      </c>
    </row>
    <row r="683">
      <c r="A683" s="28">
        <v>12.0</v>
      </c>
      <c r="B683" s="28">
        <v>6.0</v>
      </c>
      <c r="C683" s="28">
        <v>53.4960566022461</v>
      </c>
      <c r="D683" s="28">
        <v>9.99091436378637</v>
      </c>
      <c r="E683" s="28" t="s">
        <v>15</v>
      </c>
      <c r="F683" s="28" t="s">
        <v>168</v>
      </c>
      <c r="G683" s="29" t="s">
        <v>47</v>
      </c>
      <c r="H683" s="30" t="str">
        <f>HYPERLINK("https://www.munzee.com/m/Dad35/10428/", "Dad35/10428")</f>
        <v>Dad35/10428</v>
      </c>
      <c r="J683" s="31">
        <f t="shared" si="2"/>
        <v>44</v>
      </c>
    </row>
    <row r="684">
      <c r="A684" s="28">
        <v>12.0</v>
      </c>
      <c r="B684" s="28">
        <v>7.0</v>
      </c>
      <c r="C684" s="28">
        <v>53.4960440750706</v>
      </c>
      <c r="D684" s="28">
        <v>9.99115505757345</v>
      </c>
      <c r="E684" s="28" t="s">
        <v>15</v>
      </c>
      <c r="F684" s="28" t="s">
        <v>168</v>
      </c>
      <c r="G684" s="29" t="s">
        <v>233</v>
      </c>
      <c r="H684" s="30" t="str">
        <f>HYPERLINK("https://www.munzee.com/m/Jafo43/17070", "Jafo43/17070")</f>
        <v>Jafo43/17070</v>
      </c>
      <c r="J684" s="31">
        <f t="shared" si="2"/>
        <v>4</v>
      </c>
    </row>
    <row r="685">
      <c r="A685" s="28">
        <v>12.0</v>
      </c>
      <c r="B685" s="28">
        <v>8.0</v>
      </c>
      <c r="C685" s="28">
        <v>53.4960315478952</v>
      </c>
      <c r="D685" s="28">
        <v>9.99139575128947</v>
      </c>
      <c r="E685" s="28" t="s">
        <v>15</v>
      </c>
      <c r="F685" s="28" t="s">
        <v>168</v>
      </c>
      <c r="G685" s="29" t="s">
        <v>189</v>
      </c>
      <c r="H685" s="30" t="str">
        <f>HYPERLINK("https://www.munzee.com/m/kwd/6030/", "kwd/6030")</f>
        <v>kwd/6030</v>
      </c>
      <c r="J685" s="31">
        <f t="shared" si="2"/>
        <v>40</v>
      </c>
    </row>
    <row r="686">
      <c r="A686" s="28">
        <v>12.0</v>
      </c>
      <c r="B686" s="28">
        <v>9.0</v>
      </c>
      <c r="C686" s="28">
        <v>53.4960190207197</v>
      </c>
      <c r="D686" s="28">
        <v>9.99163644493433</v>
      </c>
      <c r="E686" s="28" t="s">
        <v>25</v>
      </c>
      <c r="F686" s="28" t="s">
        <v>14</v>
      </c>
      <c r="G686" s="29" t="s">
        <v>26</v>
      </c>
      <c r="H686" s="30" t="str">
        <f>HYPERLINK("https://www.munzee.com/m/Elli/6326/", "Elli/6326")</f>
        <v>Elli/6326</v>
      </c>
      <c r="J686" s="31">
        <f t="shared" si="2"/>
        <v>143</v>
      </c>
    </row>
    <row r="687">
      <c r="A687" s="28">
        <v>12.0</v>
      </c>
      <c r="B687" s="28">
        <v>10.0</v>
      </c>
      <c r="C687" s="28">
        <v>53.4960064935442</v>
      </c>
      <c r="D687" s="28">
        <v>9.99187713850813</v>
      </c>
      <c r="E687" s="28" t="s">
        <v>25</v>
      </c>
      <c r="F687" s="28" t="s">
        <v>14</v>
      </c>
      <c r="G687" s="29" t="s">
        <v>145</v>
      </c>
      <c r="H687" s="30" t="s">
        <v>319</v>
      </c>
      <c r="J687" s="31">
        <f t="shared" si="2"/>
        <v>40</v>
      </c>
    </row>
    <row r="688">
      <c r="A688" s="28">
        <v>12.0</v>
      </c>
      <c r="B688" s="28">
        <v>11.0</v>
      </c>
      <c r="C688" s="28">
        <v>53.4959939663687</v>
      </c>
      <c r="D688" s="28">
        <v>9.99211783201076</v>
      </c>
      <c r="E688" s="28" t="s">
        <v>15</v>
      </c>
      <c r="F688" s="28" t="s">
        <v>168</v>
      </c>
      <c r="G688" s="29" t="s">
        <v>47</v>
      </c>
      <c r="H688" s="30" t="str">
        <f>HYPERLINK("https://www.munzee.com/m/Dad35/10422/", "Dad35/10422")</f>
        <v>Dad35/10422</v>
      </c>
      <c r="J688" s="31">
        <f t="shared" si="2"/>
        <v>44</v>
      </c>
    </row>
    <row r="689">
      <c r="A689" s="28">
        <v>12.0</v>
      </c>
      <c r="B689" s="28">
        <v>12.0</v>
      </c>
      <c r="C689" s="28">
        <v>53.4959814391932</v>
      </c>
      <c r="D689" s="28">
        <v>9.99235852544234</v>
      </c>
      <c r="E689" s="28" t="s">
        <v>15</v>
      </c>
      <c r="F689" s="28" t="s">
        <v>168</v>
      </c>
      <c r="G689" s="29" t="s">
        <v>55</v>
      </c>
      <c r="H689" s="30" t="str">
        <f>HYPERLINK("https://www.munzee.com/m/boerse82/5486/", "boerse82/5486")</f>
        <v>boerse82/5486</v>
      </c>
      <c r="J689" s="31">
        <f t="shared" si="2"/>
        <v>51</v>
      </c>
    </row>
    <row r="690">
      <c r="A690" s="28">
        <v>12.0</v>
      </c>
      <c r="B690" s="28">
        <v>13.0</v>
      </c>
      <c r="C690" s="28">
        <v>53.4959689120178</v>
      </c>
      <c r="D690" s="28">
        <v>9.99259921880275</v>
      </c>
      <c r="E690" s="28" t="s">
        <v>15</v>
      </c>
      <c r="F690" s="28" t="s">
        <v>168</v>
      </c>
      <c r="G690" s="29" t="s">
        <v>280</v>
      </c>
      <c r="H690" s="30" t="str">
        <f>HYPERLINK("https://www.munzee.com/m/habu/9799/", "habu/9799")</f>
        <v>habu/9799</v>
      </c>
      <c r="J690" s="31">
        <f t="shared" si="2"/>
        <v>3</v>
      </c>
    </row>
    <row r="691">
      <c r="A691" s="28">
        <v>12.0</v>
      </c>
      <c r="B691" s="28">
        <v>14.0</v>
      </c>
      <c r="C691" s="28">
        <v>53.4959563848423</v>
      </c>
      <c r="D691" s="28">
        <v>9.9928399120921</v>
      </c>
      <c r="E691" s="28" t="s">
        <v>15</v>
      </c>
      <c r="F691" s="28" t="s">
        <v>168</v>
      </c>
      <c r="G691" s="29" t="s">
        <v>281</v>
      </c>
      <c r="H691" s="30" t="str">
        <f>HYPERLINK("https://www.munzee.com/m/mrsg9064/7004/", "mrsg9064/7004")</f>
        <v>mrsg9064/7004</v>
      </c>
      <c r="J691" s="31">
        <f t="shared" si="2"/>
        <v>3</v>
      </c>
    </row>
    <row r="692">
      <c r="A692" s="28">
        <v>12.0</v>
      </c>
      <c r="B692" s="28">
        <v>15.0</v>
      </c>
      <c r="C692" s="28">
        <v>53.4959438576668</v>
      </c>
      <c r="D692" s="28">
        <v>9.99308060531029</v>
      </c>
      <c r="E692" s="28" t="s">
        <v>15</v>
      </c>
      <c r="F692" s="28" t="s">
        <v>168</v>
      </c>
      <c r="G692" s="29" t="s">
        <v>55</v>
      </c>
      <c r="H692" s="30" t="str">
        <f>HYPERLINK("https://www.munzee.com/m/boerse82/5482/", "boerse82/5482")</f>
        <v>boerse82/5482</v>
      </c>
      <c r="J692" s="31">
        <f t="shared" si="2"/>
        <v>51</v>
      </c>
    </row>
    <row r="693">
      <c r="A693" s="28">
        <v>12.0</v>
      </c>
      <c r="B693" s="28">
        <v>16.0</v>
      </c>
      <c r="C693" s="28">
        <v>53.4959313304913</v>
      </c>
      <c r="D693" s="28">
        <v>9.99332129845743</v>
      </c>
      <c r="E693" s="28" t="s">
        <v>15</v>
      </c>
      <c r="F693" s="28" t="s">
        <v>168</v>
      </c>
      <c r="G693" s="29" t="s">
        <v>320</v>
      </c>
      <c r="H693" s="30" t="str">
        <f>HYPERLINK("https://www.munzee.com/m/janzattic/6212", "janzattic/6212")</f>
        <v>janzattic/6212</v>
      </c>
      <c r="J693" s="31">
        <f t="shared" si="2"/>
        <v>2</v>
      </c>
    </row>
    <row r="694">
      <c r="A694" s="28">
        <v>12.0</v>
      </c>
      <c r="B694" s="28">
        <v>17.0</v>
      </c>
      <c r="C694" s="28">
        <v>53.4959188033159</v>
      </c>
      <c r="D694" s="28">
        <v>9.99356199153351</v>
      </c>
      <c r="E694" s="28" t="s">
        <v>15</v>
      </c>
      <c r="F694" s="28" t="s">
        <v>168</v>
      </c>
      <c r="G694" s="29" t="s">
        <v>308</v>
      </c>
      <c r="H694" s="30" t="str">
        <f>HYPERLINK("https://www.munzee.com/m/munzeeprof/8431/", "munzeeprof/8431")</f>
        <v>munzeeprof/8431</v>
      </c>
      <c r="J694" s="31">
        <f t="shared" si="2"/>
        <v>4</v>
      </c>
    </row>
    <row r="695">
      <c r="A695" s="28">
        <v>12.0</v>
      </c>
      <c r="B695" s="28">
        <v>18.0</v>
      </c>
      <c r="C695" s="28">
        <v>53.4959062761404</v>
      </c>
      <c r="D695" s="28">
        <v>9.99380268453842</v>
      </c>
      <c r="E695" s="28" t="s">
        <v>15</v>
      </c>
      <c r="F695" s="28" t="s">
        <v>168</v>
      </c>
      <c r="G695" s="29" t="s">
        <v>55</v>
      </c>
      <c r="H695" s="30" t="str">
        <f>HYPERLINK("https://www.munzee.com/m/boerse82/5462/", "boerse82/5462")</f>
        <v>boerse82/5462</v>
      </c>
      <c r="J695" s="31">
        <f t="shared" si="2"/>
        <v>51</v>
      </c>
    </row>
    <row r="696">
      <c r="A696" s="28">
        <v>12.0</v>
      </c>
      <c r="B696" s="28">
        <v>19.0</v>
      </c>
      <c r="C696" s="28">
        <v>53.4958937489649</v>
      </c>
      <c r="D696" s="28">
        <v>9.99404337747228</v>
      </c>
      <c r="E696" s="28" t="s">
        <v>15</v>
      </c>
      <c r="F696" s="28" t="s">
        <v>168</v>
      </c>
      <c r="G696" s="29" t="s">
        <v>56</v>
      </c>
      <c r="H696" s="30" t="str">
        <f>HYPERLINK("https://www.munzee.com/m/Flattermaus/3476/", "Flattermaus/3476")</f>
        <v>Flattermaus/3476</v>
      </c>
      <c r="J696" s="31">
        <f t="shared" si="2"/>
        <v>55</v>
      </c>
    </row>
    <row r="697">
      <c r="A697" s="28">
        <v>12.0</v>
      </c>
      <c r="B697" s="28">
        <v>20.0</v>
      </c>
      <c r="C697" s="28">
        <v>53.4958812217894</v>
      </c>
      <c r="D697" s="28">
        <v>9.99428407033497</v>
      </c>
      <c r="E697" s="28" t="s">
        <v>15</v>
      </c>
      <c r="F697" s="28" t="s">
        <v>168</v>
      </c>
      <c r="G697" s="29" t="s">
        <v>234</v>
      </c>
      <c r="H697" s="30" t="str">
        <f>HYPERLINK("https://www.munzee.com/m/volki2000/1802/", "volki2000/1802")</f>
        <v>volki2000/1802</v>
      </c>
      <c r="J697" s="31">
        <f t="shared" si="2"/>
        <v>2</v>
      </c>
    </row>
    <row r="698">
      <c r="A698" s="28">
        <v>12.0</v>
      </c>
      <c r="B698" s="28">
        <v>21.0</v>
      </c>
      <c r="C698" s="28">
        <v>53.4958686946139</v>
      </c>
      <c r="D698" s="28">
        <v>9.9945247631266</v>
      </c>
      <c r="E698" s="28" t="s">
        <v>25</v>
      </c>
      <c r="F698" s="28" t="s">
        <v>14</v>
      </c>
      <c r="G698" s="29" t="s">
        <v>26</v>
      </c>
      <c r="H698" s="30" t="str">
        <f>HYPERLINK("https://www.munzee.com/m/Elli/6325/", "Elli/6325")</f>
        <v>Elli/6325</v>
      </c>
      <c r="J698" s="31">
        <f t="shared" si="2"/>
        <v>143</v>
      </c>
    </row>
    <row r="699">
      <c r="A699" s="28">
        <v>12.0</v>
      </c>
      <c r="B699" s="28">
        <v>22.0</v>
      </c>
      <c r="C699" s="28">
        <v>53.4958561674385</v>
      </c>
      <c r="D699" s="28">
        <v>9.99476545584707</v>
      </c>
      <c r="E699" s="28" t="s">
        <v>25</v>
      </c>
      <c r="F699" s="28" t="s">
        <v>14</v>
      </c>
      <c r="G699" s="29" t="s">
        <v>164</v>
      </c>
      <c r="H699" s="35" t="s">
        <v>321</v>
      </c>
      <c r="J699" s="31">
        <f t="shared" si="2"/>
        <v>133</v>
      </c>
    </row>
    <row r="700">
      <c r="A700" s="28">
        <v>12.0</v>
      </c>
      <c r="B700" s="28">
        <v>23.0</v>
      </c>
      <c r="C700" s="28">
        <v>53.495843640263</v>
      </c>
      <c r="D700" s="28">
        <v>9.99500614849648</v>
      </c>
      <c r="E700" s="28" t="s">
        <v>25</v>
      </c>
      <c r="F700" s="28" t="s">
        <v>14</v>
      </c>
      <c r="G700" s="29" t="s">
        <v>322</v>
      </c>
      <c r="H700" s="30" t="s">
        <v>323</v>
      </c>
      <c r="J700" s="31">
        <f t="shared" si="2"/>
        <v>2</v>
      </c>
    </row>
    <row r="701">
      <c r="A701" s="28">
        <v>12.0</v>
      </c>
      <c r="B701" s="28">
        <v>24.0</v>
      </c>
      <c r="C701" s="28">
        <v>53.4958311130875</v>
      </c>
      <c r="D701" s="28">
        <v>9.99524684107473</v>
      </c>
      <c r="E701" s="28" t="s">
        <v>25</v>
      </c>
      <c r="F701" s="28" t="s">
        <v>14</v>
      </c>
      <c r="G701" s="29" t="s">
        <v>26</v>
      </c>
      <c r="H701" s="30" t="str">
        <f>HYPERLINK("https://www.munzee.com/m/Elli/6286/", "Elli/6286")</f>
        <v>Elli/6286</v>
      </c>
      <c r="J701" s="31">
        <f t="shared" si="2"/>
        <v>143</v>
      </c>
    </row>
    <row r="702">
      <c r="A702" s="28">
        <v>12.0</v>
      </c>
      <c r="B702" s="28">
        <v>25.0</v>
      </c>
      <c r="C702" s="28">
        <v>53.495818585912</v>
      </c>
      <c r="D702" s="28">
        <v>9.99548753358192</v>
      </c>
      <c r="E702" s="28" t="s">
        <v>25</v>
      </c>
      <c r="F702" s="28" t="s">
        <v>14</v>
      </c>
      <c r="G702" s="29" t="s">
        <v>324</v>
      </c>
      <c r="H702" s="30" t="s">
        <v>325</v>
      </c>
      <c r="J702" s="31">
        <f t="shared" si="2"/>
        <v>2</v>
      </c>
    </row>
    <row r="703">
      <c r="A703" s="28">
        <v>12.0</v>
      </c>
      <c r="B703" s="28">
        <v>26.0</v>
      </c>
      <c r="C703" s="28">
        <v>53.4958060587366</v>
      </c>
      <c r="D703" s="28">
        <v>9.99572822601794</v>
      </c>
      <c r="E703" s="28" t="s">
        <v>25</v>
      </c>
      <c r="F703" s="28" t="s">
        <v>14</v>
      </c>
      <c r="G703" s="29" t="s">
        <v>326</v>
      </c>
      <c r="H703" s="30" t="s">
        <v>327</v>
      </c>
      <c r="J703" s="31">
        <f t="shared" si="2"/>
        <v>2</v>
      </c>
    </row>
    <row r="704">
      <c r="A704" s="28">
        <v>12.0</v>
      </c>
      <c r="B704" s="28">
        <v>27.0</v>
      </c>
      <c r="C704" s="28">
        <v>53.4957935315611</v>
      </c>
      <c r="D704" s="28">
        <v>9.99596891838291</v>
      </c>
      <c r="E704" s="28" t="s">
        <v>25</v>
      </c>
      <c r="F704" s="28" t="s">
        <v>14</v>
      </c>
      <c r="G704" s="29" t="s">
        <v>26</v>
      </c>
      <c r="H704" s="30" t="str">
        <f>HYPERLINK("https://www.munzee.com/m/Elli/6287/", "Elli/6287")</f>
        <v>Elli/6287</v>
      </c>
      <c r="J704" s="31">
        <f t="shared" si="2"/>
        <v>143</v>
      </c>
    </row>
    <row r="705">
      <c r="A705" s="28">
        <v>12.0</v>
      </c>
      <c r="B705" s="28">
        <v>28.0</v>
      </c>
      <c r="C705" s="28">
        <v>53.4957810043856</v>
      </c>
      <c r="D705" s="28">
        <v>9.99620961067671</v>
      </c>
      <c r="E705" s="28" t="s">
        <v>25</v>
      </c>
      <c r="F705" s="28" t="s">
        <v>14</v>
      </c>
      <c r="G705" s="29" t="s">
        <v>328</v>
      </c>
      <c r="H705" s="30" t="s">
        <v>329</v>
      </c>
      <c r="J705" s="31">
        <f t="shared" si="2"/>
        <v>2</v>
      </c>
    </row>
    <row r="706">
      <c r="A706" s="28">
        <v>12.0</v>
      </c>
      <c r="B706" s="28">
        <v>29.0</v>
      </c>
      <c r="C706" s="28">
        <v>53.4957684772101</v>
      </c>
      <c r="D706" s="28">
        <v>9.99645030289946</v>
      </c>
      <c r="E706" s="28" t="s">
        <v>25</v>
      </c>
      <c r="F706" s="28" t="s">
        <v>14</v>
      </c>
      <c r="G706" s="29" t="s">
        <v>272</v>
      </c>
      <c r="H706" s="30" t="s">
        <v>330</v>
      </c>
      <c r="J706" s="31">
        <f t="shared" si="2"/>
        <v>2</v>
      </c>
    </row>
    <row r="707">
      <c r="A707" s="28">
        <v>12.0</v>
      </c>
      <c r="B707" s="28">
        <v>30.0</v>
      </c>
      <c r="C707" s="28">
        <v>53.4957559500347</v>
      </c>
      <c r="D707" s="28">
        <v>9.99669099505104</v>
      </c>
      <c r="E707" s="28" t="s">
        <v>25</v>
      </c>
      <c r="F707" s="28" t="s">
        <v>14</v>
      </c>
      <c r="G707" s="29" t="s">
        <v>26</v>
      </c>
      <c r="H707" s="30" t="str">
        <f>HYPERLINK("https://www.munzee.com/m/Elli/6332/", "Elli/6332")</f>
        <v>Elli/6332</v>
      </c>
      <c r="J707" s="31">
        <f t="shared" si="2"/>
        <v>143</v>
      </c>
    </row>
    <row r="708">
      <c r="A708" s="28">
        <v>12.0</v>
      </c>
      <c r="B708" s="28">
        <v>31.0</v>
      </c>
      <c r="C708" s="28">
        <v>53.4957434228592</v>
      </c>
      <c r="D708" s="28">
        <v>9.99693168713156</v>
      </c>
      <c r="E708" s="28" t="s">
        <v>25</v>
      </c>
      <c r="F708" s="28" t="s">
        <v>14</v>
      </c>
      <c r="G708" s="29" t="s">
        <v>328</v>
      </c>
      <c r="H708" s="30" t="s">
        <v>331</v>
      </c>
      <c r="J708" s="31">
        <f t="shared" si="2"/>
        <v>2</v>
      </c>
    </row>
    <row r="709">
      <c r="A709" s="28">
        <v>12.0</v>
      </c>
      <c r="B709" s="28">
        <v>32.0</v>
      </c>
      <c r="C709" s="28">
        <v>53.4957308956837</v>
      </c>
      <c r="D709" s="28">
        <v>9.99717237914092</v>
      </c>
      <c r="E709" s="28" t="s">
        <v>25</v>
      </c>
      <c r="F709" s="28" t="s">
        <v>14</v>
      </c>
      <c r="G709" s="29" t="s">
        <v>294</v>
      </c>
      <c r="H709" s="30" t="s">
        <v>332</v>
      </c>
      <c r="J709" s="31">
        <f t="shared" si="2"/>
        <v>2</v>
      </c>
    </row>
    <row r="710">
      <c r="A710" s="28">
        <v>12.0</v>
      </c>
      <c r="B710" s="28">
        <v>33.0</v>
      </c>
      <c r="C710" s="28">
        <v>53.4957183685082</v>
      </c>
      <c r="D710" s="28">
        <v>9.99741307107922</v>
      </c>
      <c r="E710" s="28" t="s">
        <v>25</v>
      </c>
      <c r="F710" s="28" t="s">
        <v>14</v>
      </c>
      <c r="G710" s="29" t="s">
        <v>26</v>
      </c>
      <c r="H710" s="30" t="str">
        <f>HYPERLINK("https://www.munzee.com/m/Elli/6329/", "Elli/6329")</f>
        <v>Elli/6329</v>
      </c>
      <c r="J710" s="31">
        <f t="shared" si="2"/>
        <v>143</v>
      </c>
    </row>
    <row r="711">
      <c r="A711" s="28">
        <v>12.0</v>
      </c>
      <c r="B711" s="28">
        <v>34.0</v>
      </c>
      <c r="C711" s="28">
        <v>53.4957058413327</v>
      </c>
      <c r="D711" s="28">
        <v>9.99765376294647</v>
      </c>
      <c r="E711" s="28" t="s">
        <v>25</v>
      </c>
      <c r="F711" s="28" t="s">
        <v>14</v>
      </c>
      <c r="G711" s="29" t="s">
        <v>146</v>
      </c>
      <c r="H711" s="30" t="s">
        <v>333</v>
      </c>
      <c r="J711" s="31">
        <f t="shared" si="2"/>
        <v>4</v>
      </c>
    </row>
    <row r="712">
      <c r="A712" s="28">
        <v>12.0</v>
      </c>
      <c r="B712" s="28">
        <v>35.0</v>
      </c>
      <c r="C712" s="28">
        <v>53.4956933141573</v>
      </c>
      <c r="D712" s="28">
        <v>9.99789445474255</v>
      </c>
      <c r="E712" s="28" t="s">
        <v>25</v>
      </c>
      <c r="F712" s="28" t="s">
        <v>14</v>
      </c>
      <c r="G712" s="29" t="s">
        <v>322</v>
      </c>
      <c r="H712" s="30" t="s">
        <v>334</v>
      </c>
      <c r="J712" s="31">
        <f t="shared" si="2"/>
        <v>2</v>
      </c>
    </row>
    <row r="713">
      <c r="A713" s="28">
        <v>12.0</v>
      </c>
      <c r="B713" s="28">
        <v>36.0</v>
      </c>
      <c r="C713" s="28">
        <v>53.4956807869818</v>
      </c>
      <c r="D713" s="28">
        <v>9.99813514646757</v>
      </c>
      <c r="E713" s="28" t="s">
        <v>25</v>
      </c>
      <c r="F713" s="28" t="s">
        <v>14</v>
      </c>
      <c r="G713" s="29" t="s">
        <v>26</v>
      </c>
      <c r="H713" s="30" t="str">
        <f>HYPERLINK("https://www.munzee.com/m/Elli/6331/", "Elli/6331")</f>
        <v>Elli/6331</v>
      </c>
      <c r="J713" s="31">
        <f t="shared" si="2"/>
        <v>143</v>
      </c>
    </row>
    <row r="714">
      <c r="A714" s="28">
        <v>12.0</v>
      </c>
      <c r="B714" s="28">
        <v>37.0</v>
      </c>
      <c r="C714" s="28">
        <v>53.4956682598063</v>
      </c>
      <c r="D714" s="28">
        <v>9.99837583812143</v>
      </c>
      <c r="E714" s="28" t="s">
        <v>25</v>
      </c>
      <c r="F714" s="28" t="s">
        <v>14</v>
      </c>
      <c r="G714" s="29" t="s">
        <v>324</v>
      </c>
      <c r="H714" s="30" t="s">
        <v>335</v>
      </c>
      <c r="J714" s="31">
        <f t="shared" si="2"/>
        <v>2</v>
      </c>
    </row>
    <row r="715">
      <c r="A715" s="28">
        <v>12.0</v>
      </c>
      <c r="B715" s="28">
        <v>38.0</v>
      </c>
      <c r="C715" s="28">
        <v>53.4956557326308</v>
      </c>
      <c r="D715" s="28">
        <v>9.99861652970423</v>
      </c>
      <c r="E715" s="28" t="s">
        <v>25</v>
      </c>
      <c r="F715" s="28" t="s">
        <v>14</v>
      </c>
      <c r="G715" s="29" t="s">
        <v>298</v>
      </c>
      <c r="H715" s="30" t="s">
        <v>336</v>
      </c>
      <c r="J715" s="31">
        <f t="shared" si="2"/>
        <v>3</v>
      </c>
    </row>
    <row r="716">
      <c r="A716" s="28">
        <v>12.0</v>
      </c>
      <c r="B716" s="28">
        <v>39.0</v>
      </c>
      <c r="C716" s="28">
        <v>53.4956432054554</v>
      </c>
      <c r="D716" s="28">
        <v>9.99885722121587</v>
      </c>
      <c r="E716" s="28" t="s">
        <v>15</v>
      </c>
      <c r="F716" s="28" t="s">
        <v>168</v>
      </c>
      <c r="G716" s="29" t="s">
        <v>56</v>
      </c>
      <c r="H716" s="30" t="str">
        <f>HYPERLINK("https://www.munzee.com/m/Flattermaus/3472/", "Flattermaus/3472")</f>
        <v>Flattermaus/3472</v>
      </c>
      <c r="J716" s="31">
        <f t="shared" si="2"/>
        <v>55</v>
      </c>
    </row>
    <row r="717">
      <c r="A717" s="28">
        <v>12.0</v>
      </c>
      <c r="B717" s="28">
        <v>40.0</v>
      </c>
      <c r="C717" s="28">
        <v>53.4956306782799</v>
      </c>
      <c r="D717" s="28">
        <v>9.99909791265645</v>
      </c>
      <c r="E717" s="28" t="s">
        <v>15</v>
      </c>
      <c r="F717" s="28" t="s">
        <v>168</v>
      </c>
      <c r="G717" s="29" t="s">
        <v>55</v>
      </c>
      <c r="H717" s="30" t="str">
        <f>HYPERLINK("https://www.munzee.com/m/boerse82/5461/", "boerse82/5461")</f>
        <v>boerse82/5461</v>
      </c>
      <c r="J717" s="31">
        <f t="shared" si="2"/>
        <v>51</v>
      </c>
    </row>
    <row r="718">
      <c r="A718" s="28">
        <v>12.0</v>
      </c>
      <c r="B718" s="28">
        <v>41.0</v>
      </c>
      <c r="C718" s="28">
        <v>53.4956181511044</v>
      </c>
      <c r="D718" s="28">
        <v>9.99933860402598</v>
      </c>
      <c r="E718" s="28" t="s">
        <v>15</v>
      </c>
      <c r="F718" s="28" t="s">
        <v>168</v>
      </c>
      <c r="G718" s="29" t="s">
        <v>337</v>
      </c>
      <c r="H718" s="45" t="str">
        <f>HYPERLINK("https://www.munzee.com/m/Hummelchen/1895/","https://www.munzee.com/m/Hummelchen/1895/")</f>
        <v>https://www.munzee.com/m/Hummelchen/1895/</v>
      </c>
      <c r="J718" s="31">
        <f t="shared" si="2"/>
        <v>1</v>
      </c>
    </row>
    <row r="719">
      <c r="A719" s="28">
        <v>12.0</v>
      </c>
      <c r="B719" s="28">
        <v>42.0</v>
      </c>
      <c r="C719" s="28">
        <v>53.4956056239289</v>
      </c>
      <c r="D719" s="28">
        <v>9.99957929532433</v>
      </c>
      <c r="E719" s="28" t="s">
        <v>15</v>
      </c>
      <c r="F719" s="28" t="s">
        <v>168</v>
      </c>
      <c r="G719" s="29" t="s">
        <v>56</v>
      </c>
      <c r="H719" s="30" t="str">
        <f>HYPERLINK("https://www.munzee.com/m/Flattermaus/3467/", "Flattermaus/3467")</f>
        <v>Flattermaus/3467</v>
      </c>
      <c r="J719" s="31">
        <f t="shared" si="2"/>
        <v>55</v>
      </c>
    </row>
    <row r="720">
      <c r="A720" s="28">
        <v>12.0</v>
      </c>
      <c r="B720" s="28">
        <v>43.0</v>
      </c>
      <c r="C720" s="28">
        <v>53.4955930967534</v>
      </c>
      <c r="D720" s="28">
        <v>9.99981998655152</v>
      </c>
      <c r="E720" s="28" t="s">
        <v>15</v>
      </c>
      <c r="F720" s="28" t="s">
        <v>168</v>
      </c>
      <c r="G720" s="29" t="s">
        <v>55</v>
      </c>
      <c r="H720" s="30" t="str">
        <f>HYPERLINK("https://www.munzee.com/m/boerse82/5455/", "boerse82/5455")</f>
        <v>boerse82/5455</v>
      </c>
      <c r="J720" s="31">
        <f t="shared" si="2"/>
        <v>51</v>
      </c>
    </row>
    <row r="721">
      <c r="A721" s="28">
        <v>12.0</v>
      </c>
      <c r="B721" s="28">
        <v>44.0</v>
      </c>
      <c r="C721" s="28">
        <v>53.495580569578</v>
      </c>
      <c r="D721" s="28">
        <v>10.0000606777076</v>
      </c>
      <c r="E721" s="28" t="s">
        <v>15</v>
      </c>
      <c r="F721" s="28" t="s">
        <v>168</v>
      </c>
      <c r="G721" s="29" t="s">
        <v>338</v>
      </c>
      <c r="H721" s="30" t="str">
        <f>HYPERLINK("https://www.munzee.com/m/Team-MTB-OC/5513/", "Team-MTB-OC/5513")</f>
        <v>Team-MTB-OC/5513</v>
      </c>
      <c r="J721" s="31">
        <f t="shared" si="2"/>
        <v>9</v>
      </c>
    </row>
    <row r="722">
      <c r="A722" s="28">
        <v>12.0</v>
      </c>
      <c r="B722" s="28">
        <v>45.0</v>
      </c>
      <c r="C722" s="28">
        <v>53.4955680424025</v>
      </c>
      <c r="D722" s="28">
        <v>10.0003013687926</v>
      </c>
      <c r="E722" s="28" t="s">
        <v>15</v>
      </c>
      <c r="F722" s="28" t="s">
        <v>168</v>
      </c>
      <c r="G722" s="29" t="s">
        <v>339</v>
      </c>
      <c r="H722" s="30" t="str">
        <f>HYPERLINK("https://www.munzee.com/m/PeeBee/457/", "PeeBee/457")</f>
        <v>PeeBee/457</v>
      </c>
      <c r="J722" s="31">
        <f t="shared" si="2"/>
        <v>1</v>
      </c>
    </row>
    <row r="723">
      <c r="A723" s="28">
        <v>12.0</v>
      </c>
      <c r="B723" s="28">
        <v>46.0</v>
      </c>
      <c r="C723" s="28">
        <v>53.495555515227</v>
      </c>
      <c r="D723" s="28">
        <v>10.0005420598065</v>
      </c>
      <c r="E723" s="28" t="s">
        <v>15</v>
      </c>
      <c r="F723" s="28" t="s">
        <v>168</v>
      </c>
      <c r="G723" s="29" t="s">
        <v>316</v>
      </c>
      <c r="H723" s="30" t="str">
        <f>HYPERLINK("https://www.munzee.com/m/Gamsci/5070/", "Gamsci/5070")</f>
        <v>Gamsci/5070</v>
      </c>
      <c r="J723" s="31">
        <f t="shared" si="2"/>
        <v>10</v>
      </c>
    </row>
    <row r="724">
      <c r="A724" s="28">
        <v>12.0</v>
      </c>
      <c r="B724" s="28">
        <v>47.0</v>
      </c>
      <c r="C724" s="28">
        <v>53.4955429880516</v>
      </c>
      <c r="D724" s="28">
        <v>10.0007827507492</v>
      </c>
      <c r="E724" s="28" t="s">
        <v>15</v>
      </c>
      <c r="F724" s="28" t="s">
        <v>168</v>
      </c>
      <c r="G724" s="29" t="s">
        <v>338</v>
      </c>
      <c r="H724" s="30" t="str">
        <f>HYPERLINK("https://www.munzee.com/m/Team-MTB-OC/5509/", "Team-MTB-OC/5509")</f>
        <v>Team-MTB-OC/5509</v>
      </c>
      <c r="J724" s="31">
        <f t="shared" si="2"/>
        <v>9</v>
      </c>
    </row>
    <row r="725">
      <c r="A725" s="28">
        <v>12.0</v>
      </c>
      <c r="B725" s="28">
        <v>48.0</v>
      </c>
      <c r="C725" s="28">
        <v>53.4955304608761</v>
      </c>
      <c r="D725" s="28">
        <v>10.0010234416209</v>
      </c>
      <c r="E725" s="28" t="s">
        <v>15</v>
      </c>
      <c r="F725" s="28" t="s">
        <v>168</v>
      </c>
      <c r="G725" s="29" t="s">
        <v>56</v>
      </c>
      <c r="H725" s="30" t="str">
        <f>HYPERLINK("https://www.munzee.com/m/Flattermaus/3452/", "Flattermaus/3452")</f>
        <v>Flattermaus/3452</v>
      </c>
      <c r="J725" s="31">
        <f t="shared" si="2"/>
        <v>55</v>
      </c>
    </row>
    <row r="726">
      <c r="A726" s="28">
        <v>12.0</v>
      </c>
      <c r="B726" s="28">
        <v>49.0</v>
      </c>
      <c r="C726" s="28">
        <v>53.4955179337006</v>
      </c>
      <c r="D726" s="28">
        <v>10.0012641324216</v>
      </c>
      <c r="E726" s="28" t="s">
        <v>15</v>
      </c>
      <c r="F726" s="28" t="s">
        <v>168</v>
      </c>
      <c r="G726" s="29" t="s">
        <v>179</v>
      </c>
      <c r="H726" s="30" t="str">
        <f>HYPERLINK("https://www.munzee.com/m/123xilef/4640/", "123xilef/4640")</f>
        <v>123xilef/4640</v>
      </c>
      <c r="J726" s="31">
        <f t="shared" si="2"/>
        <v>8</v>
      </c>
    </row>
    <row r="727">
      <c r="A727" s="28">
        <v>12.0</v>
      </c>
      <c r="B727" s="28">
        <v>50.0</v>
      </c>
      <c r="C727" s="28">
        <v>53.4955054065252</v>
      </c>
      <c r="D727" s="28">
        <v>10.001504823151</v>
      </c>
      <c r="E727" s="28" t="s">
        <v>15</v>
      </c>
      <c r="F727" s="28" t="s">
        <v>168</v>
      </c>
      <c r="G727" s="29" t="s">
        <v>338</v>
      </c>
      <c r="H727" s="30" t="str">
        <f>HYPERLINK("https://www.munzee.com/m/Team-MTB-OC/5507/", "Team-MTB-OC/5507")</f>
        <v>Team-MTB-OC/5507</v>
      </c>
      <c r="J727" s="31">
        <f t="shared" si="2"/>
        <v>9</v>
      </c>
    </row>
    <row r="728">
      <c r="A728" s="28">
        <v>12.0</v>
      </c>
      <c r="B728" s="28">
        <v>51.0</v>
      </c>
      <c r="C728" s="28">
        <v>53.4954928793497</v>
      </c>
      <c r="D728" s="28">
        <v>10.0017455138095</v>
      </c>
      <c r="E728" s="28" t="s">
        <v>15</v>
      </c>
      <c r="F728" s="28" t="s">
        <v>168</v>
      </c>
      <c r="G728" s="29" t="s">
        <v>316</v>
      </c>
      <c r="H728" s="30" t="str">
        <f>HYPERLINK("https://www.munzee.com/m/Gamsci/5112/", "Gamsci/5112")</f>
        <v>Gamsci/5112</v>
      </c>
      <c r="J728" s="31">
        <f t="shared" si="2"/>
        <v>10</v>
      </c>
    </row>
    <row r="729">
      <c r="A729" s="28">
        <v>12.0</v>
      </c>
      <c r="B729" s="28">
        <v>52.0</v>
      </c>
      <c r="C729" s="28">
        <v>53.4954803521742</v>
      </c>
      <c r="D729" s="28">
        <v>10.0019862043967</v>
      </c>
      <c r="E729" s="28" t="s">
        <v>15</v>
      </c>
      <c r="F729" s="28" t="s">
        <v>168</v>
      </c>
      <c r="G729" s="29" t="s">
        <v>179</v>
      </c>
      <c r="H729" s="30" t="str">
        <f>HYPERLINK("https://www.munzee.com/m/123xilef/4639/", "123xilef/4639")</f>
        <v>123xilef/4639</v>
      </c>
      <c r="J729" s="31">
        <f t="shared" si="2"/>
        <v>8</v>
      </c>
    </row>
    <row r="730">
      <c r="A730" s="28">
        <v>12.0</v>
      </c>
      <c r="B730" s="28">
        <v>53.0</v>
      </c>
      <c r="C730" s="28">
        <v>53.4954678249987</v>
      </c>
      <c r="D730" s="28">
        <v>10.0022268949129</v>
      </c>
      <c r="E730" s="28" t="s">
        <v>15</v>
      </c>
      <c r="F730" s="28" t="s">
        <v>168</v>
      </c>
      <c r="G730" s="29" t="s">
        <v>338</v>
      </c>
      <c r="H730" s="30" t="str">
        <f>HYPERLINK("https://www.munzee.com/m/Team-MTB-OC/5504/", "Team-MTB-OC/5504")</f>
        <v>Team-MTB-OC/5504</v>
      </c>
      <c r="J730" s="31">
        <f t="shared" si="2"/>
        <v>9</v>
      </c>
    </row>
    <row r="731">
      <c r="A731" s="28">
        <v>12.0</v>
      </c>
      <c r="B731" s="28">
        <v>54.0</v>
      </c>
      <c r="C731" s="28">
        <v>53.4954552978233</v>
      </c>
      <c r="D731" s="28">
        <v>10.002467585358</v>
      </c>
      <c r="E731" s="28" t="s">
        <v>15</v>
      </c>
      <c r="F731" s="28" t="s">
        <v>168</v>
      </c>
      <c r="G731" s="29" t="s">
        <v>56</v>
      </c>
      <c r="H731" s="30" t="str">
        <f>HYPERLINK("https://www.munzee.com/m/Flattermaus/3442/", "Flattermaus/3442")</f>
        <v>Flattermaus/3442</v>
      </c>
      <c r="J731" s="31">
        <f t="shared" si="2"/>
        <v>55</v>
      </c>
    </row>
    <row r="732">
      <c r="A732" s="28">
        <v>12.0</v>
      </c>
      <c r="B732" s="28">
        <v>55.0</v>
      </c>
      <c r="C732" s="28">
        <v>53.4954427706478</v>
      </c>
      <c r="D732" s="28">
        <v>10.002708275732</v>
      </c>
      <c r="E732" s="28" t="s">
        <v>15</v>
      </c>
      <c r="F732" s="28" t="s">
        <v>168</v>
      </c>
      <c r="G732" s="29" t="s">
        <v>179</v>
      </c>
      <c r="H732" s="30" t="str">
        <f>HYPERLINK("https://www.munzee.com/m/123xilef/4630/", "123xilef/4630")</f>
        <v>123xilef/4630</v>
      </c>
      <c r="J732" s="31">
        <f t="shared" si="2"/>
        <v>8</v>
      </c>
    </row>
    <row r="733">
      <c r="A733" s="28">
        <v>12.0</v>
      </c>
      <c r="B733" s="28">
        <v>56.0</v>
      </c>
      <c r="C733" s="28">
        <v>53.4954302434723</v>
      </c>
      <c r="D733" s="28">
        <v>10.0029489660348</v>
      </c>
      <c r="E733" s="28" t="s">
        <v>15</v>
      </c>
      <c r="F733" s="28" t="s">
        <v>168</v>
      </c>
      <c r="G733" s="29" t="s">
        <v>338</v>
      </c>
      <c r="H733" s="30" t="str">
        <f>HYPERLINK("https://www.munzee.com/m/Team-MTB-OC/5503/", "Team-MTB-OC/5503")</f>
        <v>Team-MTB-OC/5503</v>
      </c>
      <c r="J733" s="31">
        <f t="shared" si="2"/>
        <v>9</v>
      </c>
    </row>
    <row r="734">
      <c r="A734" s="28">
        <v>12.0</v>
      </c>
      <c r="B734" s="28">
        <v>57.0</v>
      </c>
      <c r="C734" s="28">
        <v>53.4954177162968</v>
      </c>
      <c r="D734" s="28">
        <v>10.0031896562666</v>
      </c>
      <c r="E734" s="28" t="s">
        <v>15</v>
      </c>
      <c r="F734" s="28" t="s">
        <v>168</v>
      </c>
      <c r="G734" s="29" t="s">
        <v>307</v>
      </c>
      <c r="H734" s="30" t="str">
        <f>HYPERLINK("https://www.munzee.com/m/easterb/1364/", "easterb/1364")</f>
        <v>easterb/1364</v>
      </c>
      <c r="J734" s="31">
        <f t="shared" si="2"/>
        <v>3</v>
      </c>
    </row>
    <row r="735">
      <c r="A735" s="28">
        <v>12.0</v>
      </c>
      <c r="B735" s="28">
        <v>58.0</v>
      </c>
      <c r="C735" s="28">
        <v>53.4954051891213</v>
      </c>
      <c r="D735" s="28">
        <v>10.0034303464271</v>
      </c>
      <c r="E735" s="28" t="s">
        <v>15</v>
      </c>
      <c r="F735" s="28" t="s">
        <v>168</v>
      </c>
      <c r="G735" s="29" t="s">
        <v>340</v>
      </c>
      <c r="H735" s="30" t="str">
        <f>HYPERLINK("https://www.munzee.com/m/iScreamBIue/480/", "iScreamBIue/480")</f>
        <v>iScreamBIue/480</v>
      </c>
      <c r="J735" s="31">
        <f t="shared" si="2"/>
        <v>1</v>
      </c>
    </row>
    <row r="736">
      <c r="A736" s="28">
        <v>12.0</v>
      </c>
      <c r="B736" s="28">
        <v>59.0</v>
      </c>
      <c r="C736" s="28">
        <v>53.4953926619459</v>
      </c>
      <c r="D736" s="28">
        <v>10.0036710365167</v>
      </c>
      <c r="E736" s="28" t="s">
        <v>15</v>
      </c>
      <c r="F736" s="28" t="s">
        <v>168</v>
      </c>
      <c r="G736" s="29" t="s">
        <v>189</v>
      </c>
      <c r="H736" s="30" t="str">
        <f>HYPERLINK("https://www.munzee.com/m/kwd/5712", "kwd/5712")</f>
        <v>kwd/5712</v>
      </c>
      <c r="J736" s="31">
        <f t="shared" si="2"/>
        <v>40</v>
      </c>
    </row>
    <row r="737">
      <c r="A737" s="28">
        <v>12.0</v>
      </c>
      <c r="B737" s="28">
        <v>60.0</v>
      </c>
      <c r="C737" s="28">
        <v>53.4953801347704</v>
      </c>
      <c r="D737" s="28">
        <v>10.0039117265351</v>
      </c>
      <c r="E737" s="28" t="s">
        <v>25</v>
      </c>
      <c r="F737" s="28" t="s">
        <v>14</v>
      </c>
      <c r="G737" s="29" t="s">
        <v>26</v>
      </c>
      <c r="H737" s="30" t="str">
        <f>HYPERLINK("https://www.munzee.com/m/Elli/6330/", "Elli/6330")</f>
        <v>Elli/6330</v>
      </c>
      <c r="J737" s="31">
        <f t="shared" si="2"/>
        <v>143</v>
      </c>
    </row>
    <row r="738">
      <c r="A738" s="28">
        <v>13.0</v>
      </c>
      <c r="B738" s="28">
        <v>1.0</v>
      </c>
      <c r="C738" s="28">
        <v>53.4959760546139</v>
      </c>
      <c r="D738" s="28">
        <v>9.98968983584018</v>
      </c>
      <c r="E738" s="28" t="s">
        <v>25</v>
      </c>
      <c r="F738" s="28" t="s">
        <v>14</v>
      </c>
      <c r="G738" s="29" t="s">
        <v>27</v>
      </c>
      <c r="H738" s="30" t="str">
        <f>HYPERLINK("https://www.munzee.com/m/DarkHaribo/12198/", "DarkHaribo/12198")</f>
        <v>DarkHaribo/12198</v>
      </c>
      <c r="J738" s="31">
        <f t="shared" si="2"/>
        <v>103</v>
      </c>
    </row>
    <row r="739">
      <c r="A739" s="28">
        <v>13.0</v>
      </c>
      <c r="B739" s="28">
        <v>2.0</v>
      </c>
      <c r="C739" s="28">
        <v>53.4959635274384</v>
      </c>
      <c r="D739" s="28">
        <v>9.98993052917012</v>
      </c>
      <c r="E739" s="28" t="s">
        <v>15</v>
      </c>
      <c r="F739" s="28" t="s">
        <v>168</v>
      </c>
      <c r="G739" s="29" t="s">
        <v>55</v>
      </c>
      <c r="H739" s="30" t="str">
        <f>HYPERLINK("https://www.munzee.com/m/boerse82/5452/", "boerse82/5452")</f>
        <v>boerse82/5452</v>
      </c>
      <c r="J739" s="31">
        <f t="shared" si="2"/>
        <v>51</v>
      </c>
    </row>
    <row r="740">
      <c r="A740" s="28">
        <v>13.0</v>
      </c>
      <c r="B740" s="28">
        <v>3.0</v>
      </c>
      <c r="C740" s="28">
        <v>53.495951000263</v>
      </c>
      <c r="D740" s="28">
        <v>9.99017122242889</v>
      </c>
      <c r="E740" s="28" t="s">
        <v>15</v>
      </c>
      <c r="F740" s="28" t="s">
        <v>168</v>
      </c>
      <c r="G740" s="29" t="s">
        <v>341</v>
      </c>
      <c r="H740" s="30" t="str">
        <f>HYPERLINK("https://www.munzee.com/m/c-bn/17500/", "c-bn/17500")</f>
        <v>c-bn/17500</v>
      </c>
      <c r="J740" s="31">
        <f t="shared" si="2"/>
        <v>10</v>
      </c>
    </row>
    <row r="741">
      <c r="A741" s="28">
        <v>13.0</v>
      </c>
      <c r="B741" s="28">
        <v>4.0</v>
      </c>
      <c r="C741" s="28">
        <v>53.4959384730875</v>
      </c>
      <c r="D741" s="28">
        <v>9.99041191561661</v>
      </c>
      <c r="E741" s="28" t="s">
        <v>15</v>
      </c>
      <c r="F741" s="28" t="s">
        <v>168</v>
      </c>
      <c r="G741" s="29" t="s">
        <v>260</v>
      </c>
      <c r="H741" s="30" t="str">
        <f>HYPERLINK("https://www.munzee.com/m/MetteS/6143/", "MetteS/6143")</f>
        <v>MetteS/6143</v>
      </c>
      <c r="J741" s="31">
        <f t="shared" si="2"/>
        <v>10</v>
      </c>
    </row>
    <row r="742">
      <c r="A742" s="28">
        <v>13.0</v>
      </c>
      <c r="B742" s="28">
        <v>5.0</v>
      </c>
      <c r="C742" s="28">
        <v>53.495925945912</v>
      </c>
      <c r="D742" s="28">
        <v>9.99065260873317</v>
      </c>
      <c r="E742" s="28" t="s">
        <v>15</v>
      </c>
      <c r="F742" s="28" t="s">
        <v>168</v>
      </c>
      <c r="G742" s="29" t="s">
        <v>261</v>
      </c>
      <c r="H742" s="30" t="str">
        <f>HYPERLINK("https://www.munzee.com/m/BoMS/7580/", "BoMS/7580")</f>
        <v>BoMS/7580</v>
      </c>
      <c r="J742" s="31">
        <f t="shared" si="2"/>
        <v>10</v>
      </c>
    </row>
    <row r="743">
      <c r="A743" s="28">
        <v>13.0</v>
      </c>
      <c r="B743" s="28">
        <v>6.0</v>
      </c>
      <c r="C743" s="28">
        <v>53.4959134187365</v>
      </c>
      <c r="D743" s="28">
        <v>9.99089330177867</v>
      </c>
      <c r="E743" s="28" t="s">
        <v>15</v>
      </c>
      <c r="F743" s="28" t="s">
        <v>168</v>
      </c>
      <c r="G743" s="29" t="s">
        <v>341</v>
      </c>
      <c r="H743" s="30" t="str">
        <f>HYPERLINK("https://www.munzee.com/m/c-bn/17501/", "c-bn/17501")</f>
        <v>c-bn/17501</v>
      </c>
      <c r="J743" s="31">
        <f t="shared" si="2"/>
        <v>10</v>
      </c>
    </row>
    <row r="744">
      <c r="A744" s="28">
        <v>13.0</v>
      </c>
      <c r="B744" s="28">
        <v>7.0</v>
      </c>
      <c r="C744" s="28">
        <v>53.495900891561</v>
      </c>
      <c r="D744" s="28">
        <v>9.991133994753</v>
      </c>
      <c r="E744" s="28" t="s">
        <v>25</v>
      </c>
      <c r="F744" s="28" t="s">
        <v>14</v>
      </c>
      <c r="G744" s="29" t="s">
        <v>94</v>
      </c>
      <c r="H744" s="33" t="s">
        <v>342</v>
      </c>
      <c r="J744" s="31">
        <f t="shared" si="2"/>
        <v>42</v>
      </c>
    </row>
    <row r="745">
      <c r="A745" s="28">
        <v>13.0</v>
      </c>
      <c r="B745" s="28">
        <v>8.0</v>
      </c>
      <c r="C745" s="28">
        <v>53.4958883643856</v>
      </c>
      <c r="D745" s="28">
        <v>9.99137468765627</v>
      </c>
      <c r="E745" s="28" t="s">
        <v>25</v>
      </c>
      <c r="F745" s="28" t="s">
        <v>14</v>
      </c>
      <c r="G745" s="29" t="s">
        <v>30</v>
      </c>
      <c r="H745" s="33" t="s">
        <v>343</v>
      </c>
      <c r="J745" s="31">
        <f t="shared" si="2"/>
        <v>62</v>
      </c>
    </row>
    <row r="746">
      <c r="A746" s="28">
        <v>13.0</v>
      </c>
      <c r="B746" s="28">
        <v>9.0</v>
      </c>
      <c r="C746" s="28">
        <v>53.4958758372101</v>
      </c>
      <c r="D746" s="28">
        <v>9.99161538048838</v>
      </c>
      <c r="E746" s="28" t="s">
        <v>25</v>
      </c>
      <c r="F746" s="28" t="s">
        <v>14</v>
      </c>
      <c r="G746" s="29" t="s">
        <v>164</v>
      </c>
      <c r="H746" s="35" t="s">
        <v>344</v>
      </c>
      <c r="J746" s="31">
        <f t="shared" si="2"/>
        <v>133</v>
      </c>
    </row>
    <row r="747">
      <c r="A747" s="28">
        <v>13.0</v>
      </c>
      <c r="B747" s="28">
        <v>10.0</v>
      </c>
      <c r="C747" s="28">
        <v>53.4958633100346</v>
      </c>
      <c r="D747" s="28">
        <v>9.99185607324943</v>
      </c>
      <c r="E747" s="28" t="s">
        <v>25</v>
      </c>
      <c r="F747" s="28" t="s">
        <v>14</v>
      </c>
      <c r="G747" s="29" t="s">
        <v>66</v>
      </c>
      <c r="H747" s="30" t="s">
        <v>345</v>
      </c>
      <c r="J747" s="31">
        <f t="shared" si="2"/>
        <v>6</v>
      </c>
    </row>
    <row r="748">
      <c r="A748" s="28">
        <v>13.0</v>
      </c>
      <c r="B748" s="28">
        <v>11.0</v>
      </c>
      <c r="C748" s="28">
        <v>53.4958507828591</v>
      </c>
      <c r="D748" s="28">
        <v>9.99209676593932</v>
      </c>
      <c r="E748" s="28" t="s">
        <v>15</v>
      </c>
      <c r="F748" s="28" t="s">
        <v>168</v>
      </c>
      <c r="G748" s="29" t="s">
        <v>341</v>
      </c>
      <c r="H748" s="30" t="str">
        <f>HYPERLINK("https://www.munzee.com/m/c-bn/17509/", "c-bn/17509")</f>
        <v>c-bn/17509</v>
      </c>
      <c r="J748" s="31">
        <f t="shared" si="2"/>
        <v>10</v>
      </c>
    </row>
    <row r="749">
      <c r="A749" s="28">
        <v>13.0</v>
      </c>
      <c r="B749" s="28">
        <v>12.0</v>
      </c>
      <c r="C749" s="28">
        <v>53.4958382556837</v>
      </c>
      <c r="D749" s="28">
        <v>9.99233745855815</v>
      </c>
      <c r="E749" s="28" t="s">
        <v>15</v>
      </c>
      <c r="F749" s="28" t="s">
        <v>168</v>
      </c>
      <c r="G749" s="29" t="s">
        <v>316</v>
      </c>
      <c r="H749" s="30" t="str">
        <f>HYPERLINK("https://www.munzee.com/m/Gamsci/5113/", "Gamsci/5113")</f>
        <v>Gamsci/5113</v>
      </c>
      <c r="J749" s="31">
        <f t="shared" si="2"/>
        <v>10</v>
      </c>
    </row>
    <row r="750">
      <c r="A750" s="28">
        <v>13.0</v>
      </c>
      <c r="B750" s="28">
        <v>13.0</v>
      </c>
      <c r="C750" s="28">
        <v>53.4958257285082</v>
      </c>
      <c r="D750" s="28">
        <v>9.99257815110581</v>
      </c>
      <c r="E750" s="28" t="s">
        <v>15</v>
      </c>
      <c r="F750" s="28" t="s">
        <v>168</v>
      </c>
      <c r="G750" s="29" t="s">
        <v>89</v>
      </c>
      <c r="H750" s="30" t="str">
        <f>HYPERLINK("https://www.munzee.com/m/KaraReke/1819/", "KaraReke/1819")</f>
        <v>KaraReke/1819</v>
      </c>
      <c r="J750" s="31">
        <f t="shared" si="2"/>
        <v>4</v>
      </c>
    </row>
    <row r="751">
      <c r="A751" s="28">
        <v>13.0</v>
      </c>
      <c r="B751" s="28">
        <v>14.0</v>
      </c>
      <c r="C751" s="28">
        <v>53.4958132013327</v>
      </c>
      <c r="D751" s="28">
        <v>9.99281884358242</v>
      </c>
      <c r="E751" s="28" t="s">
        <v>15</v>
      </c>
      <c r="F751" s="28" t="s">
        <v>168</v>
      </c>
      <c r="G751" s="29" t="s">
        <v>341</v>
      </c>
      <c r="H751" s="30" t="str">
        <f>HYPERLINK("https://www.munzee.com/m/c-bn/17513/", "c-bn/17513")</f>
        <v>c-bn/17513</v>
      </c>
      <c r="J751" s="31">
        <f t="shared" si="2"/>
        <v>10</v>
      </c>
    </row>
    <row r="752">
      <c r="A752" s="28">
        <v>13.0</v>
      </c>
      <c r="B752" s="28">
        <v>15.0</v>
      </c>
      <c r="C752" s="28">
        <v>53.4958006741572</v>
      </c>
      <c r="D752" s="28">
        <v>9.99305953598786</v>
      </c>
      <c r="E752" s="28" t="s">
        <v>15</v>
      </c>
      <c r="F752" s="28" t="s">
        <v>168</v>
      </c>
      <c r="G752" s="29" t="s">
        <v>231</v>
      </c>
      <c r="H752" s="30" t="str">
        <f>HYPERLINK("https://www.munzee.com/m/MSgtUSMC/553/", "MSgtUSMC/553")</f>
        <v>MSgtUSMC/553</v>
      </c>
      <c r="J752" s="31">
        <f t="shared" si="2"/>
        <v>2</v>
      </c>
    </row>
    <row r="753">
      <c r="A753" s="28">
        <v>13.0</v>
      </c>
      <c r="B753" s="28">
        <v>16.0</v>
      </c>
      <c r="C753" s="28">
        <v>53.4957881469817</v>
      </c>
      <c r="D753" s="28">
        <v>9.99330022832225</v>
      </c>
      <c r="E753" s="28" t="s">
        <v>15</v>
      </c>
      <c r="F753" s="28" t="s">
        <v>168</v>
      </c>
      <c r="G753" s="29" t="s">
        <v>307</v>
      </c>
      <c r="H753" s="30" t="str">
        <f>HYPERLINK("https://www.munzee.com/m/easterb/1258/", "easterb/1258")</f>
        <v>easterb/1258</v>
      </c>
      <c r="J753" s="31">
        <f t="shared" si="2"/>
        <v>3</v>
      </c>
    </row>
    <row r="754">
      <c r="A754" s="28">
        <v>13.0</v>
      </c>
      <c r="B754" s="28">
        <v>17.0</v>
      </c>
      <c r="C754" s="28">
        <v>53.4957756198063</v>
      </c>
      <c r="D754" s="28">
        <v>9.99354092058547</v>
      </c>
      <c r="E754" s="28" t="s">
        <v>15</v>
      </c>
      <c r="F754" s="28" t="s">
        <v>168</v>
      </c>
      <c r="G754" s="29" t="s">
        <v>341</v>
      </c>
      <c r="H754" s="30" t="str">
        <f>HYPERLINK("https://www.munzee.com/m/c-bn/17514/", "c-bn/17514")</f>
        <v>c-bn/17514</v>
      </c>
      <c r="J754" s="31">
        <f t="shared" si="2"/>
        <v>10</v>
      </c>
    </row>
    <row r="755">
      <c r="A755" s="28">
        <v>13.0</v>
      </c>
      <c r="B755" s="28">
        <v>18.0</v>
      </c>
      <c r="C755" s="28">
        <v>53.4957630926308</v>
      </c>
      <c r="D755" s="28">
        <v>9.99378161277763</v>
      </c>
      <c r="E755" s="28" t="s">
        <v>15</v>
      </c>
      <c r="F755" s="28" t="s">
        <v>168</v>
      </c>
      <c r="G755" s="29" t="s">
        <v>260</v>
      </c>
      <c r="H755" s="30" t="str">
        <f>HYPERLINK("https://www.munzee.com/m/MetteS/6140/", "MetteS/6140")</f>
        <v>MetteS/6140</v>
      </c>
      <c r="J755" s="31">
        <f t="shared" si="2"/>
        <v>10</v>
      </c>
    </row>
    <row r="756">
      <c r="A756" s="28">
        <v>13.0</v>
      </c>
      <c r="B756" s="28">
        <v>19.0</v>
      </c>
      <c r="C756" s="28">
        <v>53.4957505654553</v>
      </c>
      <c r="D756" s="28">
        <v>9.99402230489874</v>
      </c>
      <c r="E756" s="28" t="s">
        <v>15</v>
      </c>
      <c r="F756" s="28" t="s">
        <v>168</v>
      </c>
      <c r="G756" s="29" t="s">
        <v>261</v>
      </c>
      <c r="H756" s="30" t="str">
        <f>HYPERLINK("https://www.munzee.com/m/BoMS/7578/", "BoMS/7578")</f>
        <v>BoMS/7578</v>
      </c>
      <c r="J756" s="31">
        <f t="shared" si="2"/>
        <v>10</v>
      </c>
    </row>
    <row r="757">
      <c r="A757" s="28">
        <v>13.0</v>
      </c>
      <c r="B757" s="28">
        <v>20.0</v>
      </c>
      <c r="C757" s="28">
        <v>53.4957380382798</v>
      </c>
      <c r="D757" s="28">
        <v>9.99426299694869</v>
      </c>
      <c r="E757" s="28" t="s">
        <v>25</v>
      </c>
      <c r="F757" s="28" t="s">
        <v>14</v>
      </c>
      <c r="G757" s="29" t="s">
        <v>104</v>
      </c>
      <c r="H757" s="29" t="s">
        <v>346</v>
      </c>
      <c r="J757" s="31">
        <f t="shared" si="2"/>
        <v>2</v>
      </c>
    </row>
    <row r="758">
      <c r="A758" s="28">
        <v>13.0</v>
      </c>
      <c r="B758" s="28">
        <v>21.0</v>
      </c>
      <c r="C758" s="28">
        <v>53.4957255111044</v>
      </c>
      <c r="D758" s="28">
        <v>9.99450368892758</v>
      </c>
      <c r="E758" s="28" t="s">
        <v>25</v>
      </c>
      <c r="F758" s="28" t="s">
        <v>14</v>
      </c>
      <c r="G758" s="29" t="s">
        <v>94</v>
      </c>
      <c r="H758" s="33" t="s">
        <v>347</v>
      </c>
      <c r="J758" s="31">
        <f t="shared" si="2"/>
        <v>42</v>
      </c>
    </row>
    <row r="759">
      <c r="A759" s="28">
        <v>13.0</v>
      </c>
      <c r="B759" s="28">
        <v>22.0</v>
      </c>
      <c r="C759" s="28">
        <v>53.4957129839289</v>
      </c>
      <c r="D759" s="28">
        <v>9.9947443808353</v>
      </c>
      <c r="E759" s="28" t="s">
        <v>25</v>
      </c>
      <c r="F759" s="28" t="s">
        <v>14</v>
      </c>
      <c r="G759" s="29" t="s">
        <v>30</v>
      </c>
      <c r="H759" s="33" t="s">
        <v>348</v>
      </c>
      <c r="J759" s="31">
        <f t="shared" si="2"/>
        <v>62</v>
      </c>
    </row>
    <row r="760">
      <c r="A760" s="28">
        <v>13.0</v>
      </c>
      <c r="B760" s="28">
        <v>23.0</v>
      </c>
      <c r="C760" s="28">
        <v>53.4957004567534</v>
      </c>
      <c r="D760" s="28">
        <v>9.99498507267196</v>
      </c>
      <c r="E760" s="28" t="s">
        <v>25</v>
      </c>
      <c r="F760" s="28" t="s">
        <v>14</v>
      </c>
      <c r="G760" s="29" t="s">
        <v>149</v>
      </c>
      <c r="H760" s="30" t="s">
        <v>349</v>
      </c>
      <c r="J760" s="31">
        <f t="shared" si="2"/>
        <v>9</v>
      </c>
    </row>
    <row r="761">
      <c r="A761" s="28">
        <v>13.0</v>
      </c>
      <c r="B761" s="28">
        <v>24.0</v>
      </c>
      <c r="C761" s="28">
        <v>53.4956879295779</v>
      </c>
      <c r="D761" s="28">
        <v>9.99522576443746</v>
      </c>
      <c r="E761" s="28" t="s">
        <v>25</v>
      </c>
      <c r="F761" s="28" t="s">
        <v>14</v>
      </c>
      <c r="G761" s="38"/>
      <c r="H761" s="38"/>
      <c r="J761" s="31">
        <f t="shared" si="2"/>
        <v>0</v>
      </c>
    </row>
    <row r="762">
      <c r="A762" s="28">
        <v>13.0</v>
      </c>
      <c r="B762" s="28">
        <v>25.0</v>
      </c>
      <c r="C762" s="28">
        <v>53.4956754024025</v>
      </c>
      <c r="D762" s="28">
        <v>9.9954664561319</v>
      </c>
      <c r="E762" s="28" t="s">
        <v>25</v>
      </c>
      <c r="F762" s="28" t="s">
        <v>14</v>
      </c>
      <c r="G762" s="29" t="s">
        <v>30</v>
      </c>
      <c r="H762" s="33" t="s">
        <v>350</v>
      </c>
      <c r="J762" s="31">
        <f t="shared" si="2"/>
        <v>62</v>
      </c>
    </row>
    <row r="763">
      <c r="A763" s="28">
        <v>13.0</v>
      </c>
      <c r="B763" s="28">
        <v>26.0</v>
      </c>
      <c r="C763" s="28">
        <v>53.495662875227</v>
      </c>
      <c r="D763" s="28">
        <v>9.99570714775518</v>
      </c>
      <c r="E763" s="28" t="s">
        <v>25</v>
      </c>
      <c r="F763" s="28" t="s">
        <v>14</v>
      </c>
      <c r="G763" s="29" t="s">
        <v>145</v>
      </c>
      <c r="H763" s="30" t="s">
        <v>351</v>
      </c>
      <c r="J763" s="31">
        <f t="shared" si="2"/>
        <v>40</v>
      </c>
    </row>
    <row r="764">
      <c r="A764" s="28">
        <v>13.0</v>
      </c>
      <c r="B764" s="28">
        <v>27.0</v>
      </c>
      <c r="C764" s="28">
        <v>53.4956503480515</v>
      </c>
      <c r="D764" s="28">
        <v>9.9959478393074</v>
      </c>
      <c r="E764" s="28" t="s">
        <v>25</v>
      </c>
      <c r="F764" s="28" t="s">
        <v>14</v>
      </c>
      <c r="G764" s="38"/>
      <c r="H764" s="38"/>
      <c r="J764" s="31">
        <f t="shared" si="2"/>
        <v>0</v>
      </c>
    </row>
    <row r="765">
      <c r="A765" s="28">
        <v>13.0</v>
      </c>
      <c r="B765" s="28">
        <v>28.0</v>
      </c>
      <c r="C765" s="28">
        <v>53.495637820876</v>
      </c>
      <c r="D765" s="28">
        <v>9.99618853078845</v>
      </c>
      <c r="E765" s="28" t="s">
        <v>25</v>
      </c>
      <c r="F765" s="28" t="s">
        <v>14</v>
      </c>
      <c r="G765" s="29" t="s">
        <v>30</v>
      </c>
      <c r="H765" s="33" t="s">
        <v>352</v>
      </c>
      <c r="J765" s="31">
        <f t="shared" si="2"/>
        <v>62</v>
      </c>
    </row>
    <row r="766">
      <c r="A766" s="28">
        <v>13.0</v>
      </c>
      <c r="B766" s="28">
        <v>29.0</v>
      </c>
      <c r="C766" s="28">
        <v>53.4956252937006</v>
      </c>
      <c r="D766" s="28">
        <v>9.99642922219845</v>
      </c>
      <c r="E766" s="28" t="s">
        <v>25</v>
      </c>
      <c r="F766" s="28" t="s">
        <v>14</v>
      </c>
      <c r="G766" s="29" t="s">
        <v>145</v>
      </c>
      <c r="H766" s="30" t="s">
        <v>353</v>
      </c>
      <c r="J766" s="31">
        <f t="shared" si="2"/>
        <v>40</v>
      </c>
    </row>
    <row r="767">
      <c r="A767" s="28">
        <v>13.0</v>
      </c>
      <c r="B767" s="28">
        <v>30.0</v>
      </c>
      <c r="C767" s="28">
        <v>53.4956127665251</v>
      </c>
      <c r="D767" s="28">
        <v>9.99666991353729</v>
      </c>
      <c r="E767" s="28" t="s">
        <v>25</v>
      </c>
      <c r="F767" s="28" t="s">
        <v>14</v>
      </c>
      <c r="G767" s="29" t="s">
        <v>326</v>
      </c>
      <c r="H767" s="30" t="s">
        <v>354</v>
      </c>
      <c r="J767" s="31">
        <f t="shared" si="2"/>
        <v>2</v>
      </c>
    </row>
    <row r="768">
      <c r="A768" s="28">
        <v>13.0</v>
      </c>
      <c r="B768" s="28">
        <v>31.0</v>
      </c>
      <c r="C768" s="28">
        <v>53.4956002393496</v>
      </c>
      <c r="D768" s="28">
        <v>9.99691060480506</v>
      </c>
      <c r="E768" s="28" t="s">
        <v>25</v>
      </c>
      <c r="F768" s="28" t="s">
        <v>14</v>
      </c>
      <c r="G768" s="29" t="s">
        <v>30</v>
      </c>
      <c r="H768" s="33" t="s">
        <v>355</v>
      </c>
      <c r="J768" s="31">
        <f t="shared" si="2"/>
        <v>62</v>
      </c>
    </row>
    <row r="769">
      <c r="A769" s="28">
        <v>13.0</v>
      </c>
      <c r="B769" s="28">
        <v>32.0</v>
      </c>
      <c r="C769" s="28">
        <v>53.4955877121741</v>
      </c>
      <c r="D769" s="28">
        <v>9.99715129600167</v>
      </c>
      <c r="E769" s="28" t="s">
        <v>25</v>
      </c>
      <c r="F769" s="28" t="s">
        <v>14</v>
      </c>
      <c r="G769" s="29" t="s">
        <v>145</v>
      </c>
      <c r="H769" s="30" t="s">
        <v>356</v>
      </c>
      <c r="J769" s="31">
        <f t="shared" si="2"/>
        <v>40</v>
      </c>
    </row>
    <row r="770">
      <c r="A770" s="28">
        <v>13.0</v>
      </c>
      <c r="B770" s="28">
        <v>33.0</v>
      </c>
      <c r="C770" s="28">
        <v>53.4955751849987</v>
      </c>
      <c r="D770" s="28">
        <v>9.99739198712723</v>
      </c>
      <c r="E770" s="28" t="s">
        <v>25</v>
      </c>
      <c r="F770" s="28" t="s">
        <v>14</v>
      </c>
      <c r="G770" s="38"/>
      <c r="H770" s="38"/>
      <c r="J770" s="31">
        <f t="shared" si="2"/>
        <v>0</v>
      </c>
    </row>
    <row r="771">
      <c r="A771" s="28">
        <v>13.0</v>
      </c>
      <c r="B771" s="28">
        <v>34.0</v>
      </c>
      <c r="C771" s="28">
        <v>53.4955626578232</v>
      </c>
      <c r="D771" s="28">
        <v>9.99763267818173</v>
      </c>
      <c r="E771" s="28" t="s">
        <v>25</v>
      </c>
      <c r="F771" s="28" t="s">
        <v>14</v>
      </c>
      <c r="G771" s="38"/>
      <c r="H771" s="38"/>
      <c r="J771" s="31">
        <f t="shared" si="2"/>
        <v>0</v>
      </c>
    </row>
    <row r="772">
      <c r="A772" s="28">
        <v>13.0</v>
      </c>
      <c r="B772" s="28">
        <v>35.0</v>
      </c>
      <c r="C772" s="28">
        <v>53.4955501306477</v>
      </c>
      <c r="D772" s="28">
        <v>9.99787336916506</v>
      </c>
      <c r="E772" s="28" t="s">
        <v>25</v>
      </c>
      <c r="F772" s="28" t="s">
        <v>14</v>
      </c>
      <c r="G772" s="29" t="s">
        <v>145</v>
      </c>
      <c r="H772" s="30" t="s">
        <v>357</v>
      </c>
      <c r="J772" s="31">
        <f t="shared" si="2"/>
        <v>40</v>
      </c>
    </row>
    <row r="773">
      <c r="A773" s="28">
        <v>13.0</v>
      </c>
      <c r="B773" s="28">
        <v>36.0</v>
      </c>
      <c r="C773" s="28">
        <v>53.4955376034722</v>
      </c>
      <c r="D773" s="28">
        <v>9.99811406007734</v>
      </c>
      <c r="E773" s="28" t="s">
        <v>25</v>
      </c>
      <c r="F773" s="28" t="s">
        <v>14</v>
      </c>
      <c r="G773" s="38"/>
      <c r="H773" s="38"/>
      <c r="J773" s="31">
        <f t="shared" si="2"/>
        <v>0</v>
      </c>
    </row>
    <row r="774">
      <c r="A774" s="28">
        <v>13.0</v>
      </c>
      <c r="B774" s="28">
        <v>37.0</v>
      </c>
      <c r="C774" s="28">
        <v>53.4955250762967</v>
      </c>
      <c r="D774" s="28">
        <v>9.99835475091845</v>
      </c>
      <c r="E774" s="28" t="s">
        <v>25</v>
      </c>
      <c r="F774" s="28" t="s">
        <v>14</v>
      </c>
      <c r="G774" s="38"/>
      <c r="H774" s="38"/>
      <c r="J774" s="31">
        <f t="shared" si="2"/>
        <v>0</v>
      </c>
    </row>
    <row r="775">
      <c r="A775" s="28">
        <v>13.0</v>
      </c>
      <c r="B775" s="28">
        <v>38.0</v>
      </c>
      <c r="C775" s="28">
        <v>53.4955125491213</v>
      </c>
      <c r="D775" s="28">
        <v>9.9985954416885</v>
      </c>
      <c r="E775" s="28" t="s">
        <v>25</v>
      </c>
      <c r="F775" s="28" t="s">
        <v>14</v>
      </c>
      <c r="G775" s="29" t="s">
        <v>145</v>
      </c>
      <c r="H775" s="30" t="s">
        <v>358</v>
      </c>
      <c r="J775" s="31">
        <f t="shared" si="2"/>
        <v>40</v>
      </c>
    </row>
    <row r="776">
      <c r="A776" s="28">
        <v>13.0</v>
      </c>
      <c r="B776" s="28">
        <v>39.0</v>
      </c>
      <c r="C776" s="28">
        <v>53.4955000219458</v>
      </c>
      <c r="D776" s="28">
        <v>9.99883613238739</v>
      </c>
      <c r="E776" s="28" t="s">
        <v>25</v>
      </c>
      <c r="F776" s="28" t="s">
        <v>14</v>
      </c>
      <c r="G776" s="29" t="s">
        <v>26</v>
      </c>
      <c r="H776" s="30" t="str">
        <f>HYPERLINK("https://www.munzee.com/m/Elli/6354/", "Elli/6354")</f>
        <v>Elli/6354</v>
      </c>
      <c r="J776" s="31">
        <f t="shared" si="2"/>
        <v>143</v>
      </c>
    </row>
    <row r="777">
      <c r="A777" s="28">
        <v>13.0</v>
      </c>
      <c r="B777" s="28">
        <v>40.0</v>
      </c>
      <c r="C777" s="28">
        <v>53.4954874947703</v>
      </c>
      <c r="D777" s="28">
        <v>9.99907682301523</v>
      </c>
      <c r="E777" s="28" t="s">
        <v>15</v>
      </c>
      <c r="F777" s="28" t="s">
        <v>168</v>
      </c>
      <c r="G777" s="29" t="s">
        <v>341</v>
      </c>
      <c r="H777" s="30" t="str">
        <f>HYPERLINK("https://www.munzee.com/m/c-bn/17522/", "c-bn/17522")</f>
        <v>c-bn/17522</v>
      </c>
      <c r="J777" s="31">
        <f t="shared" si="2"/>
        <v>10</v>
      </c>
    </row>
    <row r="778">
      <c r="A778" s="28">
        <v>13.0</v>
      </c>
      <c r="B778" s="28">
        <v>41.0</v>
      </c>
      <c r="C778" s="28">
        <v>53.4954749675948</v>
      </c>
      <c r="D778" s="28">
        <v>9.99931751357189</v>
      </c>
      <c r="E778" s="28" t="s">
        <v>15</v>
      </c>
      <c r="F778" s="28" t="s">
        <v>168</v>
      </c>
      <c r="G778" s="29" t="s">
        <v>359</v>
      </c>
      <c r="H778" s="30" t="str">
        <f>HYPERLINK("https://www.munzee.com/m/radschlaeger/2640/", "radschlaeger/2640")</f>
        <v>radschlaeger/2640</v>
      </c>
      <c r="J778" s="31">
        <f t="shared" si="2"/>
        <v>10</v>
      </c>
    </row>
    <row r="779">
      <c r="A779" s="28">
        <v>13.0</v>
      </c>
      <c r="B779" s="28">
        <v>42.0</v>
      </c>
      <c r="C779" s="28">
        <v>53.4954624404194</v>
      </c>
      <c r="D779" s="28">
        <v>9.9995582040575</v>
      </c>
      <c r="E779" s="28" t="s">
        <v>15</v>
      </c>
      <c r="F779" s="28" t="s">
        <v>168</v>
      </c>
      <c r="G779" s="29" t="s">
        <v>214</v>
      </c>
      <c r="H779" s="30" t="str">
        <f>HYPERLINK("https://www.munzee.com/m/90mile/906/", "90mile/906")</f>
        <v>90mile/906</v>
      </c>
      <c r="J779" s="31">
        <f t="shared" si="2"/>
        <v>25</v>
      </c>
    </row>
    <row r="780">
      <c r="A780" s="28">
        <v>13.0</v>
      </c>
      <c r="B780" s="28">
        <v>43.0</v>
      </c>
      <c r="C780" s="28">
        <v>53.4954499132439</v>
      </c>
      <c r="D780" s="28">
        <v>9.99979889447195</v>
      </c>
      <c r="E780" s="28" t="s">
        <v>15</v>
      </c>
      <c r="F780" s="28" t="s">
        <v>168</v>
      </c>
      <c r="G780" s="29" t="s">
        <v>341</v>
      </c>
      <c r="H780" s="30" t="str">
        <f>HYPERLINK("https://www.munzee.com/m/c-bn/17524/", "c-bn/17524")</f>
        <v>c-bn/17524</v>
      </c>
      <c r="J780" s="31">
        <f t="shared" si="2"/>
        <v>10</v>
      </c>
    </row>
    <row r="781">
      <c r="A781" s="28">
        <v>13.0</v>
      </c>
      <c r="B781" s="28">
        <v>44.0</v>
      </c>
      <c r="C781" s="28">
        <v>53.4954373860684</v>
      </c>
      <c r="D781" s="28">
        <v>10.0000395848153</v>
      </c>
      <c r="E781" s="28" t="s">
        <v>15</v>
      </c>
      <c r="F781" s="28" t="s">
        <v>168</v>
      </c>
      <c r="G781" s="29" t="s">
        <v>359</v>
      </c>
      <c r="H781" s="30" t="str">
        <f>HYPERLINK("https://www.munzee.com/m/radschlaeger/2638/", "radschlaeger/2638")</f>
        <v>radschlaeger/2638</v>
      </c>
      <c r="J781" s="31">
        <f t="shared" si="2"/>
        <v>10</v>
      </c>
    </row>
    <row r="782">
      <c r="A782" s="28">
        <v>13.0</v>
      </c>
      <c r="B782" s="28">
        <v>45.0</v>
      </c>
      <c r="C782" s="28">
        <v>53.4954248588929</v>
      </c>
      <c r="D782" s="28">
        <v>10.0002802750876</v>
      </c>
      <c r="E782" s="28" t="s">
        <v>15</v>
      </c>
      <c r="F782" s="28" t="s">
        <v>168</v>
      </c>
      <c r="G782" s="29" t="s">
        <v>214</v>
      </c>
      <c r="H782" s="30" t="str">
        <f>HYPERLINK("https://www.munzee.com/m/90mile/874/", "90mile/874")</f>
        <v>90mile/874</v>
      </c>
      <c r="J782" s="31">
        <f t="shared" si="2"/>
        <v>25</v>
      </c>
    </row>
    <row r="783">
      <c r="A783" s="28">
        <v>13.0</v>
      </c>
      <c r="B783" s="28">
        <v>46.0</v>
      </c>
      <c r="C783" s="28">
        <v>53.4954123317174</v>
      </c>
      <c r="D783" s="28">
        <v>10.0005209652888</v>
      </c>
      <c r="E783" s="28" t="s">
        <v>15</v>
      </c>
      <c r="F783" s="28" t="s">
        <v>168</v>
      </c>
      <c r="G783" s="29" t="s">
        <v>341</v>
      </c>
      <c r="H783" s="30" t="str">
        <f>HYPERLINK("https://www.munzee.com/m/c-bn/17525/", "c-bn/17525")</f>
        <v>c-bn/17525</v>
      </c>
      <c r="J783" s="31">
        <f t="shared" si="2"/>
        <v>10</v>
      </c>
    </row>
    <row r="784">
      <c r="A784" s="28">
        <v>13.0</v>
      </c>
      <c r="B784" s="28">
        <v>47.0</v>
      </c>
      <c r="C784" s="28">
        <v>53.495399804542</v>
      </c>
      <c r="D784" s="28">
        <v>10.0007616554189</v>
      </c>
      <c r="E784" s="28" t="s">
        <v>15</v>
      </c>
      <c r="F784" s="28" t="s">
        <v>168</v>
      </c>
      <c r="G784" s="29" t="s">
        <v>359</v>
      </c>
      <c r="H784" s="30" t="str">
        <f>HYPERLINK("https://www.munzee.com/m/radschlaeger/2636/", "radschlaeger/2636")</f>
        <v>radschlaeger/2636</v>
      </c>
      <c r="J784" s="31">
        <f t="shared" si="2"/>
        <v>10</v>
      </c>
    </row>
    <row r="785">
      <c r="A785" s="28">
        <v>13.0</v>
      </c>
      <c r="B785" s="28">
        <v>48.0</v>
      </c>
      <c r="C785" s="28">
        <v>53.4953872773665</v>
      </c>
      <c r="D785" s="28">
        <v>10.0010023454779</v>
      </c>
      <c r="E785" s="28" t="s">
        <v>15</v>
      </c>
      <c r="F785" s="28" t="s">
        <v>168</v>
      </c>
      <c r="G785" s="29" t="s">
        <v>214</v>
      </c>
      <c r="H785" s="30" t="str">
        <f>HYPERLINK("https://www.munzee.com/m/90mile/905/", "90mile/905")</f>
        <v>90mile/905</v>
      </c>
      <c r="J785" s="31">
        <f t="shared" si="2"/>
        <v>25</v>
      </c>
    </row>
    <row r="786">
      <c r="A786" s="28">
        <v>13.0</v>
      </c>
      <c r="B786" s="28">
        <v>49.0</v>
      </c>
      <c r="C786" s="28">
        <v>53.495374750191</v>
      </c>
      <c r="D786" s="28">
        <v>10.0012430354657</v>
      </c>
      <c r="E786" s="28" t="s">
        <v>15</v>
      </c>
      <c r="F786" s="28" t="s">
        <v>168</v>
      </c>
      <c r="G786" s="29" t="s">
        <v>341</v>
      </c>
      <c r="H786" s="30" t="str">
        <f>HYPERLINK("https://www.munzee.com/m/c-bn/17530/", "c-bn/17530")</f>
        <v>c-bn/17530</v>
      </c>
      <c r="J786" s="31">
        <f t="shared" si="2"/>
        <v>10</v>
      </c>
    </row>
    <row r="787">
      <c r="A787" s="28">
        <v>13.0</v>
      </c>
      <c r="B787" s="28">
        <v>50.0</v>
      </c>
      <c r="C787" s="28">
        <v>53.4953622230155</v>
      </c>
      <c r="D787" s="28">
        <v>10.0014837253825</v>
      </c>
      <c r="E787" s="28" t="s">
        <v>15</v>
      </c>
      <c r="F787" s="28" t="s">
        <v>168</v>
      </c>
      <c r="G787" s="29" t="s">
        <v>359</v>
      </c>
      <c r="H787" s="30" t="str">
        <f>HYPERLINK("https://www.munzee.com/m/radschlaeger/2635/", "radschlaeger/2635")</f>
        <v>radschlaeger/2635</v>
      </c>
      <c r="J787" s="31">
        <f t="shared" si="2"/>
        <v>10</v>
      </c>
    </row>
    <row r="788">
      <c r="A788" s="28">
        <v>13.0</v>
      </c>
      <c r="B788" s="28">
        <v>51.0</v>
      </c>
      <c r="C788" s="28">
        <v>53.4953496958401</v>
      </c>
      <c r="D788" s="28">
        <v>10.0017244152281</v>
      </c>
      <c r="E788" s="28" t="s">
        <v>15</v>
      </c>
      <c r="F788" s="28" t="s">
        <v>168</v>
      </c>
      <c r="G788" s="29" t="s">
        <v>214</v>
      </c>
      <c r="H788" s="30" t="str">
        <f>HYPERLINK("https://www.munzee.com/m/90mile/904/", "90mile/904")</f>
        <v>90mile/904</v>
      </c>
      <c r="J788" s="31">
        <f t="shared" si="2"/>
        <v>25</v>
      </c>
    </row>
    <row r="789">
      <c r="A789" s="28">
        <v>13.0</v>
      </c>
      <c r="B789" s="28">
        <v>52.0</v>
      </c>
      <c r="C789" s="28">
        <v>53.4953371686646</v>
      </c>
      <c r="D789" s="28">
        <v>10.0019651050026</v>
      </c>
      <c r="E789" s="28" t="s">
        <v>15</v>
      </c>
      <c r="F789" s="28" t="s">
        <v>168</v>
      </c>
      <c r="G789" s="29" t="s">
        <v>341</v>
      </c>
      <c r="H789" s="30" t="str">
        <f>HYPERLINK("https://www.munzee.com/m/c-bn/17545/", "c-bn/17545")</f>
        <v>c-bn/17545</v>
      </c>
      <c r="J789" s="31">
        <f t="shared" si="2"/>
        <v>10</v>
      </c>
    </row>
    <row r="790">
      <c r="A790" s="28">
        <v>13.0</v>
      </c>
      <c r="B790" s="28">
        <v>53.0</v>
      </c>
      <c r="C790" s="28">
        <v>53.4953246414891</v>
      </c>
      <c r="D790" s="28">
        <v>10.0022057947061</v>
      </c>
      <c r="E790" s="28" t="s">
        <v>15</v>
      </c>
      <c r="F790" s="28" t="s">
        <v>168</v>
      </c>
      <c r="G790" s="29" t="s">
        <v>359</v>
      </c>
      <c r="H790" s="30" t="str">
        <f>HYPERLINK("https://www.munzee.com/m/radschlaeger/2631/", "radschlaeger/2631")</f>
        <v>radschlaeger/2631</v>
      </c>
      <c r="J790" s="31">
        <f t="shared" si="2"/>
        <v>10</v>
      </c>
    </row>
    <row r="791">
      <c r="A791" s="28">
        <v>13.0</v>
      </c>
      <c r="B791" s="28">
        <v>54.0</v>
      </c>
      <c r="C791" s="28">
        <v>53.4953121143136</v>
      </c>
      <c r="D791" s="28">
        <v>10.0024464843384</v>
      </c>
      <c r="E791" s="28" t="s">
        <v>25</v>
      </c>
      <c r="F791" s="28" t="s">
        <v>14</v>
      </c>
      <c r="G791" s="29" t="s">
        <v>26</v>
      </c>
      <c r="H791" s="30" t="str">
        <f>HYPERLINK("https://www.munzee.com/m/Elli/6353/", "Elli/6353")</f>
        <v>Elli/6353</v>
      </c>
      <c r="J791" s="31">
        <f t="shared" si="2"/>
        <v>143</v>
      </c>
    </row>
    <row r="792">
      <c r="A792" s="28">
        <v>13.0</v>
      </c>
      <c r="B792" s="28">
        <v>55.0</v>
      </c>
      <c r="C792" s="28">
        <v>53.4952995871381</v>
      </c>
      <c r="D792" s="28">
        <v>10.0026871738996</v>
      </c>
      <c r="E792" s="28" t="s">
        <v>15</v>
      </c>
      <c r="F792" s="28" t="s">
        <v>168</v>
      </c>
      <c r="G792" s="29" t="s">
        <v>316</v>
      </c>
      <c r="H792" s="30" t="str">
        <f>HYPERLINK("https://www.munzee.com/m/Gamsci/5170/", "Gamsci/5170")</f>
        <v>Gamsci/5170</v>
      </c>
      <c r="J792" s="31">
        <f t="shared" si="2"/>
        <v>10</v>
      </c>
    </row>
    <row r="793">
      <c r="A793" s="28">
        <v>13.0</v>
      </c>
      <c r="B793" s="28">
        <v>56.0</v>
      </c>
      <c r="C793" s="28">
        <v>53.4952870599627</v>
      </c>
      <c r="D793" s="28">
        <v>10.0029278633898</v>
      </c>
      <c r="E793" s="28" t="s">
        <v>15</v>
      </c>
      <c r="F793" s="28" t="s">
        <v>168</v>
      </c>
      <c r="G793" s="29" t="s">
        <v>360</v>
      </c>
      <c r="H793" s="30" t="str">
        <f>HYPERLINK("https://www.munzee.com/m/raunas/4394", "raunas/4394")</f>
        <v>raunas/4394</v>
      </c>
      <c r="J793" s="31">
        <f t="shared" si="2"/>
        <v>2</v>
      </c>
    </row>
    <row r="794">
      <c r="A794" s="28">
        <v>13.0</v>
      </c>
      <c r="B794" s="28">
        <v>57.0</v>
      </c>
      <c r="C794" s="28">
        <v>53.4952745327872</v>
      </c>
      <c r="D794" s="28">
        <v>10.0031685528088</v>
      </c>
      <c r="E794" s="28" t="s">
        <v>15</v>
      </c>
      <c r="F794" s="28" t="s">
        <v>168</v>
      </c>
      <c r="G794" s="29" t="s">
        <v>27</v>
      </c>
      <c r="H794" s="30" t="str">
        <f>HYPERLINK("https://www.munzee.com/m/DarkHaribo/12282", "DarkHaribo/12282")</f>
        <v>DarkHaribo/12282</v>
      </c>
      <c r="J794" s="31">
        <f t="shared" si="2"/>
        <v>103</v>
      </c>
    </row>
    <row r="795">
      <c r="A795" s="28">
        <v>13.0</v>
      </c>
      <c r="B795" s="28">
        <v>58.0</v>
      </c>
      <c r="C795" s="28">
        <v>53.4952620056117</v>
      </c>
      <c r="D795" s="28">
        <v>10.0034092421567</v>
      </c>
      <c r="E795" s="28" t="s">
        <v>15</v>
      </c>
      <c r="F795" s="28" t="s">
        <v>168</v>
      </c>
      <c r="G795" s="29" t="s">
        <v>361</v>
      </c>
      <c r="H795" s="30" t="str">
        <f>HYPERLINK("https://www.munzee.com/m/MrsPommelhorst/3163/", "MrsPommelhorst/3163")</f>
        <v>MrsPommelhorst/3163</v>
      </c>
      <c r="J795" s="31">
        <f>COUNTIF($G$18:$G$3617,#REF!)</f>
        <v>0</v>
      </c>
    </row>
    <row r="796">
      <c r="A796" s="28">
        <v>13.0</v>
      </c>
      <c r="B796" s="28">
        <v>59.0</v>
      </c>
      <c r="C796" s="28">
        <v>53.4952494784362</v>
      </c>
      <c r="D796" s="28">
        <v>10.0036499314335</v>
      </c>
      <c r="E796" s="28" t="s">
        <v>15</v>
      </c>
      <c r="F796" s="28" t="s">
        <v>168</v>
      </c>
      <c r="G796" s="29" t="s">
        <v>362</v>
      </c>
      <c r="H796" s="30" t="str">
        <f>HYPERLINK("https://www.munzee.com/m/elefantoduck/1158/", "elefantoduck/1158")</f>
        <v>elefantoduck/1158</v>
      </c>
      <c r="J796" s="31">
        <f t="shared" ref="J796:J1421" si="3">COUNTIF($G$18:$G$3617,G796)</f>
        <v>13</v>
      </c>
    </row>
    <row r="797">
      <c r="A797" s="28">
        <v>13.0</v>
      </c>
      <c r="B797" s="28">
        <v>60.0</v>
      </c>
      <c r="C797" s="28">
        <v>53.4952369512608</v>
      </c>
      <c r="D797" s="28">
        <v>10.0038906206392</v>
      </c>
      <c r="E797" s="28" t="s">
        <v>25</v>
      </c>
      <c r="F797" s="28" t="s">
        <v>14</v>
      </c>
      <c r="G797" s="29" t="s">
        <v>27</v>
      </c>
      <c r="H797" s="30" t="str">
        <f>HYPERLINK("https://www.munzee.com/m/DarkHaribo/12671", "DarkHaribo/12671")</f>
        <v>DarkHaribo/12671</v>
      </c>
      <c r="J797" s="31">
        <f t="shared" si="3"/>
        <v>103</v>
      </c>
    </row>
    <row r="798">
      <c r="A798" s="28">
        <v>14.0</v>
      </c>
      <c r="B798" s="28">
        <v>1.0</v>
      </c>
      <c r="C798" s="28">
        <v>53.4958328711044</v>
      </c>
      <c r="D798" s="28">
        <v>9.98966877796738</v>
      </c>
      <c r="E798" s="28" t="s">
        <v>25</v>
      </c>
      <c r="F798" s="28" t="s">
        <v>14</v>
      </c>
      <c r="G798" s="29" t="s">
        <v>94</v>
      </c>
      <c r="H798" s="33" t="s">
        <v>363</v>
      </c>
      <c r="J798" s="31">
        <f t="shared" si="3"/>
        <v>42</v>
      </c>
    </row>
    <row r="799">
      <c r="A799" s="28">
        <v>14.0</v>
      </c>
      <c r="B799" s="28">
        <v>2.0</v>
      </c>
      <c r="C799" s="28">
        <v>53.4958203439289</v>
      </c>
      <c r="D799" s="28">
        <v>9.98990947048457</v>
      </c>
      <c r="E799" s="28" t="s">
        <v>15</v>
      </c>
      <c r="F799" s="28" t="s">
        <v>168</v>
      </c>
      <c r="G799" s="29" t="s">
        <v>364</v>
      </c>
      <c r="H799" s="30" t="str">
        <f>HYPERLINK("https://www.munzee.com/m/einkilorind/3057/", "einkilorind/3057")</f>
        <v>einkilorind/3057</v>
      </c>
      <c r="J799" s="31">
        <f t="shared" si="3"/>
        <v>17</v>
      </c>
    </row>
    <row r="800">
      <c r="A800" s="28">
        <v>14.0</v>
      </c>
      <c r="B800" s="28">
        <v>3.0</v>
      </c>
      <c r="C800" s="28">
        <v>53.4958078167534</v>
      </c>
      <c r="D800" s="28">
        <v>9.9901501629306</v>
      </c>
      <c r="E800" s="28" t="s">
        <v>15</v>
      </c>
      <c r="F800" s="28" t="s">
        <v>168</v>
      </c>
      <c r="G800" s="29" t="s">
        <v>316</v>
      </c>
      <c r="H800" s="30" t="str">
        <f>HYPERLINK("https://www.munzee.com/m/Gamsci/5179/", "Gamsci/5179")</f>
        <v>Gamsci/5179</v>
      </c>
      <c r="J800" s="31">
        <f t="shared" si="3"/>
        <v>10</v>
      </c>
    </row>
    <row r="801">
      <c r="A801" s="28">
        <v>14.0</v>
      </c>
      <c r="B801" s="28">
        <v>4.0</v>
      </c>
      <c r="C801" s="28">
        <v>53.4957952895779</v>
      </c>
      <c r="D801" s="28">
        <v>9.99039085530557</v>
      </c>
      <c r="E801" s="28" t="s">
        <v>15</v>
      </c>
      <c r="F801" s="28" t="s">
        <v>168</v>
      </c>
      <c r="G801" s="29" t="s">
        <v>365</v>
      </c>
      <c r="H801" s="30" t="str">
        <f>HYPERLINK("https://www.munzee.com/m/Chivasloyal/5573/", "Chivasloyal/5573")</f>
        <v>Chivasloyal/5573</v>
      </c>
      <c r="J801" s="31">
        <f t="shared" si="3"/>
        <v>1</v>
      </c>
    </row>
    <row r="802">
      <c r="A802" s="28">
        <v>14.0</v>
      </c>
      <c r="B802" s="28">
        <v>5.0</v>
      </c>
      <c r="C802" s="28">
        <v>53.4957827624024</v>
      </c>
      <c r="D802" s="28">
        <v>9.99063154760938</v>
      </c>
      <c r="E802" s="28" t="s">
        <v>15</v>
      </c>
      <c r="F802" s="28" t="s">
        <v>168</v>
      </c>
      <c r="G802" s="29" t="s">
        <v>366</v>
      </c>
      <c r="H802" s="30" t="str">
        <f>HYPERLINK("https://www.munzee.com/m/3goonies/5849/", "3goonies/5849")</f>
        <v>3goonies/5849</v>
      </c>
      <c r="J802" s="31">
        <f t="shared" si="3"/>
        <v>2</v>
      </c>
    </row>
    <row r="803">
      <c r="A803" s="28">
        <v>14.0</v>
      </c>
      <c r="B803" s="28">
        <v>6.0</v>
      </c>
      <c r="C803" s="28">
        <v>53.495770235227</v>
      </c>
      <c r="D803" s="28">
        <v>9.99087223984213</v>
      </c>
      <c r="E803" s="28" t="s">
        <v>15</v>
      </c>
      <c r="F803" s="28" t="s">
        <v>168</v>
      </c>
      <c r="G803" s="29" t="s">
        <v>367</v>
      </c>
      <c r="H803" s="30" t="str">
        <f>HYPERLINK("https://www.munzee.com/m/FredVomJupiter/1177/", "FredVomJupiter/1177")</f>
        <v>FredVomJupiter/1177</v>
      </c>
      <c r="J803" s="31">
        <f t="shared" si="3"/>
        <v>1</v>
      </c>
    </row>
    <row r="804">
      <c r="A804" s="28">
        <v>14.0</v>
      </c>
      <c r="B804" s="28">
        <v>7.0</v>
      </c>
      <c r="C804" s="28">
        <v>53.4957577080515</v>
      </c>
      <c r="D804" s="28">
        <v>9.99111293200371</v>
      </c>
      <c r="E804" s="28" t="s">
        <v>25</v>
      </c>
      <c r="F804" s="28" t="s">
        <v>14</v>
      </c>
      <c r="G804" s="29"/>
      <c r="H804" s="26"/>
      <c r="J804" s="31">
        <f t="shared" si="3"/>
        <v>0</v>
      </c>
    </row>
    <row r="805">
      <c r="A805" s="28">
        <v>14.0</v>
      </c>
      <c r="B805" s="28">
        <v>8.0</v>
      </c>
      <c r="C805" s="28">
        <v>53.495745180876</v>
      </c>
      <c r="D805" s="28">
        <v>9.99135362409424</v>
      </c>
      <c r="E805" s="28" t="s">
        <v>25</v>
      </c>
      <c r="F805" s="28" t="s">
        <v>14</v>
      </c>
      <c r="G805" s="38"/>
      <c r="H805" s="38"/>
      <c r="J805" s="31">
        <f t="shared" si="3"/>
        <v>0</v>
      </c>
    </row>
    <row r="806">
      <c r="A806" s="28">
        <v>14.0</v>
      </c>
      <c r="B806" s="28">
        <v>9.0</v>
      </c>
      <c r="C806" s="28">
        <v>53.4957326537005</v>
      </c>
      <c r="D806" s="28">
        <v>9.9915943161136</v>
      </c>
      <c r="E806" s="28" t="s">
        <v>25</v>
      </c>
      <c r="F806" s="28" t="s">
        <v>14</v>
      </c>
      <c r="G806" s="38"/>
      <c r="H806" s="38"/>
      <c r="J806" s="31">
        <f t="shared" si="3"/>
        <v>0</v>
      </c>
    </row>
    <row r="807">
      <c r="A807" s="28">
        <v>14.0</v>
      </c>
      <c r="B807" s="28">
        <v>10.0</v>
      </c>
      <c r="C807" s="28">
        <v>53.4957201265251</v>
      </c>
      <c r="D807" s="28">
        <v>9.99183500806191</v>
      </c>
      <c r="E807" s="28" t="s">
        <v>25</v>
      </c>
      <c r="F807" s="28" t="s">
        <v>14</v>
      </c>
      <c r="G807" s="38"/>
      <c r="H807" s="38"/>
      <c r="J807" s="31">
        <f t="shared" si="3"/>
        <v>0</v>
      </c>
    </row>
    <row r="808">
      <c r="A808" s="28">
        <v>14.0</v>
      </c>
      <c r="B808" s="28">
        <v>11.0</v>
      </c>
      <c r="C808" s="28">
        <v>53.4957075993496</v>
      </c>
      <c r="D808" s="28">
        <v>9.99207569993905</v>
      </c>
      <c r="E808" s="28" t="s">
        <v>15</v>
      </c>
      <c r="F808" s="28" t="s">
        <v>168</v>
      </c>
      <c r="G808" s="29" t="s">
        <v>176</v>
      </c>
      <c r="H808" s="30" t="str">
        <f>HYPERLINK("https://www.munzee.com/m/Bisquick2/2741", "Bisquick2/2741")</f>
        <v>Bisquick2/2741</v>
      </c>
      <c r="J808" s="31">
        <f t="shared" si="3"/>
        <v>4</v>
      </c>
    </row>
    <row r="809">
      <c r="A809" s="28">
        <v>14.0</v>
      </c>
      <c r="B809" s="28">
        <v>12.0</v>
      </c>
      <c r="C809" s="28">
        <v>53.4956950721741</v>
      </c>
      <c r="D809" s="28">
        <v>9.99231639174513</v>
      </c>
      <c r="E809" s="28" t="s">
        <v>15</v>
      </c>
      <c r="F809" s="28" t="s">
        <v>168</v>
      </c>
      <c r="G809" s="29" t="s">
        <v>360</v>
      </c>
      <c r="H809" s="30" t="str">
        <f>HYPERLINK("https://www.munzee.com/m/raunas/4398", "raunas/4398")</f>
        <v>raunas/4398</v>
      </c>
      <c r="J809" s="31">
        <f t="shared" si="3"/>
        <v>2</v>
      </c>
    </row>
    <row r="810">
      <c r="A810" s="28">
        <v>14.0</v>
      </c>
      <c r="B810" s="28">
        <v>13.0</v>
      </c>
      <c r="C810" s="28">
        <v>53.4956825449986</v>
      </c>
      <c r="D810" s="28">
        <v>9.99255708348005</v>
      </c>
      <c r="E810" s="28" t="s">
        <v>15</v>
      </c>
      <c r="F810" s="28" t="s">
        <v>168</v>
      </c>
      <c r="G810" s="29" t="s">
        <v>315</v>
      </c>
      <c r="H810" s="30" t="str">
        <f>HYPERLINK("https://www.munzee.com/m/HabakukTibatong/1234/map/", "HabakukTibatong/1234")</f>
        <v>HabakukTibatong/1234</v>
      </c>
      <c r="J810" s="31">
        <f t="shared" si="3"/>
        <v>10</v>
      </c>
    </row>
    <row r="811">
      <c r="A811" s="28">
        <v>14.0</v>
      </c>
      <c r="B811" s="28">
        <v>14.0</v>
      </c>
      <c r="C811" s="28">
        <v>53.4956700178232</v>
      </c>
      <c r="D811" s="28">
        <v>9.99279777514391</v>
      </c>
      <c r="E811" s="28" t="s">
        <v>15</v>
      </c>
      <c r="F811" s="28" t="s">
        <v>168</v>
      </c>
      <c r="G811" s="29" t="s">
        <v>364</v>
      </c>
      <c r="H811" s="30" t="str">
        <f>HYPERLINK("https://www.munzee.com/m/einkilorind/3058/", "einkilorind/3058")</f>
        <v>einkilorind/3058</v>
      </c>
      <c r="J811" s="31">
        <f t="shared" si="3"/>
        <v>17</v>
      </c>
    </row>
    <row r="812">
      <c r="A812" s="28">
        <v>14.0</v>
      </c>
      <c r="B812" s="28">
        <v>15.0</v>
      </c>
      <c r="C812" s="28">
        <v>53.4956574906477</v>
      </c>
      <c r="D812" s="28">
        <v>9.9930384667366</v>
      </c>
      <c r="E812" s="28" t="s">
        <v>15</v>
      </c>
      <c r="F812" s="28" t="s">
        <v>168</v>
      </c>
      <c r="G812" s="29" t="s">
        <v>284</v>
      </c>
      <c r="H812" s="30" t="str">
        <f>HYPERLINK("https://www.munzee.com/m/hz/4112/", "hz/4112")</f>
        <v>hz/4112</v>
      </c>
      <c r="J812" s="31">
        <f t="shared" si="3"/>
        <v>4</v>
      </c>
    </row>
    <row r="813">
      <c r="A813" s="28">
        <v>14.0</v>
      </c>
      <c r="B813" s="28">
        <v>16.0</v>
      </c>
      <c r="C813" s="28">
        <v>53.4956449634722</v>
      </c>
      <c r="D813" s="28">
        <v>9.99327915825824</v>
      </c>
      <c r="E813" s="28" t="s">
        <v>15</v>
      </c>
      <c r="F813" s="28" t="s">
        <v>168</v>
      </c>
      <c r="G813" s="29" t="s">
        <v>316</v>
      </c>
      <c r="H813" s="30" t="str">
        <f>HYPERLINK("https://www.munzee.com/m/Gamsci/5195/", "Gamsci/5195")</f>
        <v>Gamsci/5195</v>
      </c>
      <c r="J813" s="31">
        <f t="shared" si="3"/>
        <v>10</v>
      </c>
    </row>
    <row r="814">
      <c r="A814" s="28">
        <v>14.0</v>
      </c>
      <c r="B814" s="28">
        <v>17.0</v>
      </c>
      <c r="C814" s="28">
        <v>53.4956324362967</v>
      </c>
      <c r="D814" s="28">
        <v>9.99351984970883</v>
      </c>
      <c r="E814" s="28" t="s">
        <v>15</v>
      </c>
      <c r="F814" s="28" t="s">
        <v>168</v>
      </c>
      <c r="G814" s="29" t="s">
        <v>368</v>
      </c>
      <c r="H814" s="30" t="str">
        <f>HYPERLINK("https://www.munzee.com/m/kiwipanther/1104", "kiwipanther/1104")</f>
        <v>kiwipanther/1104</v>
      </c>
      <c r="J814" s="31">
        <f t="shared" si="3"/>
        <v>2</v>
      </c>
    </row>
    <row r="815">
      <c r="A815" s="28">
        <v>14.0</v>
      </c>
      <c r="B815" s="28">
        <v>18.0</v>
      </c>
      <c r="C815" s="28">
        <v>53.4956199091212</v>
      </c>
      <c r="D815" s="28">
        <v>9.99376054108825</v>
      </c>
      <c r="E815" s="28" t="s">
        <v>15</v>
      </c>
      <c r="F815" s="28" t="s">
        <v>168</v>
      </c>
      <c r="G815" s="29" t="s">
        <v>364</v>
      </c>
      <c r="H815" s="30" t="str">
        <f>HYPERLINK("https://www.munzee.com/m/einkilorind/2813/", "einkilorind/2813")</f>
        <v>einkilorind/2813</v>
      </c>
      <c r="J815" s="31">
        <f t="shared" si="3"/>
        <v>17</v>
      </c>
    </row>
    <row r="816">
      <c r="A816" s="28">
        <v>14.0</v>
      </c>
      <c r="B816" s="28">
        <v>19.0</v>
      </c>
      <c r="C816" s="28">
        <v>53.4956073819458</v>
      </c>
      <c r="D816" s="28">
        <v>9.99400123239661</v>
      </c>
      <c r="E816" s="28" t="s">
        <v>15</v>
      </c>
      <c r="F816" s="28" t="s">
        <v>168</v>
      </c>
      <c r="G816" s="29" t="s">
        <v>28</v>
      </c>
      <c r="H816" s="30" t="str">
        <f>HYPERLINK("https://www.munzee.com/m/dreiengel/7912/", "dreiengel/7912")</f>
        <v>dreiengel/7912</v>
      </c>
      <c r="J816" s="31">
        <f t="shared" si="3"/>
        <v>9</v>
      </c>
    </row>
    <row r="817">
      <c r="A817" s="28">
        <v>14.0</v>
      </c>
      <c r="B817" s="28">
        <v>20.0</v>
      </c>
      <c r="C817" s="28">
        <v>53.4955948547703</v>
      </c>
      <c r="D817" s="28">
        <v>9.9942419236338</v>
      </c>
      <c r="E817" s="28" t="s">
        <v>25</v>
      </c>
      <c r="F817" s="28" t="s">
        <v>14</v>
      </c>
      <c r="G817" s="29" t="s">
        <v>145</v>
      </c>
      <c r="H817" s="30" t="s">
        <v>369</v>
      </c>
      <c r="J817" s="31">
        <f t="shared" si="3"/>
        <v>40</v>
      </c>
    </row>
    <row r="818">
      <c r="A818" s="28">
        <v>14.0</v>
      </c>
      <c r="B818" s="28">
        <v>21.0</v>
      </c>
      <c r="C818" s="28">
        <v>53.4955823275948</v>
      </c>
      <c r="D818" s="28">
        <v>9.99448261479995</v>
      </c>
      <c r="E818" s="28" t="s">
        <v>25</v>
      </c>
      <c r="F818" s="28" t="s">
        <v>14</v>
      </c>
      <c r="G818" s="38"/>
      <c r="H818" s="38"/>
      <c r="J818" s="31">
        <f t="shared" si="3"/>
        <v>0</v>
      </c>
    </row>
    <row r="819">
      <c r="A819" s="28">
        <v>14.0</v>
      </c>
      <c r="B819" s="28">
        <v>22.0</v>
      </c>
      <c r="C819" s="28">
        <v>53.4955698004193</v>
      </c>
      <c r="D819" s="28">
        <v>9.99472330589492</v>
      </c>
      <c r="E819" s="28" t="s">
        <v>25</v>
      </c>
      <c r="F819" s="28" t="s">
        <v>14</v>
      </c>
      <c r="G819" s="38"/>
      <c r="H819" s="38"/>
      <c r="J819" s="31">
        <f t="shared" si="3"/>
        <v>0</v>
      </c>
    </row>
    <row r="820">
      <c r="A820" s="28">
        <v>14.0</v>
      </c>
      <c r="B820" s="28">
        <v>23.0</v>
      </c>
      <c r="C820" s="28">
        <v>53.4955572732439</v>
      </c>
      <c r="D820" s="28">
        <v>9.99496399691884</v>
      </c>
      <c r="E820" s="28" t="s">
        <v>25</v>
      </c>
      <c r="F820" s="28" t="s">
        <v>14</v>
      </c>
      <c r="G820" s="29" t="s">
        <v>145</v>
      </c>
      <c r="H820" s="30" t="s">
        <v>370</v>
      </c>
      <c r="J820" s="31">
        <f t="shared" si="3"/>
        <v>40</v>
      </c>
    </row>
    <row r="821">
      <c r="A821" s="28">
        <v>14.0</v>
      </c>
      <c r="B821" s="28">
        <v>24.0</v>
      </c>
      <c r="C821" s="28">
        <v>53.4955447460684</v>
      </c>
      <c r="D821" s="28">
        <v>9.99520468787159</v>
      </c>
      <c r="E821" s="28" t="s">
        <v>25</v>
      </c>
      <c r="F821" s="28" t="s">
        <v>14</v>
      </c>
      <c r="G821" s="38"/>
      <c r="H821" s="38"/>
      <c r="J821" s="31">
        <f t="shared" si="3"/>
        <v>0</v>
      </c>
    </row>
    <row r="822">
      <c r="A822" s="28">
        <v>14.0</v>
      </c>
      <c r="B822" s="28">
        <v>25.0</v>
      </c>
      <c r="C822" s="28">
        <v>53.4955322188929</v>
      </c>
      <c r="D822" s="28">
        <v>9.99544537875328</v>
      </c>
      <c r="E822" s="28" t="s">
        <v>25</v>
      </c>
      <c r="F822" s="28" t="s">
        <v>14</v>
      </c>
      <c r="G822" s="29" t="s">
        <v>164</v>
      </c>
      <c r="H822" s="35" t="s">
        <v>371</v>
      </c>
      <c r="J822" s="31">
        <f t="shared" si="3"/>
        <v>133</v>
      </c>
    </row>
    <row r="823">
      <c r="A823" s="28">
        <v>14.0</v>
      </c>
      <c r="B823" s="28">
        <v>26.0</v>
      </c>
      <c r="C823" s="28">
        <v>53.4955196917174</v>
      </c>
      <c r="D823" s="28">
        <v>9.99568606956381</v>
      </c>
      <c r="E823" s="28" t="s">
        <v>25</v>
      </c>
      <c r="F823" s="28" t="s">
        <v>14</v>
      </c>
      <c r="G823" s="38"/>
      <c r="H823" s="38"/>
      <c r="J823" s="31">
        <f t="shared" si="3"/>
        <v>0</v>
      </c>
    </row>
    <row r="824">
      <c r="A824" s="28">
        <v>14.0</v>
      </c>
      <c r="B824" s="28">
        <v>27.0</v>
      </c>
      <c r="C824" s="28">
        <v>53.4955071645419</v>
      </c>
      <c r="D824" s="28">
        <v>9.99592676030329</v>
      </c>
      <c r="E824" s="28" t="s">
        <v>25</v>
      </c>
      <c r="F824" s="28" t="s">
        <v>14</v>
      </c>
      <c r="G824" s="38"/>
      <c r="H824" s="38"/>
      <c r="J824" s="31">
        <f t="shared" si="3"/>
        <v>0</v>
      </c>
    </row>
    <row r="825">
      <c r="A825" s="28">
        <v>14.0</v>
      </c>
      <c r="B825" s="28">
        <v>28.0</v>
      </c>
      <c r="C825" s="28">
        <v>53.4954946373665</v>
      </c>
      <c r="D825" s="28">
        <v>9.99616745097159</v>
      </c>
      <c r="E825" s="28" t="s">
        <v>25</v>
      </c>
      <c r="F825" s="28" t="s">
        <v>14</v>
      </c>
      <c r="G825" s="29" t="s">
        <v>164</v>
      </c>
      <c r="H825" s="35" t="s">
        <v>372</v>
      </c>
      <c r="J825" s="31">
        <f t="shared" si="3"/>
        <v>133</v>
      </c>
    </row>
    <row r="826">
      <c r="A826" s="28">
        <v>14.0</v>
      </c>
      <c r="B826" s="28">
        <v>29.0</v>
      </c>
      <c r="C826" s="28">
        <v>53.495482110191</v>
      </c>
      <c r="D826" s="28">
        <v>9.99640814156885</v>
      </c>
      <c r="E826" s="28" t="s">
        <v>25</v>
      </c>
      <c r="F826" s="28" t="s">
        <v>14</v>
      </c>
      <c r="G826" s="38"/>
      <c r="H826" s="38"/>
      <c r="J826" s="31">
        <f t="shared" si="3"/>
        <v>0</v>
      </c>
    </row>
    <row r="827">
      <c r="A827" s="28">
        <v>14.0</v>
      </c>
      <c r="B827" s="28">
        <v>30.0</v>
      </c>
      <c r="C827" s="28">
        <v>53.4954695830155</v>
      </c>
      <c r="D827" s="28">
        <v>9.99664883209504</v>
      </c>
      <c r="E827" s="28" t="s">
        <v>25</v>
      </c>
      <c r="F827" s="28" t="s">
        <v>14</v>
      </c>
      <c r="G827" s="38"/>
      <c r="H827" s="38"/>
      <c r="J827" s="31">
        <f t="shared" si="3"/>
        <v>0</v>
      </c>
    </row>
    <row r="828">
      <c r="A828" s="28">
        <v>14.0</v>
      </c>
      <c r="B828" s="28">
        <v>31.0</v>
      </c>
      <c r="C828" s="28">
        <v>53.49545705584</v>
      </c>
      <c r="D828" s="28">
        <v>9.99688952255007</v>
      </c>
      <c r="E828" s="28" t="s">
        <v>25</v>
      </c>
      <c r="F828" s="28" t="s">
        <v>14</v>
      </c>
      <c r="G828" s="29" t="s">
        <v>164</v>
      </c>
      <c r="H828" s="35" t="s">
        <v>373</v>
      </c>
      <c r="J828" s="31">
        <f t="shared" si="3"/>
        <v>133</v>
      </c>
    </row>
    <row r="829">
      <c r="A829" s="28">
        <v>14.0</v>
      </c>
      <c r="B829" s="28">
        <v>32.0</v>
      </c>
      <c r="C829" s="28">
        <v>53.4954445286646</v>
      </c>
      <c r="D829" s="28">
        <v>9.99713021293405</v>
      </c>
      <c r="E829" s="28" t="s">
        <v>25</v>
      </c>
      <c r="F829" s="28" t="s">
        <v>14</v>
      </c>
      <c r="G829" s="38"/>
      <c r="H829" s="38"/>
      <c r="J829" s="31">
        <f t="shared" si="3"/>
        <v>0</v>
      </c>
    </row>
    <row r="830">
      <c r="A830" s="28">
        <v>14.0</v>
      </c>
      <c r="B830" s="28">
        <v>33.0</v>
      </c>
      <c r="C830" s="28">
        <v>53.4954320014891</v>
      </c>
      <c r="D830" s="28">
        <v>9.99737090324686</v>
      </c>
      <c r="E830" s="28" t="s">
        <v>25</v>
      </c>
      <c r="F830" s="28" t="s">
        <v>14</v>
      </c>
      <c r="G830" s="38"/>
      <c r="H830" s="38"/>
      <c r="J830" s="31">
        <f t="shared" si="3"/>
        <v>0</v>
      </c>
    </row>
    <row r="831">
      <c r="A831" s="28">
        <v>14.0</v>
      </c>
      <c r="B831" s="28">
        <v>34.0</v>
      </c>
      <c r="C831" s="28">
        <v>53.4954194743136</v>
      </c>
      <c r="D831" s="28">
        <v>9.99761159348861</v>
      </c>
      <c r="E831" s="28" t="s">
        <v>25</v>
      </c>
      <c r="F831" s="28" t="s">
        <v>14</v>
      </c>
      <c r="G831" s="29" t="s">
        <v>164</v>
      </c>
      <c r="H831" s="35" t="s">
        <v>374</v>
      </c>
      <c r="J831" s="31">
        <f t="shared" si="3"/>
        <v>133</v>
      </c>
    </row>
    <row r="832">
      <c r="A832" s="28">
        <v>14.0</v>
      </c>
      <c r="B832" s="28">
        <v>35.0</v>
      </c>
      <c r="C832" s="28">
        <v>53.4954069471381</v>
      </c>
      <c r="D832" s="28">
        <v>9.9978522836592</v>
      </c>
      <c r="E832" s="28" t="s">
        <v>25</v>
      </c>
      <c r="F832" s="28" t="s">
        <v>14</v>
      </c>
      <c r="G832" s="38"/>
      <c r="H832" s="38"/>
      <c r="J832" s="31">
        <f t="shared" si="3"/>
        <v>0</v>
      </c>
    </row>
    <row r="833">
      <c r="A833" s="28">
        <v>14.0</v>
      </c>
      <c r="B833" s="28">
        <v>36.0</v>
      </c>
      <c r="C833" s="28">
        <v>53.4953944199626</v>
      </c>
      <c r="D833" s="28">
        <v>9.99809297375873</v>
      </c>
      <c r="E833" s="28" t="s">
        <v>25</v>
      </c>
      <c r="F833" s="28" t="s">
        <v>14</v>
      </c>
      <c r="G833" s="38"/>
      <c r="H833" s="38"/>
      <c r="J833" s="31">
        <f t="shared" si="3"/>
        <v>0</v>
      </c>
    </row>
    <row r="834">
      <c r="A834" s="28">
        <v>14.0</v>
      </c>
      <c r="B834" s="28">
        <v>37.0</v>
      </c>
      <c r="C834" s="28">
        <v>53.4953818927872</v>
      </c>
      <c r="D834" s="28">
        <v>9.9983336637872</v>
      </c>
      <c r="E834" s="28" t="s">
        <v>25</v>
      </c>
      <c r="F834" s="28" t="s">
        <v>14</v>
      </c>
      <c r="G834" s="29" t="s">
        <v>164</v>
      </c>
      <c r="H834" s="35" t="s">
        <v>375</v>
      </c>
      <c r="J834" s="31">
        <f t="shared" si="3"/>
        <v>133</v>
      </c>
    </row>
    <row r="835">
      <c r="A835" s="28">
        <v>14.0</v>
      </c>
      <c r="B835" s="28">
        <v>38.0</v>
      </c>
      <c r="C835" s="28">
        <v>53.4953693656117</v>
      </c>
      <c r="D835" s="28">
        <v>9.99857435374451</v>
      </c>
      <c r="E835" s="28" t="s">
        <v>25</v>
      </c>
      <c r="F835" s="28" t="s">
        <v>14</v>
      </c>
      <c r="G835" s="38"/>
      <c r="H835" s="38"/>
      <c r="J835" s="31">
        <f t="shared" si="3"/>
        <v>0</v>
      </c>
    </row>
    <row r="836">
      <c r="A836" s="28">
        <v>14.0</v>
      </c>
      <c r="B836" s="28">
        <v>39.0</v>
      </c>
      <c r="C836" s="28">
        <v>53.4953568384362</v>
      </c>
      <c r="D836" s="28">
        <v>9.99881504363065</v>
      </c>
      <c r="E836" s="28" t="s">
        <v>25</v>
      </c>
      <c r="F836" s="28" t="s">
        <v>14</v>
      </c>
      <c r="G836" s="38"/>
      <c r="H836" s="38"/>
      <c r="J836" s="31">
        <f t="shared" si="3"/>
        <v>0</v>
      </c>
    </row>
    <row r="837">
      <c r="A837" s="28">
        <v>14.0</v>
      </c>
      <c r="B837" s="28">
        <v>40.0</v>
      </c>
      <c r="C837" s="28">
        <v>53.4953443112607</v>
      </c>
      <c r="D837" s="28">
        <v>9.99905573344574</v>
      </c>
      <c r="E837" s="28" t="s">
        <v>25</v>
      </c>
      <c r="F837" s="28" t="s">
        <v>14</v>
      </c>
      <c r="G837" s="29" t="s">
        <v>164</v>
      </c>
      <c r="H837" s="35" t="s">
        <v>376</v>
      </c>
      <c r="J837" s="31">
        <f t="shared" si="3"/>
        <v>133</v>
      </c>
    </row>
    <row r="838">
      <c r="A838" s="28">
        <v>14.0</v>
      </c>
      <c r="B838" s="28">
        <v>41.0</v>
      </c>
      <c r="C838" s="28">
        <v>53.4953317840853</v>
      </c>
      <c r="D838" s="28">
        <v>9.99929642318966</v>
      </c>
      <c r="E838" s="28" t="s">
        <v>15</v>
      </c>
      <c r="F838" s="28" t="s">
        <v>168</v>
      </c>
      <c r="G838" s="29" t="s">
        <v>316</v>
      </c>
      <c r="H838" s="30" t="str">
        <f>HYPERLINK("https://www.munzee.com/m/Gamsci/5279/", "Gamsci/5279")</f>
        <v>Gamsci/5279</v>
      </c>
      <c r="J838" s="31">
        <f t="shared" si="3"/>
        <v>10</v>
      </c>
    </row>
    <row r="839">
      <c r="A839" s="28">
        <v>14.0</v>
      </c>
      <c r="B839" s="28">
        <v>42.0</v>
      </c>
      <c r="C839" s="28">
        <v>53.4953192569098</v>
      </c>
      <c r="D839" s="28">
        <v>9.99953711286252</v>
      </c>
      <c r="E839" s="28" t="s">
        <v>15</v>
      </c>
      <c r="F839" s="28" t="s">
        <v>168</v>
      </c>
      <c r="G839" s="29" t="s">
        <v>368</v>
      </c>
      <c r="H839" s="30" t="str">
        <f>HYPERLINK("https://www.munzee.com/m/kiwipanther/1109", "kiwipanther/1109")</f>
        <v>kiwipanther/1109</v>
      </c>
      <c r="J839" s="31">
        <f t="shared" si="3"/>
        <v>2</v>
      </c>
    </row>
    <row r="840">
      <c r="A840" s="28">
        <v>14.0</v>
      </c>
      <c r="B840" s="28">
        <v>43.0</v>
      </c>
      <c r="C840" s="28">
        <v>53.4953067297343</v>
      </c>
      <c r="D840" s="28">
        <v>9.99977780246433</v>
      </c>
      <c r="E840" s="28" t="s">
        <v>15</v>
      </c>
      <c r="F840" s="28" t="s">
        <v>168</v>
      </c>
      <c r="G840" s="29" t="s">
        <v>26</v>
      </c>
      <c r="H840" s="30" t="str">
        <f>HYPERLINK("https://www.munzee.com/m/Elli/6626/", "Elli/6626")</f>
        <v>Elli/6626</v>
      </c>
      <c r="J840" s="31">
        <f t="shared" si="3"/>
        <v>143</v>
      </c>
    </row>
    <row r="841">
      <c r="A841" s="28">
        <v>14.0</v>
      </c>
      <c r="B841" s="28">
        <v>44.0</v>
      </c>
      <c r="C841" s="28">
        <v>53.4952942025589</v>
      </c>
      <c r="D841" s="28">
        <v>10.0000184919949</v>
      </c>
      <c r="E841" s="28" t="s">
        <v>15</v>
      </c>
      <c r="F841" s="28" t="s">
        <v>168</v>
      </c>
      <c r="G841" s="29" t="s">
        <v>377</v>
      </c>
      <c r="H841" s="30" t="str">
        <f>HYPERLINK("https://www.munzee.com/m/yoloerik/912", "yoloerik/912")</f>
        <v>yoloerik/912</v>
      </c>
      <c r="J841" s="31">
        <f t="shared" si="3"/>
        <v>2</v>
      </c>
    </row>
    <row r="842">
      <c r="A842" s="28">
        <v>14.0</v>
      </c>
      <c r="B842" s="28">
        <v>45.0</v>
      </c>
      <c r="C842" s="28">
        <v>53.4952816753834</v>
      </c>
      <c r="D842" s="28">
        <v>10.0002591814545</v>
      </c>
      <c r="E842" s="28" t="s">
        <v>15</v>
      </c>
      <c r="F842" s="28" t="s">
        <v>168</v>
      </c>
      <c r="G842" s="29" t="s">
        <v>362</v>
      </c>
      <c r="H842" s="30" t="str">
        <f>HYPERLINK("https://www.munzee.com/m/elefantoduck/1157/", "elefantoduck/1157")</f>
        <v>elefantoduck/1157</v>
      </c>
      <c r="J842" s="31">
        <f t="shared" si="3"/>
        <v>13</v>
      </c>
    </row>
    <row r="843">
      <c r="A843" s="28">
        <v>14.0</v>
      </c>
      <c r="B843" s="28">
        <v>46.0</v>
      </c>
      <c r="C843" s="28">
        <v>53.4952691482079</v>
      </c>
      <c r="D843" s="28">
        <v>10.0004998708429</v>
      </c>
      <c r="E843" s="28" t="s">
        <v>15</v>
      </c>
      <c r="F843" s="28" t="s">
        <v>168</v>
      </c>
      <c r="G843" s="29" t="s">
        <v>26</v>
      </c>
      <c r="H843" s="30" t="str">
        <f>HYPERLINK("https://www.munzee.com/m/Elli/6613/", "Elli/6613")</f>
        <v>Elli/6613</v>
      </c>
      <c r="J843" s="31">
        <f t="shared" si="3"/>
        <v>143</v>
      </c>
    </row>
    <row r="844">
      <c r="A844" s="28">
        <v>14.0</v>
      </c>
      <c r="B844" s="28">
        <v>47.0</v>
      </c>
      <c r="C844" s="28">
        <v>53.4952566210324</v>
      </c>
      <c r="D844" s="28">
        <v>10.0007405601603</v>
      </c>
      <c r="E844" s="28" t="s">
        <v>15</v>
      </c>
      <c r="F844" s="28" t="s">
        <v>168</v>
      </c>
      <c r="G844" s="29" t="s">
        <v>188</v>
      </c>
      <c r="H844" s="30" t="str">
        <f>HYPERLINK("https://www.munzee.com/m/jokerFG/2435", "jokerFG/2435")</f>
        <v>jokerFG/2435</v>
      </c>
      <c r="J844" s="31">
        <f t="shared" si="3"/>
        <v>10</v>
      </c>
    </row>
    <row r="845">
      <c r="A845" s="28">
        <v>14.0</v>
      </c>
      <c r="B845" s="28">
        <v>48.0</v>
      </c>
      <c r="C845" s="28">
        <v>53.4952440938569</v>
      </c>
      <c r="D845" s="28">
        <v>10.0009812494065</v>
      </c>
      <c r="E845" s="28" t="s">
        <v>15</v>
      </c>
      <c r="F845" s="28" t="s">
        <v>168</v>
      </c>
      <c r="G845" s="29" t="s">
        <v>55</v>
      </c>
      <c r="H845" s="30" t="str">
        <f>HYPERLINK("https://www.munzee.com/m/boerse82/5618/", "boerse82/5618")</f>
        <v>boerse82/5618</v>
      </c>
      <c r="J845" s="31">
        <f t="shared" si="3"/>
        <v>51</v>
      </c>
    </row>
    <row r="846">
      <c r="A846" s="28">
        <v>14.0</v>
      </c>
      <c r="B846" s="28">
        <v>49.0</v>
      </c>
      <c r="C846" s="28">
        <v>53.4952315666815</v>
      </c>
      <c r="D846" s="28">
        <v>10.0012219385816</v>
      </c>
      <c r="E846" s="28" t="s">
        <v>15</v>
      </c>
      <c r="F846" s="28" t="s">
        <v>168</v>
      </c>
      <c r="G846" s="29" t="s">
        <v>377</v>
      </c>
      <c r="H846" s="30" t="str">
        <f>HYPERLINK("https://www.munzee.com/m/yoloerik/916", "yoloerik/916")</f>
        <v>yoloerik/916</v>
      </c>
      <c r="J846" s="31">
        <f t="shared" si="3"/>
        <v>2</v>
      </c>
    </row>
    <row r="847">
      <c r="A847" s="28">
        <v>14.0</v>
      </c>
      <c r="B847" s="28">
        <v>50.0</v>
      </c>
      <c r="C847" s="28">
        <v>53.495219039506</v>
      </c>
      <c r="D847" s="28">
        <v>10.0014626276856</v>
      </c>
      <c r="E847" s="28" t="s">
        <v>15</v>
      </c>
      <c r="F847" s="28" t="s">
        <v>168</v>
      </c>
      <c r="G847" s="29" t="s">
        <v>362</v>
      </c>
      <c r="H847" s="30" t="str">
        <f>HYPERLINK("https://www.munzee.com/m/elefantoduck/1185", "elefantoduck/1185")</f>
        <v>elefantoduck/1185</v>
      </c>
      <c r="J847" s="31">
        <f t="shared" si="3"/>
        <v>13</v>
      </c>
    </row>
    <row r="848">
      <c r="A848" s="28">
        <v>14.0</v>
      </c>
      <c r="B848" s="28">
        <v>51.0</v>
      </c>
      <c r="C848" s="28">
        <v>53.4952065123305</v>
      </c>
      <c r="D848" s="28">
        <v>10.0017033167185</v>
      </c>
      <c r="E848" s="28" t="s">
        <v>15</v>
      </c>
      <c r="F848" s="28" t="s">
        <v>168</v>
      </c>
      <c r="G848" s="29" t="s">
        <v>55</v>
      </c>
      <c r="H848" s="30" t="str">
        <f>HYPERLINK("https://www.munzee.com/m/boerse82/5613/", "boerse82/5613")</f>
        <v>boerse82/5613</v>
      </c>
      <c r="J848" s="31">
        <f t="shared" si="3"/>
        <v>51</v>
      </c>
    </row>
    <row r="849">
      <c r="A849" s="28">
        <v>14.0</v>
      </c>
      <c r="B849" s="28">
        <v>52.0</v>
      </c>
      <c r="C849" s="28">
        <v>53.495193985155</v>
      </c>
      <c r="D849" s="28">
        <v>10.0019440056804</v>
      </c>
      <c r="E849" s="28" t="s">
        <v>25</v>
      </c>
      <c r="F849" s="28" t="s">
        <v>14</v>
      </c>
      <c r="G849" s="29" t="s">
        <v>94</v>
      </c>
      <c r="H849" s="33" t="s">
        <v>378</v>
      </c>
      <c r="J849" s="31">
        <f t="shared" si="3"/>
        <v>42</v>
      </c>
    </row>
    <row r="850">
      <c r="A850" s="28">
        <v>14.0</v>
      </c>
      <c r="B850" s="28">
        <v>53.0</v>
      </c>
      <c r="C850" s="28">
        <v>53.4951814579796</v>
      </c>
      <c r="D850" s="28">
        <v>10.0021846945711</v>
      </c>
      <c r="E850" s="28" t="s">
        <v>25</v>
      </c>
      <c r="F850" s="28" t="s">
        <v>14</v>
      </c>
      <c r="G850" s="29" t="s">
        <v>145</v>
      </c>
      <c r="H850" s="30" t="s">
        <v>379</v>
      </c>
      <c r="J850" s="31">
        <f t="shared" si="3"/>
        <v>40</v>
      </c>
    </row>
    <row r="851">
      <c r="A851" s="28">
        <v>14.0</v>
      </c>
      <c r="B851" s="28">
        <v>54.0</v>
      </c>
      <c r="C851" s="28">
        <v>53.4951689308041</v>
      </c>
      <c r="D851" s="28">
        <v>10.0024253833908</v>
      </c>
      <c r="E851" s="28" t="s">
        <v>25</v>
      </c>
      <c r="F851" s="28" t="s">
        <v>14</v>
      </c>
      <c r="G851" s="38"/>
      <c r="H851" s="38"/>
      <c r="J851" s="31">
        <f t="shared" si="3"/>
        <v>0</v>
      </c>
    </row>
    <row r="852">
      <c r="A852" s="28">
        <v>14.0</v>
      </c>
      <c r="B852" s="28">
        <v>55.0</v>
      </c>
      <c r="C852" s="28">
        <v>53.4951564036286</v>
      </c>
      <c r="D852" s="28">
        <v>10.0026660721392</v>
      </c>
      <c r="E852" s="28" t="s">
        <v>25</v>
      </c>
      <c r="F852" s="28" t="s">
        <v>14</v>
      </c>
      <c r="G852" s="29" t="s">
        <v>94</v>
      </c>
      <c r="H852" s="33" t="s">
        <v>380</v>
      </c>
      <c r="J852" s="31">
        <f t="shared" si="3"/>
        <v>42</v>
      </c>
    </row>
    <row r="853">
      <c r="A853" s="28">
        <v>14.0</v>
      </c>
      <c r="B853" s="28">
        <v>56.0</v>
      </c>
      <c r="C853" s="28">
        <v>53.4951438764532</v>
      </c>
      <c r="D853" s="28">
        <v>10.0029067608167</v>
      </c>
      <c r="E853" s="28" t="s">
        <v>15</v>
      </c>
      <c r="F853" s="28" t="s">
        <v>168</v>
      </c>
      <c r="G853" s="29" t="s">
        <v>55</v>
      </c>
      <c r="H853" s="30" t="str">
        <f>HYPERLINK("https://www.munzee.com/m/boerse82/5611/", "boerse82/5611")</f>
        <v>boerse82/5611</v>
      </c>
      <c r="J853" s="31">
        <f t="shared" si="3"/>
        <v>51</v>
      </c>
    </row>
    <row r="854">
      <c r="A854" s="28">
        <v>14.0</v>
      </c>
      <c r="B854" s="28">
        <v>57.0</v>
      </c>
      <c r="C854" s="28">
        <v>53.4951313492777</v>
      </c>
      <c r="D854" s="28">
        <v>10.003147449423</v>
      </c>
      <c r="E854" s="28" t="s">
        <v>15</v>
      </c>
      <c r="F854" s="28" t="s">
        <v>168</v>
      </c>
      <c r="G854" s="29" t="s">
        <v>26</v>
      </c>
      <c r="H854" s="30" t="str">
        <f>HYPERLINK("https://www.munzee.com/m/Elli/6653/", "Elli/6653")</f>
        <v>Elli/6653</v>
      </c>
      <c r="J854" s="31">
        <f t="shared" si="3"/>
        <v>143</v>
      </c>
    </row>
    <row r="855">
      <c r="A855" s="28">
        <v>14.0</v>
      </c>
      <c r="B855" s="28">
        <v>58.0</v>
      </c>
      <c r="C855" s="28">
        <v>53.4951188221022</v>
      </c>
      <c r="D855" s="28">
        <v>10.0033881379582</v>
      </c>
      <c r="E855" s="28" t="s">
        <v>15</v>
      </c>
      <c r="F855" s="28" t="s">
        <v>168</v>
      </c>
      <c r="G855" s="29" t="s">
        <v>316</v>
      </c>
      <c r="H855" s="30" t="str">
        <f>HYPERLINK("https://www.munzee.com/m/Gamsci/5280/", "Gamsci/5280")</f>
        <v>Gamsci/5280</v>
      </c>
      <c r="J855" s="31">
        <f t="shared" si="3"/>
        <v>10</v>
      </c>
    </row>
    <row r="856">
      <c r="A856" s="28">
        <v>14.0</v>
      </c>
      <c r="B856" s="28">
        <v>59.0</v>
      </c>
      <c r="C856" s="28">
        <v>53.4951062949267</v>
      </c>
      <c r="D856" s="28">
        <v>10.0036288264223</v>
      </c>
      <c r="E856" s="28" t="s">
        <v>15</v>
      </c>
      <c r="F856" s="28" t="s">
        <v>168</v>
      </c>
      <c r="G856" s="29" t="s">
        <v>317</v>
      </c>
      <c r="H856" s="30" t="str">
        <f>HYPERLINK("https://www.munzee.com/m/ivwarrior/4268/", "ivwarrior/4268")</f>
        <v>ivwarrior/4268</v>
      </c>
      <c r="J856" s="31">
        <f t="shared" si="3"/>
        <v>6</v>
      </c>
    </row>
    <row r="857">
      <c r="A857" s="28">
        <v>14.0</v>
      </c>
      <c r="B857" s="28">
        <v>60.0</v>
      </c>
      <c r="C857" s="28">
        <v>53.4950937677513</v>
      </c>
      <c r="D857" s="28">
        <v>10.0038695148152</v>
      </c>
      <c r="E857" s="28" t="s">
        <v>25</v>
      </c>
      <c r="F857" s="28" t="s">
        <v>14</v>
      </c>
      <c r="G857" s="29" t="s">
        <v>94</v>
      </c>
      <c r="H857" s="33" t="s">
        <v>381</v>
      </c>
      <c r="J857" s="31">
        <f t="shared" si="3"/>
        <v>42</v>
      </c>
    </row>
    <row r="858">
      <c r="A858" s="28">
        <v>15.0</v>
      </c>
      <c r="B858" s="28">
        <v>1.0</v>
      </c>
      <c r="C858" s="28">
        <v>53.4956896875948</v>
      </c>
      <c r="D858" s="28">
        <v>9.98964772016563</v>
      </c>
      <c r="E858" s="28" t="s">
        <v>25</v>
      </c>
      <c r="F858" s="28" t="s">
        <v>14</v>
      </c>
      <c r="G858" s="29" t="s">
        <v>30</v>
      </c>
      <c r="H858" s="30" t="str">
        <f>HYPERLINK("https://www.munzee.com/m/SachensucherHB/1489/", "SachensucherHB/1489")</f>
        <v>SachensucherHB/1489</v>
      </c>
      <c r="J858" s="31">
        <f t="shared" si="3"/>
        <v>62</v>
      </c>
    </row>
    <row r="859">
      <c r="A859" s="28">
        <v>15.0</v>
      </c>
      <c r="B859" s="28">
        <v>2.0</v>
      </c>
      <c r="C859" s="28">
        <v>53.4956771604193</v>
      </c>
      <c r="D859" s="28">
        <v>9.98988841187008</v>
      </c>
      <c r="E859" s="28" t="s">
        <v>15</v>
      </c>
      <c r="F859" s="28" t="s">
        <v>168</v>
      </c>
      <c r="G859" s="29" t="s">
        <v>338</v>
      </c>
      <c r="H859" s="30" t="str">
        <f>HYPERLINK("https://www.munzee.com/m/Team-MTB-OC/5502/", "Team-MTB-OC/5502")</f>
        <v>Team-MTB-OC/5502</v>
      </c>
      <c r="J859" s="31">
        <f t="shared" si="3"/>
        <v>9</v>
      </c>
    </row>
    <row r="860">
      <c r="A860" s="28">
        <v>15.0</v>
      </c>
      <c r="B860" s="28">
        <v>3.0</v>
      </c>
      <c r="C860" s="28">
        <v>53.4956646332439</v>
      </c>
      <c r="D860" s="28">
        <v>9.99012910350336</v>
      </c>
      <c r="E860" s="28" t="s">
        <v>15</v>
      </c>
      <c r="F860" s="28" t="s">
        <v>168</v>
      </c>
      <c r="G860" s="29" t="s">
        <v>382</v>
      </c>
      <c r="H860" s="30" t="str">
        <f>HYPERLINK("https://www.munzee.com/m/RobieSterling/3344/", "RobieSterling/3344")</f>
        <v>RobieSterling/3344</v>
      </c>
      <c r="J860" s="31">
        <f t="shared" si="3"/>
        <v>4</v>
      </c>
    </row>
    <row r="861">
      <c r="A861" s="28">
        <v>15.0</v>
      </c>
      <c r="B861" s="28">
        <v>4.0</v>
      </c>
      <c r="C861" s="28">
        <v>53.4956521060684</v>
      </c>
      <c r="D861" s="28">
        <v>9.99036979506559</v>
      </c>
      <c r="E861" s="28" t="s">
        <v>15</v>
      </c>
      <c r="F861" s="28" t="s">
        <v>168</v>
      </c>
      <c r="G861" s="29" t="s">
        <v>26</v>
      </c>
      <c r="H861" s="30" t="str">
        <f>HYPERLINK("https://www.munzee.com/m/Elli/6651/", "Elli/6651")</f>
        <v>Elli/6651</v>
      </c>
      <c r="J861" s="31">
        <f t="shared" si="3"/>
        <v>143</v>
      </c>
    </row>
    <row r="862">
      <c r="A862" s="28">
        <v>15.0</v>
      </c>
      <c r="B862" s="28">
        <v>5.0</v>
      </c>
      <c r="C862" s="28">
        <v>53.4956395788929</v>
      </c>
      <c r="D862" s="28">
        <v>9.99061048655664</v>
      </c>
      <c r="E862" s="28" t="s">
        <v>15</v>
      </c>
      <c r="F862" s="28" t="s">
        <v>168</v>
      </c>
      <c r="G862" s="29" t="s">
        <v>338</v>
      </c>
      <c r="H862" s="30" t="str">
        <f>HYPERLINK("https://www.munzee.com/m/Team-MTB-OC/5492/", "Team-MTB-OC/5492")</f>
        <v>Team-MTB-OC/5492</v>
      </c>
      <c r="J862" s="31">
        <f t="shared" si="3"/>
        <v>9</v>
      </c>
    </row>
    <row r="863">
      <c r="A863" s="28">
        <v>15.0</v>
      </c>
      <c r="B863" s="28">
        <v>6.0</v>
      </c>
      <c r="C863" s="28">
        <v>53.4956270517174</v>
      </c>
      <c r="D863" s="28">
        <v>9.99085117797665</v>
      </c>
      <c r="E863" s="28" t="s">
        <v>15</v>
      </c>
      <c r="F863" s="28" t="s">
        <v>168</v>
      </c>
      <c r="G863" s="29" t="s">
        <v>382</v>
      </c>
      <c r="H863" s="30" t="str">
        <f>HYPERLINK("https://www.munzee.com/m/RobieSterling/3343/", "RobieSterling/3343")</f>
        <v>RobieSterling/3343</v>
      </c>
      <c r="J863" s="31">
        <f t="shared" si="3"/>
        <v>4</v>
      </c>
    </row>
    <row r="864">
      <c r="A864" s="28">
        <v>15.0</v>
      </c>
      <c r="B864" s="28">
        <v>7.0</v>
      </c>
      <c r="C864" s="28">
        <v>53.4956145245419</v>
      </c>
      <c r="D864" s="28">
        <v>9.99109186932548</v>
      </c>
      <c r="E864" s="28" t="s">
        <v>25</v>
      </c>
      <c r="F864" s="28" t="s">
        <v>14</v>
      </c>
      <c r="G864" s="29" t="s">
        <v>26</v>
      </c>
      <c r="H864" s="30" t="str">
        <f>HYPERLINK("https://www.munzee.com/m/Elli/6352/", "Elli/6352")</f>
        <v>Elli/6352</v>
      </c>
      <c r="J864" s="31">
        <f t="shared" si="3"/>
        <v>143</v>
      </c>
    </row>
    <row r="865">
      <c r="A865" s="28">
        <v>15.0</v>
      </c>
      <c r="B865" s="28">
        <v>8.0</v>
      </c>
      <c r="C865" s="28">
        <v>53.4956019973665</v>
      </c>
      <c r="D865" s="28">
        <v>9.99133256060326</v>
      </c>
      <c r="E865" s="28" t="s">
        <v>25</v>
      </c>
      <c r="F865" s="28" t="s">
        <v>14</v>
      </c>
      <c r="G865" s="29" t="s">
        <v>145</v>
      </c>
      <c r="H865" s="30" t="s">
        <v>383</v>
      </c>
      <c r="J865" s="31">
        <f t="shared" si="3"/>
        <v>40</v>
      </c>
    </row>
    <row r="866">
      <c r="A866" s="28">
        <v>15.0</v>
      </c>
      <c r="B866" s="28">
        <v>9.0</v>
      </c>
      <c r="C866" s="28">
        <v>53.495589470191</v>
      </c>
      <c r="D866" s="28">
        <v>9.99157325180999</v>
      </c>
      <c r="E866" s="28" t="s">
        <v>25</v>
      </c>
      <c r="F866" s="28" t="s">
        <v>14</v>
      </c>
      <c r="G866" s="38"/>
      <c r="H866" s="38"/>
      <c r="J866" s="31">
        <f t="shared" si="3"/>
        <v>0</v>
      </c>
    </row>
    <row r="867">
      <c r="A867" s="28">
        <v>15.0</v>
      </c>
      <c r="B867" s="28">
        <v>10.0</v>
      </c>
      <c r="C867" s="28">
        <v>53.4955769430155</v>
      </c>
      <c r="D867" s="28">
        <v>9.99181394294555</v>
      </c>
      <c r="E867" s="28" t="s">
        <v>25</v>
      </c>
      <c r="F867" s="28" t="s">
        <v>14</v>
      </c>
      <c r="G867" s="38"/>
      <c r="H867" s="38"/>
      <c r="J867" s="31">
        <f t="shared" si="3"/>
        <v>0</v>
      </c>
    </row>
    <row r="868">
      <c r="A868" s="28">
        <v>15.0</v>
      </c>
      <c r="B868" s="28">
        <v>11.0</v>
      </c>
      <c r="C868" s="28">
        <v>53.49556441584</v>
      </c>
      <c r="D868" s="28">
        <v>9.99205463400994</v>
      </c>
      <c r="E868" s="28" t="s">
        <v>25</v>
      </c>
      <c r="F868" s="28" t="s">
        <v>14</v>
      </c>
      <c r="G868" s="29" t="s">
        <v>26</v>
      </c>
      <c r="H868" s="30" t="str">
        <f>HYPERLINK("https://www.munzee.com/m/Elli/6351/", "Elli/6351")</f>
        <v>Elli/6351</v>
      </c>
      <c r="J868" s="31">
        <f t="shared" si="3"/>
        <v>143</v>
      </c>
    </row>
    <row r="869">
      <c r="A869" s="28">
        <v>15.0</v>
      </c>
      <c r="B869" s="28">
        <v>12.0</v>
      </c>
      <c r="C869" s="28">
        <v>53.4955518886645</v>
      </c>
      <c r="D869" s="28">
        <v>9.99229532500328</v>
      </c>
      <c r="E869" s="28" t="s">
        <v>15</v>
      </c>
      <c r="F869" s="28" t="s">
        <v>168</v>
      </c>
      <c r="G869" s="29" t="s">
        <v>338</v>
      </c>
      <c r="H869" s="30" t="str">
        <f>HYPERLINK("https://www.munzee.com/m/Team-MTB-OC/5477/", "Team-MTB-OC/5477")</f>
        <v>Team-MTB-OC/5477</v>
      </c>
      <c r="J869" s="31">
        <f t="shared" si="3"/>
        <v>9</v>
      </c>
    </row>
    <row r="870">
      <c r="A870" s="28">
        <v>15.0</v>
      </c>
      <c r="B870" s="28">
        <v>13.0</v>
      </c>
      <c r="C870" s="28">
        <v>53.4955393614891</v>
      </c>
      <c r="D870" s="28">
        <v>9.99253601592545</v>
      </c>
      <c r="E870" s="28" t="s">
        <v>15</v>
      </c>
      <c r="F870" s="28" t="s">
        <v>168</v>
      </c>
      <c r="G870" s="29" t="s">
        <v>382</v>
      </c>
      <c r="H870" s="30" t="str">
        <f>HYPERLINK("https://www.munzee.com/m/RobieSterling/3342/", "RobieSterling/3342")</f>
        <v>RobieSterling/3342</v>
      </c>
      <c r="J870" s="31">
        <f t="shared" si="3"/>
        <v>4</v>
      </c>
    </row>
    <row r="871">
      <c r="A871" s="28">
        <v>15.0</v>
      </c>
      <c r="B871" s="28">
        <v>14.0</v>
      </c>
      <c r="C871" s="28">
        <v>53.4955268343136</v>
      </c>
      <c r="D871" s="28">
        <v>9.99277670677656</v>
      </c>
      <c r="E871" s="28" t="s">
        <v>15</v>
      </c>
      <c r="F871" s="28" t="s">
        <v>168</v>
      </c>
      <c r="G871" s="29" t="s">
        <v>361</v>
      </c>
      <c r="H871" s="30" t="str">
        <f>HYPERLINK("https://www.munzee.com/m/MrsPommelhorst/3118/", "MrsPommelhorst/3118")</f>
        <v>MrsPommelhorst/3118</v>
      </c>
      <c r="J871" s="31">
        <f t="shared" si="3"/>
        <v>3</v>
      </c>
    </row>
    <row r="872">
      <c r="A872" s="28">
        <v>15.0</v>
      </c>
      <c r="B872" s="28">
        <v>15.0</v>
      </c>
      <c r="C872" s="28">
        <v>53.4955143071381</v>
      </c>
      <c r="D872" s="28">
        <v>9.99301739755662</v>
      </c>
      <c r="E872" s="28" t="s">
        <v>15</v>
      </c>
      <c r="F872" s="28" t="s">
        <v>168</v>
      </c>
      <c r="G872" s="29" t="s">
        <v>338</v>
      </c>
      <c r="H872" s="30" t="str">
        <f>HYPERLINK("https://www.munzee.com/m/Team-MTB-OC/5476/", "Team-MTB-OC/5476")</f>
        <v>Team-MTB-OC/5476</v>
      </c>
      <c r="J872" s="31">
        <f t="shared" si="3"/>
        <v>9</v>
      </c>
    </row>
    <row r="873">
      <c r="A873" s="28">
        <v>15.0</v>
      </c>
      <c r="B873" s="28">
        <v>16.0</v>
      </c>
      <c r="C873" s="28">
        <v>53.4955017799626</v>
      </c>
      <c r="D873" s="28">
        <v>9.99325808826552</v>
      </c>
      <c r="E873" s="28" t="s">
        <v>15</v>
      </c>
      <c r="F873" s="28" t="s">
        <v>168</v>
      </c>
      <c r="G873" s="29" t="s">
        <v>382</v>
      </c>
      <c r="H873" s="30" t="str">
        <f>HYPERLINK("https://www.munzee.com/m/RobieSterling/3321/", "RobieSterling/3321")</f>
        <v>RobieSterling/3321</v>
      </c>
      <c r="J873" s="31">
        <f t="shared" si="3"/>
        <v>4</v>
      </c>
    </row>
    <row r="874">
      <c r="A874" s="28">
        <v>15.0</v>
      </c>
      <c r="B874" s="28">
        <v>17.0</v>
      </c>
      <c r="C874" s="28">
        <v>53.4954892527872</v>
      </c>
      <c r="D874" s="28">
        <v>9.99349877890335</v>
      </c>
      <c r="E874" s="28" t="s">
        <v>15</v>
      </c>
      <c r="F874" s="28" t="s">
        <v>168</v>
      </c>
      <c r="G874" s="29" t="s">
        <v>361</v>
      </c>
      <c r="H874" s="30" t="str">
        <f>HYPERLINK("https://www.munzee.com/m/MrsPommelhorst/3114/", "MrsPommelhorst/3114")</f>
        <v>MrsPommelhorst/3114</v>
      </c>
      <c r="J874" s="31">
        <f t="shared" si="3"/>
        <v>3</v>
      </c>
    </row>
    <row r="875">
      <c r="A875" s="28">
        <v>15.0</v>
      </c>
      <c r="B875" s="28">
        <v>18.0</v>
      </c>
      <c r="C875" s="28">
        <v>53.4954767256117</v>
      </c>
      <c r="D875" s="28">
        <v>9.99373946947002</v>
      </c>
      <c r="E875" s="28" t="s">
        <v>15</v>
      </c>
      <c r="F875" s="28" t="s">
        <v>168</v>
      </c>
      <c r="G875" s="29" t="s">
        <v>251</v>
      </c>
      <c r="H875" s="30" t="str">
        <f>HYPERLINK("https://www.munzee.com/m/rgforsythe/7418/", "rgforsythe/7418")</f>
        <v>rgforsythe/7418</v>
      </c>
      <c r="J875" s="31">
        <f t="shared" si="3"/>
        <v>3</v>
      </c>
    </row>
    <row r="876">
      <c r="A876" s="28">
        <v>15.0</v>
      </c>
      <c r="B876" s="28">
        <v>19.0</v>
      </c>
      <c r="C876" s="28">
        <v>53.4954641984362</v>
      </c>
      <c r="D876" s="28">
        <v>9.99398015996564</v>
      </c>
      <c r="E876" s="28" t="s">
        <v>25</v>
      </c>
      <c r="F876" s="28" t="s">
        <v>14</v>
      </c>
      <c r="G876" s="29" t="s">
        <v>26</v>
      </c>
      <c r="H876" s="30" t="str">
        <f>HYPERLINK("https://www.munzee.com/m/Elli/6328/", "Elli/6328")</f>
        <v>Elli/6328</v>
      </c>
      <c r="J876" s="31">
        <f t="shared" si="3"/>
        <v>143</v>
      </c>
    </row>
    <row r="877">
      <c r="A877" s="28">
        <v>15.0</v>
      </c>
      <c r="B877" s="28">
        <v>20.0</v>
      </c>
      <c r="C877" s="28">
        <v>53.4954516712607</v>
      </c>
      <c r="D877" s="28">
        <v>9.99422085039009</v>
      </c>
      <c r="E877" s="28" t="s">
        <v>25</v>
      </c>
      <c r="F877" s="28" t="s">
        <v>14</v>
      </c>
      <c r="G877" s="38"/>
      <c r="H877" s="38"/>
      <c r="J877" s="31">
        <f t="shared" si="3"/>
        <v>0</v>
      </c>
    </row>
    <row r="878">
      <c r="A878" s="28">
        <v>15.0</v>
      </c>
      <c r="B878" s="28">
        <v>21.0</v>
      </c>
      <c r="C878" s="28">
        <v>53.4954391440853</v>
      </c>
      <c r="D878" s="28">
        <v>9.99446154074348</v>
      </c>
      <c r="E878" s="28" t="s">
        <v>25</v>
      </c>
      <c r="F878" s="28" t="s">
        <v>14</v>
      </c>
      <c r="G878" s="38"/>
      <c r="H878" s="38"/>
      <c r="J878" s="31">
        <f t="shared" si="3"/>
        <v>0</v>
      </c>
    </row>
    <row r="879">
      <c r="A879" s="28">
        <v>15.0</v>
      </c>
      <c r="B879" s="28">
        <v>22.0</v>
      </c>
      <c r="C879" s="28">
        <v>53.4954266169098</v>
      </c>
      <c r="D879" s="28">
        <v>9.99470223102571</v>
      </c>
      <c r="E879" s="28" t="s">
        <v>25</v>
      </c>
      <c r="F879" s="28" t="s">
        <v>14</v>
      </c>
      <c r="G879" s="29" t="s">
        <v>26</v>
      </c>
      <c r="H879" s="30" t="str">
        <f>HYPERLINK("https://www.munzee.com/m/Elli/6350/", "Elli/6350")</f>
        <v>Elli/6350</v>
      </c>
      <c r="J879" s="31">
        <f t="shared" si="3"/>
        <v>143</v>
      </c>
    </row>
    <row r="880">
      <c r="A880" s="28">
        <v>15.0</v>
      </c>
      <c r="B880" s="28">
        <v>23.0</v>
      </c>
      <c r="C880" s="28">
        <v>53.4954140897343</v>
      </c>
      <c r="D880" s="28">
        <v>9.99494292123688</v>
      </c>
      <c r="E880" s="28" t="s">
        <v>25</v>
      </c>
      <c r="F880" s="28" t="s">
        <v>14</v>
      </c>
      <c r="G880" s="38"/>
      <c r="H880" s="38"/>
      <c r="J880" s="31">
        <f t="shared" si="3"/>
        <v>0</v>
      </c>
    </row>
    <row r="881">
      <c r="A881" s="28">
        <v>15.0</v>
      </c>
      <c r="B881" s="28">
        <v>24.0</v>
      </c>
      <c r="C881" s="28">
        <v>53.4954015625588</v>
      </c>
      <c r="D881" s="28">
        <v>9.99518361137688</v>
      </c>
      <c r="E881" s="28" t="s">
        <v>25</v>
      </c>
      <c r="F881" s="28" t="s">
        <v>14</v>
      </c>
      <c r="G881" s="38"/>
      <c r="H881" s="38"/>
      <c r="J881" s="31">
        <f t="shared" si="3"/>
        <v>0</v>
      </c>
    </row>
    <row r="882">
      <c r="A882" s="28">
        <v>15.0</v>
      </c>
      <c r="B882" s="28">
        <v>25.0</v>
      </c>
      <c r="C882" s="28">
        <v>53.4953890353834</v>
      </c>
      <c r="D882" s="28">
        <v>9.99542430144583</v>
      </c>
      <c r="E882" s="28" t="s">
        <v>25</v>
      </c>
      <c r="F882" s="28" t="s">
        <v>14</v>
      </c>
      <c r="G882" s="29" t="s">
        <v>26</v>
      </c>
      <c r="H882" s="30" t="str">
        <f>HYPERLINK("https://www.munzee.com/m/Elli/6349/", "Elli/6349")</f>
        <v>Elli/6349</v>
      </c>
      <c r="J882" s="31">
        <f t="shared" si="3"/>
        <v>143</v>
      </c>
    </row>
    <row r="883">
      <c r="A883" s="28">
        <v>15.0</v>
      </c>
      <c r="B883" s="28">
        <v>26.0</v>
      </c>
      <c r="C883" s="28">
        <v>53.4953765082079</v>
      </c>
      <c r="D883" s="28">
        <v>9.99566499144361</v>
      </c>
      <c r="E883" s="28" t="s">
        <v>25</v>
      </c>
      <c r="F883" s="28" t="s">
        <v>14</v>
      </c>
      <c r="G883" s="38"/>
      <c r="H883" s="38"/>
      <c r="J883" s="31">
        <f t="shared" si="3"/>
        <v>0</v>
      </c>
    </row>
    <row r="884">
      <c r="A884" s="28">
        <v>15.0</v>
      </c>
      <c r="B884" s="28">
        <v>27.0</v>
      </c>
      <c r="C884" s="28">
        <v>53.4953639810324</v>
      </c>
      <c r="D884" s="28">
        <v>9.99590568137034</v>
      </c>
      <c r="E884" s="28" t="s">
        <v>25</v>
      </c>
      <c r="F884" s="28" t="s">
        <v>14</v>
      </c>
      <c r="G884" s="38"/>
      <c r="H884" s="38"/>
      <c r="J884" s="31">
        <f t="shared" si="3"/>
        <v>0</v>
      </c>
    </row>
    <row r="885">
      <c r="A885" s="28">
        <v>15.0</v>
      </c>
      <c r="B885" s="28">
        <v>28.0</v>
      </c>
      <c r="C885" s="28">
        <v>53.4953514538569</v>
      </c>
      <c r="D885" s="28">
        <v>9.99614637122601</v>
      </c>
      <c r="E885" s="28" t="s">
        <v>25</v>
      </c>
      <c r="F885" s="28" t="s">
        <v>14</v>
      </c>
      <c r="G885" s="29" t="s">
        <v>26</v>
      </c>
      <c r="H885" s="30" t="str">
        <f>HYPERLINK("https://www.munzee.com/m/Elli/6348/", "Elli/6348")</f>
        <v>Elli/6348</v>
      </c>
      <c r="J885" s="31">
        <f t="shared" si="3"/>
        <v>143</v>
      </c>
    </row>
    <row r="886">
      <c r="A886" s="28">
        <v>15.0</v>
      </c>
      <c r="B886" s="28">
        <v>29.0</v>
      </c>
      <c r="C886" s="28">
        <v>53.4953389266815</v>
      </c>
      <c r="D886" s="28">
        <v>9.99638706101052</v>
      </c>
      <c r="E886" s="28" t="s">
        <v>25</v>
      </c>
      <c r="F886" s="28" t="s">
        <v>14</v>
      </c>
      <c r="G886" s="38"/>
      <c r="H886" s="38"/>
      <c r="J886" s="31">
        <f t="shared" si="3"/>
        <v>0</v>
      </c>
    </row>
    <row r="887">
      <c r="A887" s="28">
        <v>15.0</v>
      </c>
      <c r="B887" s="28">
        <v>30.0</v>
      </c>
      <c r="C887" s="28">
        <v>53.495326399506</v>
      </c>
      <c r="D887" s="28">
        <v>9.99662775072397</v>
      </c>
      <c r="E887" s="28" t="s">
        <v>25</v>
      </c>
      <c r="F887" s="28" t="s">
        <v>14</v>
      </c>
      <c r="G887" s="38"/>
      <c r="H887" s="38"/>
      <c r="J887" s="31">
        <f t="shared" si="3"/>
        <v>0</v>
      </c>
    </row>
    <row r="888">
      <c r="A888" s="28">
        <v>15.0</v>
      </c>
      <c r="B888" s="28">
        <v>31.0</v>
      </c>
      <c r="C888" s="28">
        <v>53.4953138723305</v>
      </c>
      <c r="D888" s="28">
        <v>9.99686844036625</v>
      </c>
      <c r="E888" s="28" t="s">
        <v>25</v>
      </c>
      <c r="F888" s="28" t="s">
        <v>14</v>
      </c>
      <c r="G888" s="29" t="s">
        <v>26</v>
      </c>
      <c r="H888" s="30" t="str">
        <f>HYPERLINK("https://www.munzee.com/m/Elli/6342/", "Elli/6342")</f>
        <v>Elli/6342</v>
      </c>
      <c r="J888" s="31">
        <f t="shared" si="3"/>
        <v>143</v>
      </c>
    </row>
    <row r="889">
      <c r="A889" s="28">
        <v>15.0</v>
      </c>
      <c r="B889" s="28">
        <v>32.0</v>
      </c>
      <c r="C889" s="28">
        <v>53.495301345155</v>
      </c>
      <c r="D889" s="28">
        <v>9.99710912993748</v>
      </c>
      <c r="E889" s="28" t="s">
        <v>25</v>
      </c>
      <c r="F889" s="28" t="s">
        <v>14</v>
      </c>
      <c r="G889" s="38"/>
      <c r="H889" s="38"/>
      <c r="J889" s="31">
        <f t="shared" si="3"/>
        <v>0</v>
      </c>
    </row>
    <row r="890">
      <c r="A890" s="28">
        <v>15.0</v>
      </c>
      <c r="B890" s="28">
        <v>33.0</v>
      </c>
      <c r="C890" s="28">
        <v>53.4952888179796</v>
      </c>
      <c r="D890" s="28">
        <v>9.99734981943765</v>
      </c>
      <c r="E890" s="28" t="s">
        <v>25</v>
      </c>
      <c r="F890" s="28" t="s">
        <v>14</v>
      </c>
      <c r="G890" s="38"/>
      <c r="H890" s="38"/>
      <c r="J890" s="31">
        <f t="shared" si="3"/>
        <v>0</v>
      </c>
    </row>
    <row r="891">
      <c r="A891" s="28">
        <v>15.0</v>
      </c>
      <c r="B891" s="28">
        <v>34.0</v>
      </c>
      <c r="C891" s="28">
        <v>53.4952762908041</v>
      </c>
      <c r="D891" s="28">
        <v>9.99759050886666</v>
      </c>
      <c r="E891" s="28" t="s">
        <v>25</v>
      </c>
      <c r="F891" s="28" t="s">
        <v>14</v>
      </c>
      <c r="G891" s="29" t="s">
        <v>26</v>
      </c>
      <c r="H891" s="30" t="str">
        <f>HYPERLINK("https://www.munzee.com/m/Elli/6381/", "Elli/6381")</f>
        <v>Elli/6381</v>
      </c>
      <c r="J891" s="31">
        <f t="shared" si="3"/>
        <v>143</v>
      </c>
    </row>
    <row r="892">
      <c r="A892" s="28">
        <v>15.0</v>
      </c>
      <c r="B892" s="28">
        <v>35.0</v>
      </c>
      <c r="C892" s="28">
        <v>53.4952637636286</v>
      </c>
      <c r="D892" s="28">
        <v>9.9978311982245</v>
      </c>
      <c r="E892" s="28" t="s">
        <v>25</v>
      </c>
      <c r="F892" s="28" t="s">
        <v>14</v>
      </c>
      <c r="G892" s="38"/>
      <c r="H892" s="38"/>
      <c r="J892" s="31">
        <f t="shared" si="3"/>
        <v>0</v>
      </c>
    </row>
    <row r="893">
      <c r="A893" s="28">
        <v>15.0</v>
      </c>
      <c r="B893" s="28">
        <v>36.0</v>
      </c>
      <c r="C893" s="28">
        <v>53.4952512364531</v>
      </c>
      <c r="D893" s="28">
        <v>9.99807188751128</v>
      </c>
      <c r="E893" s="28" t="s">
        <v>25</v>
      </c>
      <c r="F893" s="28" t="s">
        <v>14</v>
      </c>
      <c r="G893" s="38"/>
      <c r="H893" s="38"/>
      <c r="J893" s="31">
        <f t="shared" si="3"/>
        <v>0</v>
      </c>
    </row>
    <row r="894">
      <c r="A894" s="28">
        <v>15.0</v>
      </c>
      <c r="B894" s="28">
        <v>37.0</v>
      </c>
      <c r="C894" s="28">
        <v>53.4952387092776</v>
      </c>
      <c r="D894" s="28">
        <v>9.9983125767269</v>
      </c>
      <c r="E894" s="28" t="s">
        <v>25</v>
      </c>
      <c r="F894" s="28" t="s">
        <v>14</v>
      </c>
      <c r="G894" s="38"/>
      <c r="H894" s="38"/>
      <c r="J894" s="31">
        <f t="shared" si="3"/>
        <v>0</v>
      </c>
    </row>
    <row r="895">
      <c r="A895" s="28">
        <v>15.0</v>
      </c>
      <c r="B895" s="28">
        <v>38.0</v>
      </c>
      <c r="C895" s="28">
        <v>53.4952261821022</v>
      </c>
      <c r="D895" s="28">
        <v>9.99855326587146</v>
      </c>
      <c r="E895" s="28" t="s">
        <v>25</v>
      </c>
      <c r="F895" s="28" t="s">
        <v>14</v>
      </c>
      <c r="G895" s="38"/>
      <c r="H895" s="38"/>
      <c r="J895" s="31">
        <f t="shared" si="3"/>
        <v>0</v>
      </c>
    </row>
    <row r="896">
      <c r="A896" s="28">
        <v>15.0</v>
      </c>
      <c r="B896" s="28">
        <v>39.0</v>
      </c>
      <c r="C896" s="28">
        <v>53.4952136549267</v>
      </c>
      <c r="D896" s="28">
        <v>9.99879395494497</v>
      </c>
      <c r="E896" s="28" t="s">
        <v>25</v>
      </c>
      <c r="F896" s="28" t="s">
        <v>14</v>
      </c>
      <c r="G896" s="38"/>
      <c r="H896" s="38"/>
      <c r="J896" s="31">
        <f t="shared" si="3"/>
        <v>0</v>
      </c>
    </row>
    <row r="897">
      <c r="A897" s="28">
        <v>15.0</v>
      </c>
      <c r="B897" s="28">
        <v>40.0</v>
      </c>
      <c r="C897" s="28">
        <v>53.4952011277512</v>
      </c>
      <c r="D897" s="28">
        <v>9.99903464394731</v>
      </c>
      <c r="E897" s="28" t="s">
        <v>25</v>
      </c>
      <c r="F897" s="28" t="s">
        <v>14</v>
      </c>
      <c r="G897" s="38"/>
      <c r="H897" s="38"/>
      <c r="J897" s="31">
        <f t="shared" si="3"/>
        <v>0</v>
      </c>
    </row>
    <row r="898">
      <c r="A898" s="28">
        <v>15.0</v>
      </c>
      <c r="B898" s="28">
        <v>41.0</v>
      </c>
      <c r="C898" s="28">
        <v>53.4951886005757</v>
      </c>
      <c r="D898" s="28">
        <v>9.99927533287859</v>
      </c>
      <c r="E898" s="28" t="s">
        <v>15</v>
      </c>
      <c r="F898" s="28" t="s">
        <v>168</v>
      </c>
      <c r="G898" s="29" t="s">
        <v>30</v>
      </c>
      <c r="H898" s="30" t="str">
        <f>HYPERLINK("https://www.munzee.com/m/SachensucherHB/1565/", "SachensucherHB/1565")</f>
        <v>SachensucherHB/1565</v>
      </c>
      <c r="J898" s="31">
        <f t="shared" si="3"/>
        <v>62</v>
      </c>
    </row>
    <row r="899">
      <c r="A899" s="28">
        <v>15.0</v>
      </c>
      <c r="B899" s="28">
        <v>42.0</v>
      </c>
      <c r="C899" s="28">
        <v>53.4951760734003</v>
      </c>
      <c r="D899" s="28">
        <v>9.99951602173882</v>
      </c>
      <c r="E899" s="28" t="s">
        <v>15</v>
      </c>
      <c r="F899" s="28" t="s">
        <v>168</v>
      </c>
      <c r="G899" s="29" t="s">
        <v>55</v>
      </c>
      <c r="H899" s="30" t="str">
        <f>HYPERLINK("https://www.munzee.com/m/boerse82/5594/", "boerse82/5594")</f>
        <v>boerse82/5594</v>
      </c>
      <c r="J899" s="31">
        <f t="shared" si="3"/>
        <v>51</v>
      </c>
    </row>
    <row r="900">
      <c r="A900" s="28">
        <v>15.0</v>
      </c>
      <c r="B900" s="28">
        <v>43.0</v>
      </c>
      <c r="C900" s="28">
        <v>53.4951635462248</v>
      </c>
      <c r="D900" s="28">
        <v>9.99975671052789</v>
      </c>
      <c r="E900" s="28" t="s">
        <v>15</v>
      </c>
      <c r="F900" s="28" t="s">
        <v>168</v>
      </c>
      <c r="G900" s="29" t="s">
        <v>56</v>
      </c>
      <c r="H900" s="30" t="str">
        <f>HYPERLINK("https://www.munzee.com/m/Flattermaus/3555/", "Flattermaus/3555")</f>
        <v>Flattermaus/3555</v>
      </c>
      <c r="J900" s="31">
        <f t="shared" si="3"/>
        <v>55</v>
      </c>
    </row>
    <row r="901">
      <c r="A901" s="28">
        <v>15.0</v>
      </c>
      <c r="B901" s="28">
        <v>44.0</v>
      </c>
      <c r="C901" s="28">
        <v>53.4951510190493</v>
      </c>
      <c r="D901" s="28">
        <v>9.99999739924578</v>
      </c>
      <c r="E901" s="28" t="s">
        <v>15</v>
      </c>
      <c r="F901" s="28" t="s">
        <v>168</v>
      </c>
      <c r="G901" s="29" t="s">
        <v>316</v>
      </c>
      <c r="H901" s="30" t="str">
        <f>HYPERLINK("https://www.munzee.com/m/Gamsci/5288/", "Gamsci/5288")</f>
        <v>Gamsci/5288</v>
      </c>
      <c r="J901" s="31">
        <f t="shared" si="3"/>
        <v>10</v>
      </c>
    </row>
    <row r="902">
      <c r="A902" s="28">
        <v>15.0</v>
      </c>
      <c r="B902" s="28">
        <v>45.0</v>
      </c>
      <c r="C902" s="28">
        <v>53.4951384918738</v>
      </c>
      <c r="D902" s="28">
        <v>10.0002380878926</v>
      </c>
      <c r="E902" s="28" t="s">
        <v>15</v>
      </c>
      <c r="F902" s="28" t="s">
        <v>168</v>
      </c>
      <c r="G902" s="29" t="s">
        <v>30</v>
      </c>
      <c r="H902" s="30" t="str">
        <f>HYPERLINK("https://www.munzee.com/m/SachensucherHB/1572/", "SachensucherHB/1572")</f>
        <v>SachensucherHB/1572</v>
      </c>
      <c r="J902" s="31">
        <f t="shared" si="3"/>
        <v>62</v>
      </c>
    </row>
    <row r="903">
      <c r="A903" s="28">
        <v>15.0</v>
      </c>
      <c r="B903" s="28">
        <v>46.0</v>
      </c>
      <c r="C903" s="28">
        <v>53.4951259646984</v>
      </c>
      <c r="D903" s="28">
        <v>10.0004787764682</v>
      </c>
      <c r="E903" s="28" t="s">
        <v>15</v>
      </c>
      <c r="F903" s="28" t="s">
        <v>168</v>
      </c>
      <c r="G903" s="29" t="s">
        <v>56</v>
      </c>
      <c r="H903" s="30" t="str">
        <f>HYPERLINK("https://www.munzee.com/m/Flattermaus/3552/", "Flattermaus/3552")</f>
        <v>Flattermaus/3552</v>
      </c>
      <c r="J903" s="31">
        <f t="shared" si="3"/>
        <v>55</v>
      </c>
    </row>
    <row r="904">
      <c r="A904" s="28">
        <v>15.0</v>
      </c>
      <c r="B904" s="28">
        <v>47.0</v>
      </c>
      <c r="C904" s="28">
        <v>53.4951134375229</v>
      </c>
      <c r="D904" s="28">
        <v>10.0007194649729</v>
      </c>
      <c r="E904" s="28" t="s">
        <v>15</v>
      </c>
      <c r="F904" s="28" t="s">
        <v>168</v>
      </c>
      <c r="G904" s="29" t="s">
        <v>384</v>
      </c>
      <c r="H904" s="30" t="str">
        <f>HYPERLINK("https://www.munzee.com/m/technical13/1954/", "technical13/1954")</f>
        <v>technical13/1954</v>
      </c>
      <c r="J904" s="31">
        <f t="shared" si="3"/>
        <v>2</v>
      </c>
    </row>
    <row r="905">
      <c r="A905" s="28">
        <v>15.0</v>
      </c>
      <c r="B905" s="28">
        <v>48.0</v>
      </c>
      <c r="C905" s="28">
        <v>53.4951009103474</v>
      </c>
      <c r="D905" s="28">
        <v>10.0009601534064</v>
      </c>
      <c r="E905" s="28" t="s">
        <v>15</v>
      </c>
      <c r="F905" s="28" t="s">
        <v>168</v>
      </c>
      <c r="G905" s="29" t="s">
        <v>310</v>
      </c>
      <c r="H905" s="30" t="s">
        <v>385</v>
      </c>
      <c r="J905" s="31">
        <f t="shared" si="3"/>
        <v>6</v>
      </c>
    </row>
    <row r="906">
      <c r="A906" s="28">
        <v>15.0</v>
      </c>
      <c r="B906" s="28">
        <v>49.0</v>
      </c>
      <c r="C906" s="28">
        <v>53.4950883831719</v>
      </c>
      <c r="D906" s="28">
        <v>10.0012008417688</v>
      </c>
      <c r="E906" s="28" t="s">
        <v>15</v>
      </c>
      <c r="F906" s="28" t="s">
        <v>168</v>
      </c>
      <c r="G906" s="29" t="s">
        <v>56</v>
      </c>
      <c r="H906" s="30" t="str">
        <f>HYPERLINK("https://www.munzee.com/m/Flattermaus/3545/", "Flattermaus/3545")</f>
        <v>Flattermaus/3545</v>
      </c>
      <c r="J906" s="31">
        <f t="shared" si="3"/>
        <v>55</v>
      </c>
    </row>
    <row r="907">
      <c r="A907" s="28">
        <v>15.0</v>
      </c>
      <c r="B907" s="28">
        <v>50.0</v>
      </c>
      <c r="C907" s="28">
        <v>53.4950758559964</v>
      </c>
      <c r="D907" s="28">
        <v>10.0014415300602</v>
      </c>
      <c r="E907" s="28" t="s">
        <v>15</v>
      </c>
      <c r="F907" s="28" t="s">
        <v>168</v>
      </c>
      <c r="G907" s="29" t="s">
        <v>189</v>
      </c>
      <c r="H907" s="30" t="str">
        <f>HYPERLINK("https://www.munzee.com/m/kwd/5769", "kwd/5769")</f>
        <v>kwd/5769</v>
      </c>
      <c r="J907" s="31">
        <f t="shared" si="3"/>
        <v>40</v>
      </c>
    </row>
    <row r="908">
      <c r="A908" s="28">
        <v>15.0</v>
      </c>
      <c r="B908" s="28">
        <v>51.0</v>
      </c>
      <c r="C908" s="28">
        <v>53.495063328821</v>
      </c>
      <c r="D908" s="28">
        <v>10.0016822182803</v>
      </c>
      <c r="E908" s="28" t="s">
        <v>25</v>
      </c>
      <c r="F908" s="28" t="s">
        <v>14</v>
      </c>
      <c r="G908" s="29" t="s">
        <v>26</v>
      </c>
      <c r="H908" s="30" t="str">
        <f>HYPERLINK("https://www.munzee.com/m/Elli/6380/", "Elli/6380")</f>
        <v>Elli/6380</v>
      </c>
      <c r="J908" s="31">
        <f t="shared" si="3"/>
        <v>143</v>
      </c>
    </row>
    <row r="909">
      <c r="A909" s="28">
        <v>15.0</v>
      </c>
      <c r="B909" s="28">
        <v>52.0</v>
      </c>
      <c r="C909" s="28">
        <v>53.4950508016455</v>
      </c>
      <c r="D909" s="28">
        <v>10.0019229064295</v>
      </c>
      <c r="E909" s="28" t="s">
        <v>25</v>
      </c>
      <c r="F909" s="28" t="s">
        <v>14</v>
      </c>
      <c r="G909" s="29" t="s">
        <v>164</v>
      </c>
      <c r="H909" s="35" t="s">
        <v>386</v>
      </c>
      <c r="I909" s="28" t="s">
        <v>387</v>
      </c>
      <c r="J909" s="31">
        <f t="shared" si="3"/>
        <v>133</v>
      </c>
    </row>
    <row r="910">
      <c r="A910" s="28">
        <v>15.0</v>
      </c>
      <c r="B910" s="28">
        <v>53.0</v>
      </c>
      <c r="C910" s="28">
        <v>53.49503827447</v>
      </c>
      <c r="D910" s="28">
        <v>10.0021635945074</v>
      </c>
      <c r="E910" s="28" t="s">
        <v>25</v>
      </c>
      <c r="F910" s="28" t="s">
        <v>14</v>
      </c>
      <c r="G910" s="38"/>
      <c r="H910" s="38"/>
      <c r="J910" s="31">
        <f t="shared" si="3"/>
        <v>0</v>
      </c>
    </row>
    <row r="911">
      <c r="A911" s="28">
        <v>15.0</v>
      </c>
      <c r="B911" s="28">
        <v>54.0</v>
      </c>
      <c r="C911" s="28">
        <v>53.4950257472945</v>
      </c>
      <c r="D911" s="28">
        <v>10.0024042825143</v>
      </c>
      <c r="E911" s="28" t="s">
        <v>25</v>
      </c>
      <c r="F911" s="28" t="s">
        <v>14</v>
      </c>
      <c r="G911" s="38"/>
      <c r="H911" s="38"/>
      <c r="J911" s="31">
        <f t="shared" si="3"/>
        <v>0</v>
      </c>
    </row>
    <row r="912">
      <c r="A912" s="28">
        <v>15.0</v>
      </c>
      <c r="B912" s="28">
        <v>55.0</v>
      </c>
      <c r="C912" s="28">
        <v>53.4950132201191</v>
      </c>
      <c r="D912" s="28">
        <v>10.00264497045</v>
      </c>
      <c r="E912" s="28" t="s">
        <v>25</v>
      </c>
      <c r="F912" s="28" t="s">
        <v>14</v>
      </c>
      <c r="G912" s="29" t="s">
        <v>164</v>
      </c>
      <c r="H912" s="35" t="s">
        <v>388</v>
      </c>
      <c r="J912" s="31">
        <f t="shared" si="3"/>
        <v>133</v>
      </c>
    </row>
    <row r="913">
      <c r="A913" s="28">
        <v>15.0</v>
      </c>
      <c r="B913" s="28">
        <v>56.0</v>
      </c>
      <c r="C913" s="28">
        <v>53.4950006929436</v>
      </c>
      <c r="D913" s="28">
        <v>10.0028856583147</v>
      </c>
      <c r="E913" s="28" t="s">
        <v>15</v>
      </c>
      <c r="F913" s="28" t="s">
        <v>168</v>
      </c>
      <c r="G913" s="29" t="s">
        <v>56</v>
      </c>
      <c r="H913" s="30" t="str">
        <f>HYPERLINK("https://www.munzee.com/m/Flattermaus/3539/", "Flattermaus/3539")</f>
        <v>Flattermaus/3539</v>
      </c>
      <c r="J913" s="31">
        <f t="shared" si="3"/>
        <v>55</v>
      </c>
    </row>
    <row r="914">
      <c r="A914" s="28">
        <v>15.0</v>
      </c>
      <c r="B914" s="28">
        <v>57.0</v>
      </c>
      <c r="C914" s="28">
        <v>53.4949881657681</v>
      </c>
      <c r="D914" s="28">
        <v>10.0031263461083</v>
      </c>
      <c r="E914" s="28" t="s">
        <v>15</v>
      </c>
      <c r="F914" s="28" t="s">
        <v>168</v>
      </c>
      <c r="G914" s="29" t="s">
        <v>384</v>
      </c>
      <c r="H914" s="30" t="str">
        <f>HYPERLINK("https://www.munzee.com/m/technical13/1959/", "technical13/1959")</f>
        <v>technical13/1959</v>
      </c>
      <c r="J914" s="31">
        <f t="shared" si="3"/>
        <v>2</v>
      </c>
    </row>
    <row r="915">
      <c r="A915" s="28">
        <v>15.0</v>
      </c>
      <c r="B915" s="28">
        <v>58.0</v>
      </c>
      <c r="C915" s="28">
        <v>53.4949756385927</v>
      </c>
      <c r="D915" s="28">
        <v>10.0033670338308</v>
      </c>
      <c r="E915" s="28" t="s">
        <v>15</v>
      </c>
      <c r="F915" s="28" t="s">
        <v>168</v>
      </c>
      <c r="G915" s="29" t="s">
        <v>189</v>
      </c>
      <c r="H915" s="30" t="str">
        <f>HYPERLINK("https://www.munzee.com/m/kwd/6399", "kwd/6399")</f>
        <v>kwd/6399</v>
      </c>
      <c r="J915" s="31">
        <f t="shared" si="3"/>
        <v>40</v>
      </c>
    </row>
    <row r="916">
      <c r="A916" s="28">
        <v>15.0</v>
      </c>
      <c r="B916" s="28">
        <v>59.0</v>
      </c>
      <c r="C916" s="28">
        <v>53.4949631114172</v>
      </c>
      <c r="D916" s="28">
        <v>10.0036077214822</v>
      </c>
      <c r="E916" s="28" t="s">
        <v>15</v>
      </c>
      <c r="F916" s="28" t="s">
        <v>168</v>
      </c>
      <c r="G916" s="29" t="s">
        <v>40</v>
      </c>
      <c r="H916" s="30" t="str">
        <f>HYPERLINK("https://www.munzee.com/m/csThanner/1962/", "csThanner/1962")</f>
        <v>csThanner/1962</v>
      </c>
      <c r="J916" s="31">
        <f t="shared" si="3"/>
        <v>88</v>
      </c>
    </row>
    <row r="917">
      <c r="A917" s="28">
        <v>15.0</v>
      </c>
      <c r="B917" s="28">
        <v>60.0</v>
      </c>
      <c r="C917" s="28">
        <v>53.4949505842417</v>
      </c>
      <c r="D917" s="28">
        <v>10.0038484090625</v>
      </c>
      <c r="E917" s="28" t="s">
        <v>25</v>
      </c>
      <c r="F917" s="28" t="s">
        <v>14</v>
      </c>
      <c r="G917" s="29" t="s">
        <v>26</v>
      </c>
      <c r="H917" s="30" t="str">
        <f>HYPERLINK("https://www.munzee.com/m/Elli/6379/", "Elli/6379")</f>
        <v>Elli/6379</v>
      </c>
      <c r="J917" s="31">
        <f t="shared" si="3"/>
        <v>143</v>
      </c>
    </row>
    <row r="918">
      <c r="A918" s="28">
        <v>16.0</v>
      </c>
      <c r="B918" s="28">
        <v>1.0</v>
      </c>
      <c r="C918" s="28">
        <v>53.4955465040852</v>
      </c>
      <c r="D918" s="28">
        <v>9.98962666243494</v>
      </c>
      <c r="E918" s="28" t="s">
        <v>25</v>
      </c>
      <c r="F918" s="28" t="s">
        <v>14</v>
      </c>
      <c r="G918" s="29" t="s">
        <v>27</v>
      </c>
      <c r="H918" s="30" t="str">
        <f>HYPERLINK("https://www.munzee.com/m/DarkHaribo/12199/", "DarkHaribo/12199")</f>
        <v>DarkHaribo/12199</v>
      </c>
      <c r="J918" s="31">
        <f t="shared" si="3"/>
        <v>103</v>
      </c>
    </row>
    <row r="919">
      <c r="A919" s="28">
        <v>16.0</v>
      </c>
      <c r="B919" s="28">
        <v>2.0</v>
      </c>
      <c r="C919" s="28">
        <v>53.4955339769097</v>
      </c>
      <c r="D919" s="28">
        <v>9.98986735332664</v>
      </c>
      <c r="E919" s="28" t="s">
        <v>15</v>
      </c>
      <c r="F919" s="28" t="s">
        <v>168</v>
      </c>
      <c r="G919" s="29" t="s">
        <v>189</v>
      </c>
      <c r="H919" s="30" t="str">
        <f>HYPERLINK("https://www.munzee.com/m/kwd/5611", "kwd/5611")</f>
        <v>kwd/5611</v>
      </c>
      <c r="J919" s="31">
        <f t="shared" si="3"/>
        <v>40</v>
      </c>
    </row>
    <row r="920">
      <c r="A920" s="28">
        <v>16.0</v>
      </c>
      <c r="B920" s="28">
        <v>3.0</v>
      </c>
      <c r="C920" s="28">
        <v>53.4955214497343</v>
      </c>
      <c r="D920" s="28">
        <v>9.99010804414717</v>
      </c>
      <c r="E920" s="28" t="s">
        <v>15</v>
      </c>
      <c r="F920" s="28" t="s">
        <v>168</v>
      </c>
      <c r="G920" s="29" t="s">
        <v>310</v>
      </c>
      <c r="H920" s="30" t="s">
        <v>389</v>
      </c>
      <c r="J920" s="31">
        <f t="shared" si="3"/>
        <v>6</v>
      </c>
    </row>
    <row r="921">
      <c r="A921" s="28">
        <v>16.0</v>
      </c>
      <c r="B921" s="28">
        <v>4.0</v>
      </c>
      <c r="C921" s="28">
        <v>53.4955089225588</v>
      </c>
      <c r="D921" s="28">
        <v>9.99034873489665</v>
      </c>
      <c r="E921" s="28" t="s">
        <v>15</v>
      </c>
      <c r="F921" s="28" t="s">
        <v>168</v>
      </c>
      <c r="G921" s="29" t="s">
        <v>27</v>
      </c>
      <c r="H921" s="30" t="str">
        <f>HYPERLINK("https://www.munzee.com/m/DarkHaribo/12316", "DarkHaribo/12316")</f>
        <v>DarkHaribo/12316</v>
      </c>
      <c r="J921" s="31">
        <f t="shared" si="3"/>
        <v>103</v>
      </c>
    </row>
    <row r="922">
      <c r="A922" s="28">
        <v>16.0</v>
      </c>
      <c r="B922" s="28">
        <v>5.0</v>
      </c>
      <c r="C922" s="28">
        <v>53.4954963953833</v>
      </c>
      <c r="D922" s="28">
        <v>9.99058942557496</v>
      </c>
      <c r="E922" s="28" t="s">
        <v>15</v>
      </c>
      <c r="F922" s="28" t="s">
        <v>168</v>
      </c>
      <c r="G922" s="29" t="s">
        <v>189</v>
      </c>
      <c r="H922" s="30" t="str">
        <f>HYPERLINK("https://www.munzee.com/m/kwd/5610", "kwd/5610")</f>
        <v>kwd/5610</v>
      </c>
      <c r="J922" s="31">
        <f t="shared" si="3"/>
        <v>40</v>
      </c>
    </row>
    <row r="923">
      <c r="A923" s="28">
        <v>16.0</v>
      </c>
      <c r="B923" s="28">
        <v>6.0</v>
      </c>
      <c r="C923" s="28">
        <v>53.4954838682078</v>
      </c>
      <c r="D923" s="28">
        <v>9.99083011618222</v>
      </c>
      <c r="E923" s="28" t="s">
        <v>15</v>
      </c>
      <c r="F923" s="28" t="s">
        <v>168</v>
      </c>
      <c r="G923" s="29" t="s">
        <v>40</v>
      </c>
      <c r="H923" s="30" t="str">
        <f>HYPERLINK("https://www.munzee.com/m/csThanner/1837/", "csThanner/1837")</f>
        <v>csThanner/1837</v>
      </c>
      <c r="J923" s="31">
        <f t="shared" si="3"/>
        <v>88</v>
      </c>
    </row>
    <row r="924">
      <c r="A924" s="28">
        <v>16.0</v>
      </c>
      <c r="B924" s="28">
        <v>7.0</v>
      </c>
      <c r="C924" s="28">
        <v>53.4954713410323</v>
      </c>
      <c r="D924" s="28">
        <v>9.99107080671842</v>
      </c>
      <c r="E924" s="28" t="s">
        <v>25</v>
      </c>
      <c r="F924" s="28" t="s">
        <v>14</v>
      </c>
      <c r="G924" s="29" t="s">
        <v>390</v>
      </c>
      <c r="H924" s="30" t="s">
        <v>391</v>
      </c>
      <c r="J924" s="31">
        <f t="shared" si="3"/>
        <v>2</v>
      </c>
    </row>
    <row r="925">
      <c r="A925" s="28">
        <v>16.0</v>
      </c>
      <c r="B925" s="28">
        <v>8.0</v>
      </c>
      <c r="C925" s="28">
        <v>53.4954588138569</v>
      </c>
      <c r="D925" s="28">
        <v>9.99131149718346</v>
      </c>
      <c r="E925" s="28" t="s">
        <v>25</v>
      </c>
      <c r="F925" s="28" t="s">
        <v>14</v>
      </c>
      <c r="G925" s="38"/>
      <c r="H925" s="38"/>
      <c r="J925" s="31">
        <f t="shared" si="3"/>
        <v>0</v>
      </c>
    </row>
    <row r="926">
      <c r="A926" s="28">
        <v>16.0</v>
      </c>
      <c r="B926" s="28">
        <v>9.0</v>
      </c>
      <c r="C926" s="28">
        <v>53.4954462866814</v>
      </c>
      <c r="D926" s="28">
        <v>9.99155218757732</v>
      </c>
      <c r="E926" s="28" t="s">
        <v>25</v>
      </c>
      <c r="F926" s="28" t="s">
        <v>14</v>
      </c>
      <c r="G926" s="38"/>
      <c r="H926" s="38"/>
      <c r="J926" s="31">
        <f t="shared" si="3"/>
        <v>0</v>
      </c>
    </row>
    <row r="927">
      <c r="A927" s="28">
        <v>16.0</v>
      </c>
      <c r="B927" s="28">
        <v>10.0</v>
      </c>
      <c r="C927" s="28">
        <v>53.4954337595059</v>
      </c>
      <c r="D927" s="28">
        <v>9.99179287790013</v>
      </c>
      <c r="E927" s="28" t="s">
        <v>25</v>
      </c>
      <c r="F927" s="28" t="s">
        <v>14</v>
      </c>
      <c r="G927" s="38"/>
      <c r="H927" s="38"/>
      <c r="J927" s="31">
        <f t="shared" si="3"/>
        <v>0</v>
      </c>
    </row>
    <row r="928">
      <c r="A928" s="28">
        <v>16.0</v>
      </c>
      <c r="B928" s="28">
        <v>11.0</v>
      </c>
      <c r="C928" s="28">
        <v>53.4954212323305</v>
      </c>
      <c r="D928" s="28">
        <v>9.99203356815178</v>
      </c>
      <c r="E928" s="28" t="s">
        <v>25</v>
      </c>
      <c r="F928" s="28" t="s">
        <v>14</v>
      </c>
      <c r="G928" s="38"/>
      <c r="H928" s="38"/>
      <c r="J928" s="31">
        <f t="shared" si="3"/>
        <v>0</v>
      </c>
    </row>
    <row r="929">
      <c r="A929" s="28">
        <v>16.0</v>
      </c>
      <c r="B929" s="28">
        <v>12.0</v>
      </c>
      <c r="C929" s="28">
        <v>53.495408705155</v>
      </c>
      <c r="D929" s="28">
        <v>9.99227425833237</v>
      </c>
      <c r="E929" s="28" t="s">
        <v>25</v>
      </c>
      <c r="F929" s="28" t="s">
        <v>14</v>
      </c>
      <c r="G929" s="29" t="s">
        <v>145</v>
      </c>
      <c r="H929" s="30" t="s">
        <v>392</v>
      </c>
      <c r="J929" s="31">
        <f t="shared" si="3"/>
        <v>40</v>
      </c>
    </row>
    <row r="930">
      <c r="A930" s="28">
        <v>16.0</v>
      </c>
      <c r="B930" s="28">
        <v>13.0</v>
      </c>
      <c r="C930" s="28">
        <v>53.4953961779795</v>
      </c>
      <c r="D930" s="28">
        <v>9.9925149484419</v>
      </c>
      <c r="E930" s="28" t="s">
        <v>15</v>
      </c>
      <c r="F930" s="28" t="s">
        <v>168</v>
      </c>
      <c r="G930" s="29" t="s">
        <v>40</v>
      </c>
      <c r="H930" s="30" t="str">
        <f>HYPERLINK("https://www.munzee.com/m/csThanner/1839/", "csThanner/1839")</f>
        <v>csThanner/1839</v>
      </c>
      <c r="J930" s="31">
        <f t="shared" si="3"/>
        <v>88</v>
      </c>
    </row>
    <row r="931">
      <c r="A931" s="28">
        <v>16.0</v>
      </c>
      <c r="B931" s="28">
        <v>14.0</v>
      </c>
      <c r="C931" s="28">
        <v>53.495383650804</v>
      </c>
      <c r="D931" s="28">
        <v>9.99275563848027</v>
      </c>
      <c r="E931" s="28" t="s">
        <v>15</v>
      </c>
      <c r="F931" s="28" t="s">
        <v>168</v>
      </c>
      <c r="G931" s="29" t="s">
        <v>189</v>
      </c>
      <c r="H931" s="30" t="str">
        <f>HYPERLINK("https://www.munzee.com/m/kwd/5603/", "kwd/5603")</f>
        <v>kwd/5603</v>
      </c>
      <c r="J931" s="31">
        <f t="shared" si="3"/>
        <v>40</v>
      </c>
    </row>
    <row r="932">
      <c r="A932" s="28">
        <v>16.0</v>
      </c>
      <c r="B932" s="28">
        <v>15.0</v>
      </c>
      <c r="C932" s="28">
        <v>53.4953711236286</v>
      </c>
      <c r="D932" s="28">
        <v>9.99299632844758</v>
      </c>
      <c r="E932" s="28" t="s">
        <v>15</v>
      </c>
      <c r="F932" s="28" t="s">
        <v>168</v>
      </c>
      <c r="G932" s="29" t="s">
        <v>279</v>
      </c>
      <c r="H932" s="30" t="str">
        <f>HYPERLINK("https://www.munzee.com/m/meka/4146/", "meka/4146")</f>
        <v>meka/4146</v>
      </c>
      <c r="J932" s="31">
        <f t="shared" si="3"/>
        <v>2</v>
      </c>
    </row>
    <row r="933">
      <c r="A933" s="28">
        <v>16.0</v>
      </c>
      <c r="B933" s="28">
        <v>16.0</v>
      </c>
      <c r="C933" s="28">
        <v>53.4953585964531</v>
      </c>
      <c r="D933" s="28">
        <v>9.99323701834373</v>
      </c>
      <c r="E933" s="28" t="s">
        <v>15</v>
      </c>
      <c r="F933" s="28" t="s">
        <v>168</v>
      </c>
      <c r="G933" s="29" t="s">
        <v>393</v>
      </c>
      <c r="H933" s="30" t="str">
        <f>HYPERLINK("https://www.munzee.com/m/VLoopSouth/491", "VLoopSouth/491")</f>
        <v>VLoopSouth/491</v>
      </c>
      <c r="J933" s="31">
        <f t="shared" si="3"/>
        <v>2</v>
      </c>
    </row>
    <row r="934">
      <c r="A934" s="28">
        <v>16.0</v>
      </c>
      <c r="B934" s="28">
        <v>17.0</v>
      </c>
      <c r="C934" s="28">
        <v>53.4953460692776</v>
      </c>
      <c r="D934" s="28">
        <v>9.99347770816882</v>
      </c>
      <c r="E934" s="28" t="s">
        <v>15</v>
      </c>
      <c r="F934" s="28" t="s">
        <v>168</v>
      </c>
      <c r="G934" s="29" t="s">
        <v>40</v>
      </c>
      <c r="H934" s="30" t="str">
        <f>HYPERLINK("https://www.munzee.com/m/csThanner/1840/", "csThanner/1840")</f>
        <v>csThanner/1840</v>
      </c>
      <c r="J934" s="31">
        <f t="shared" si="3"/>
        <v>88</v>
      </c>
    </row>
    <row r="935">
      <c r="A935" s="28">
        <v>16.0</v>
      </c>
      <c r="B935" s="28">
        <v>18.0</v>
      </c>
      <c r="C935" s="28">
        <v>53.4953335421022</v>
      </c>
      <c r="D935" s="28">
        <v>9.99371839792274</v>
      </c>
      <c r="E935" s="28" t="s">
        <v>15</v>
      </c>
      <c r="F935" s="28" t="s">
        <v>168</v>
      </c>
      <c r="G935" s="29" t="s">
        <v>27</v>
      </c>
      <c r="H935" s="30" t="str">
        <f>HYPERLINK("https://www.munzee.com/m/DarkHaribo/12323", "DarkHaribo/12323")</f>
        <v>DarkHaribo/12323</v>
      </c>
      <c r="J935" s="31">
        <f t="shared" si="3"/>
        <v>103</v>
      </c>
    </row>
    <row r="936">
      <c r="A936" s="28">
        <v>16.0</v>
      </c>
      <c r="B936" s="28">
        <v>19.0</v>
      </c>
      <c r="C936" s="28">
        <v>53.4953210149267</v>
      </c>
      <c r="D936" s="28">
        <v>9.99395908760561</v>
      </c>
      <c r="E936" s="28" t="s">
        <v>25</v>
      </c>
      <c r="F936" s="28" t="s">
        <v>14</v>
      </c>
      <c r="G936" s="38"/>
      <c r="H936" s="38"/>
      <c r="J936" s="31">
        <f t="shared" si="3"/>
        <v>0</v>
      </c>
    </row>
    <row r="937">
      <c r="A937" s="28">
        <v>16.0</v>
      </c>
      <c r="B937" s="28">
        <v>20.0</v>
      </c>
      <c r="C937" s="28">
        <v>53.4953084877512</v>
      </c>
      <c r="D937" s="28">
        <v>9.99419977721731</v>
      </c>
      <c r="E937" s="28" t="s">
        <v>25</v>
      </c>
      <c r="F937" s="28" t="s">
        <v>14</v>
      </c>
      <c r="G937" s="38"/>
      <c r="H937" s="38"/>
      <c r="J937" s="31">
        <f t="shared" si="3"/>
        <v>0</v>
      </c>
    </row>
    <row r="938">
      <c r="A938" s="28">
        <v>16.0</v>
      </c>
      <c r="B938" s="28">
        <v>21.0</v>
      </c>
      <c r="C938" s="28">
        <v>53.4952959605757</v>
      </c>
      <c r="D938" s="28">
        <v>9.99444046675796</v>
      </c>
      <c r="E938" s="28" t="s">
        <v>25</v>
      </c>
      <c r="F938" s="28" t="s">
        <v>14</v>
      </c>
      <c r="G938" s="38"/>
      <c r="H938" s="38"/>
      <c r="J938" s="31">
        <f t="shared" si="3"/>
        <v>0</v>
      </c>
    </row>
    <row r="939">
      <c r="A939" s="28">
        <v>16.0</v>
      </c>
      <c r="B939" s="28">
        <v>22.0</v>
      </c>
      <c r="C939" s="28">
        <v>53.4952834334002</v>
      </c>
      <c r="D939" s="28">
        <v>9.99468115622744</v>
      </c>
      <c r="E939" s="28" t="s">
        <v>25</v>
      </c>
      <c r="F939" s="28" t="s">
        <v>14</v>
      </c>
      <c r="G939" s="38"/>
      <c r="H939" s="38"/>
      <c r="J939" s="31">
        <f t="shared" si="3"/>
        <v>0</v>
      </c>
    </row>
    <row r="940">
      <c r="A940" s="28">
        <v>16.0</v>
      </c>
      <c r="B940" s="28">
        <v>23.0</v>
      </c>
      <c r="C940" s="28">
        <v>53.4952709062248</v>
      </c>
      <c r="D940" s="28">
        <v>9.99492184562586</v>
      </c>
      <c r="E940" s="28" t="s">
        <v>25</v>
      </c>
      <c r="F940" s="28" t="s">
        <v>14</v>
      </c>
      <c r="G940" s="38"/>
      <c r="H940" s="38"/>
      <c r="J940" s="31">
        <f t="shared" si="3"/>
        <v>0</v>
      </c>
    </row>
    <row r="941">
      <c r="A941" s="28">
        <v>16.0</v>
      </c>
      <c r="B941" s="28">
        <v>24.0</v>
      </c>
      <c r="C941" s="28">
        <v>53.4952583790493</v>
      </c>
      <c r="D941" s="28">
        <v>9.99516253495323</v>
      </c>
      <c r="E941" s="28" t="s">
        <v>25</v>
      </c>
      <c r="F941" s="28" t="s">
        <v>14</v>
      </c>
      <c r="G941" s="29"/>
      <c r="H941" s="38"/>
      <c r="J941" s="31">
        <f t="shared" si="3"/>
        <v>0</v>
      </c>
    </row>
    <row r="942">
      <c r="A942" s="28">
        <v>16.0</v>
      </c>
      <c r="B942" s="28">
        <v>25.0</v>
      </c>
      <c r="C942" s="28">
        <v>53.4952458518738</v>
      </c>
      <c r="D942" s="28">
        <v>9.99540322420944</v>
      </c>
      <c r="E942" s="28" t="s">
        <v>25</v>
      </c>
      <c r="F942" s="28" t="s">
        <v>14</v>
      </c>
      <c r="G942" s="38"/>
      <c r="H942" s="38"/>
      <c r="J942" s="31">
        <f t="shared" si="3"/>
        <v>0</v>
      </c>
    </row>
    <row r="943">
      <c r="A943" s="28">
        <v>16.0</v>
      </c>
      <c r="B943" s="28">
        <v>26.0</v>
      </c>
      <c r="C943" s="28">
        <v>53.4952333246983</v>
      </c>
      <c r="D943" s="28">
        <v>9.99564391339458</v>
      </c>
      <c r="E943" s="28" t="s">
        <v>25</v>
      </c>
      <c r="F943" s="28" t="s">
        <v>14</v>
      </c>
      <c r="G943" s="38"/>
      <c r="H943" s="38"/>
      <c r="J943" s="31">
        <f t="shared" si="3"/>
        <v>0</v>
      </c>
    </row>
    <row r="944">
      <c r="A944" s="28">
        <v>16.0</v>
      </c>
      <c r="B944" s="28">
        <v>27.0</v>
      </c>
      <c r="C944" s="28">
        <v>53.4952207975229</v>
      </c>
      <c r="D944" s="28">
        <v>9.99588460250856</v>
      </c>
      <c r="E944" s="28" t="s">
        <v>25</v>
      </c>
      <c r="F944" s="28" t="s">
        <v>14</v>
      </c>
      <c r="G944" s="29" t="s">
        <v>145</v>
      </c>
      <c r="H944" s="30" t="s">
        <v>394</v>
      </c>
      <c r="J944" s="31">
        <f t="shared" si="3"/>
        <v>40</v>
      </c>
    </row>
    <row r="945">
      <c r="A945" s="28">
        <v>16.0</v>
      </c>
      <c r="B945" s="28">
        <v>28.0</v>
      </c>
      <c r="C945" s="28">
        <v>53.4952082703474</v>
      </c>
      <c r="D945" s="28">
        <v>9.99612529155149</v>
      </c>
      <c r="E945" s="28" t="s">
        <v>25</v>
      </c>
      <c r="F945" s="28" t="s">
        <v>14</v>
      </c>
      <c r="G945" s="38"/>
      <c r="H945" s="38"/>
      <c r="J945" s="31">
        <f t="shared" si="3"/>
        <v>0</v>
      </c>
    </row>
    <row r="946">
      <c r="A946" s="28">
        <v>16.0</v>
      </c>
      <c r="B946" s="28">
        <v>29.0</v>
      </c>
      <c r="C946" s="28">
        <v>53.4951957431719</v>
      </c>
      <c r="D946" s="28">
        <v>9.99636598052325</v>
      </c>
      <c r="E946" s="28" t="s">
        <v>25</v>
      </c>
      <c r="F946" s="28" t="s">
        <v>14</v>
      </c>
      <c r="G946" s="38"/>
      <c r="H946" s="38"/>
      <c r="J946" s="31">
        <f t="shared" si="3"/>
        <v>0</v>
      </c>
    </row>
    <row r="947">
      <c r="A947" s="28">
        <v>16.0</v>
      </c>
      <c r="B947" s="28">
        <v>30.0</v>
      </c>
      <c r="C947" s="28">
        <v>53.4951832159964</v>
      </c>
      <c r="D947" s="28">
        <v>9.99660666942395</v>
      </c>
      <c r="E947" s="28" t="s">
        <v>25</v>
      </c>
      <c r="F947" s="28" t="s">
        <v>14</v>
      </c>
      <c r="G947" s="29" t="s">
        <v>145</v>
      </c>
      <c r="H947" s="30" t="s">
        <v>395</v>
      </c>
      <c r="J947" s="31">
        <f t="shared" si="3"/>
        <v>40</v>
      </c>
    </row>
    <row r="948">
      <c r="A948" s="28">
        <v>16.0</v>
      </c>
      <c r="B948" s="28">
        <v>31.0</v>
      </c>
      <c r="C948" s="28">
        <v>53.495170688821</v>
      </c>
      <c r="D948" s="28">
        <v>9.99684735825349</v>
      </c>
      <c r="E948" s="28" t="s">
        <v>25</v>
      </c>
      <c r="F948" s="28" t="s">
        <v>14</v>
      </c>
      <c r="G948" s="38"/>
      <c r="H948" s="38"/>
      <c r="J948" s="31">
        <f t="shared" si="3"/>
        <v>0</v>
      </c>
    </row>
    <row r="949">
      <c r="A949" s="28">
        <v>16.0</v>
      </c>
      <c r="B949" s="28">
        <v>32.0</v>
      </c>
      <c r="C949" s="28">
        <v>53.4951581616455</v>
      </c>
      <c r="D949" s="28">
        <v>9.99708804701197</v>
      </c>
      <c r="E949" s="28" t="s">
        <v>25</v>
      </c>
      <c r="F949" s="28" t="s">
        <v>14</v>
      </c>
      <c r="G949" s="38"/>
      <c r="H949" s="38"/>
      <c r="J949" s="31">
        <f t="shared" si="3"/>
        <v>0</v>
      </c>
    </row>
    <row r="950">
      <c r="A950" s="28">
        <v>16.0</v>
      </c>
      <c r="B950" s="28">
        <v>33.0</v>
      </c>
      <c r="C950" s="28">
        <v>53.49514563447</v>
      </c>
      <c r="D950" s="28">
        <v>9.99732873569939</v>
      </c>
      <c r="E950" s="28" t="s">
        <v>25</v>
      </c>
      <c r="F950" s="28" t="s">
        <v>14</v>
      </c>
      <c r="G950" s="29" t="s">
        <v>145</v>
      </c>
      <c r="H950" s="30" t="s">
        <v>396</v>
      </c>
      <c r="J950" s="31">
        <f t="shared" si="3"/>
        <v>40</v>
      </c>
    </row>
    <row r="951">
      <c r="A951" s="28">
        <v>16.0</v>
      </c>
      <c r="B951" s="28">
        <v>34.0</v>
      </c>
      <c r="C951" s="28">
        <v>53.4951331072945</v>
      </c>
      <c r="D951" s="28">
        <v>9.99756942431565</v>
      </c>
      <c r="E951" s="28" t="s">
        <v>25</v>
      </c>
      <c r="F951" s="28" t="s">
        <v>14</v>
      </c>
      <c r="G951" s="38"/>
      <c r="H951" s="38"/>
      <c r="J951" s="31">
        <f t="shared" si="3"/>
        <v>0</v>
      </c>
    </row>
    <row r="952">
      <c r="A952" s="28">
        <v>16.0</v>
      </c>
      <c r="B952" s="28">
        <v>35.0</v>
      </c>
      <c r="C952" s="28">
        <v>53.4951205801191</v>
      </c>
      <c r="D952" s="28">
        <v>9.99781011286086</v>
      </c>
      <c r="E952" s="28" t="s">
        <v>25</v>
      </c>
      <c r="F952" s="28" t="s">
        <v>14</v>
      </c>
      <c r="G952" s="38"/>
      <c r="H952" s="38"/>
      <c r="J952" s="31">
        <f t="shared" si="3"/>
        <v>0</v>
      </c>
    </row>
    <row r="953">
      <c r="A953" s="28">
        <v>16.0</v>
      </c>
      <c r="B953" s="28">
        <v>36.0</v>
      </c>
      <c r="C953" s="28">
        <v>53.4951080529436</v>
      </c>
      <c r="D953" s="28">
        <v>9.99805080133489</v>
      </c>
      <c r="E953" s="28" t="s">
        <v>25</v>
      </c>
      <c r="F953" s="28" t="s">
        <v>14</v>
      </c>
      <c r="G953" s="29" t="s">
        <v>145</v>
      </c>
      <c r="H953" s="30" t="s">
        <v>397</v>
      </c>
      <c r="J953" s="31">
        <f t="shared" si="3"/>
        <v>40</v>
      </c>
    </row>
    <row r="954">
      <c r="A954" s="28">
        <v>16.0</v>
      </c>
      <c r="B954" s="28">
        <v>37.0</v>
      </c>
      <c r="C954" s="28">
        <v>53.4950955257681</v>
      </c>
      <c r="D954" s="28">
        <v>9.99829148973788</v>
      </c>
      <c r="E954" s="28" t="s">
        <v>25</v>
      </c>
      <c r="F954" s="28" t="s">
        <v>14</v>
      </c>
      <c r="G954" s="29" t="s">
        <v>26</v>
      </c>
      <c r="H954" s="30" t="str">
        <f>HYPERLINK("https://www.munzee.com/m/Elli/6377/", "Elli/6377")</f>
        <v>Elli/6377</v>
      </c>
      <c r="J954" s="31">
        <f t="shared" si="3"/>
        <v>143</v>
      </c>
    </row>
    <row r="955">
      <c r="A955" s="28">
        <v>16.0</v>
      </c>
      <c r="B955" s="28">
        <v>38.0</v>
      </c>
      <c r="C955" s="28">
        <v>53.4950829985926</v>
      </c>
      <c r="D955" s="28">
        <v>9.9985321780698</v>
      </c>
      <c r="E955" s="28" t="s">
        <v>25</v>
      </c>
      <c r="F955" s="28" t="s">
        <v>14</v>
      </c>
      <c r="G955" s="38"/>
      <c r="H955" s="38"/>
      <c r="J955" s="31">
        <f t="shared" si="3"/>
        <v>0</v>
      </c>
    </row>
    <row r="956">
      <c r="A956" s="28">
        <v>16.0</v>
      </c>
      <c r="B956" s="28">
        <v>39.0</v>
      </c>
      <c r="C956" s="28">
        <v>53.4950704714172</v>
      </c>
      <c r="D956" s="28">
        <v>9.99877286633056</v>
      </c>
      <c r="E956" s="28" t="s">
        <v>25</v>
      </c>
      <c r="F956" s="28" t="s">
        <v>14</v>
      </c>
      <c r="G956" s="29" t="s">
        <v>145</v>
      </c>
      <c r="H956" s="30" t="s">
        <v>398</v>
      </c>
      <c r="J956" s="31">
        <f t="shared" si="3"/>
        <v>40</v>
      </c>
    </row>
    <row r="957">
      <c r="A957" s="28">
        <v>16.0</v>
      </c>
      <c r="B957" s="28">
        <v>40.0</v>
      </c>
      <c r="C957" s="28">
        <v>53.4950579442417</v>
      </c>
      <c r="D957" s="28">
        <v>9.99901355452016</v>
      </c>
      <c r="E957" s="28" t="s">
        <v>25</v>
      </c>
      <c r="F957" s="28" t="s">
        <v>14</v>
      </c>
      <c r="G957" s="29" t="s">
        <v>26</v>
      </c>
      <c r="H957" s="30" t="str">
        <f>HYPERLINK("https://www.munzee.com/m/Elli/6378/", "Elli/6378")</f>
        <v>Elli/6378</v>
      </c>
      <c r="J957" s="31">
        <f t="shared" si="3"/>
        <v>143</v>
      </c>
    </row>
    <row r="958">
      <c r="A958" s="28">
        <v>16.0</v>
      </c>
      <c r="B958" s="28">
        <v>41.0</v>
      </c>
      <c r="C958" s="28">
        <v>53.4950454170662</v>
      </c>
      <c r="D958" s="28">
        <v>9.99925424263869</v>
      </c>
      <c r="E958" s="28" t="s">
        <v>15</v>
      </c>
      <c r="F958" s="28" t="s">
        <v>168</v>
      </c>
      <c r="G958" s="29" t="s">
        <v>40</v>
      </c>
      <c r="H958" s="30" t="str">
        <f>HYPERLINK("https://www.munzee.com/m/csThanner/1841/", "csThanner/1841")</f>
        <v>csThanner/1841</v>
      </c>
      <c r="J958" s="31">
        <f t="shared" si="3"/>
        <v>88</v>
      </c>
    </row>
    <row r="959">
      <c r="A959" s="28">
        <v>16.0</v>
      </c>
      <c r="B959" s="28">
        <v>42.0</v>
      </c>
      <c r="C959" s="28">
        <v>53.4950328898908</v>
      </c>
      <c r="D959" s="28">
        <v>9.99949493068618</v>
      </c>
      <c r="E959" s="28" t="s">
        <v>15</v>
      </c>
      <c r="F959" s="28" t="s">
        <v>168</v>
      </c>
      <c r="G959" s="29" t="s">
        <v>359</v>
      </c>
      <c r="H959" s="30" t="str">
        <f>HYPERLINK("https://www.munzee.com/m/radschlaeger/2642/", "radschlaeger/2642")</f>
        <v>radschlaeger/2642</v>
      </c>
      <c r="J959" s="31">
        <f t="shared" si="3"/>
        <v>10</v>
      </c>
    </row>
    <row r="960">
      <c r="A960" s="28">
        <v>16.0</v>
      </c>
      <c r="B960" s="28">
        <v>43.0</v>
      </c>
      <c r="C960" s="28">
        <v>53.4950203627153</v>
      </c>
      <c r="D960" s="28">
        <v>9.99973561866249</v>
      </c>
      <c r="E960" s="28" t="s">
        <v>15</v>
      </c>
      <c r="F960" s="28" t="s">
        <v>168</v>
      </c>
      <c r="G960" s="29" t="s">
        <v>27</v>
      </c>
      <c r="H960" s="30" t="str">
        <f>HYPERLINK("https://www.munzee.com/m/DarkHaribo/12329", "DarkHaribo/12329")</f>
        <v>DarkHaribo/12329</v>
      </c>
      <c r="J960" s="31">
        <f t="shared" si="3"/>
        <v>103</v>
      </c>
    </row>
    <row r="961">
      <c r="A961" s="28">
        <v>16.0</v>
      </c>
      <c r="B961" s="28">
        <v>44.0</v>
      </c>
      <c r="C961" s="28">
        <v>53.4950078355398</v>
      </c>
      <c r="D961" s="28">
        <v>9.99997630656776</v>
      </c>
      <c r="E961" s="28" t="s">
        <v>15</v>
      </c>
      <c r="F961" s="28" t="s">
        <v>168</v>
      </c>
      <c r="G961" s="29" t="s">
        <v>310</v>
      </c>
      <c r="H961" s="30" t="s">
        <v>399</v>
      </c>
      <c r="J961" s="31">
        <f t="shared" si="3"/>
        <v>6</v>
      </c>
    </row>
    <row r="962">
      <c r="A962" s="28">
        <v>16.0</v>
      </c>
      <c r="B962" s="28">
        <v>45.0</v>
      </c>
      <c r="C962" s="28">
        <v>53.4949953083643</v>
      </c>
      <c r="D962" s="28">
        <v>10.0002169944018</v>
      </c>
      <c r="E962" s="28" t="s">
        <v>15</v>
      </c>
      <c r="F962" s="28" t="s">
        <v>168</v>
      </c>
      <c r="G962" s="29" t="s">
        <v>40</v>
      </c>
      <c r="H962" s="30" t="str">
        <f>HYPERLINK("https://www.munzee.com/m/csThanner/1845/", "csThanner/1845")</f>
        <v>csThanner/1845</v>
      </c>
      <c r="J962" s="31">
        <f t="shared" si="3"/>
        <v>88</v>
      </c>
    </row>
    <row r="963">
      <c r="A963" s="28">
        <v>16.0</v>
      </c>
      <c r="B963" s="28">
        <v>46.0</v>
      </c>
      <c r="C963" s="28">
        <v>53.4949827811889</v>
      </c>
      <c r="D963" s="28">
        <v>10.0004576821648</v>
      </c>
      <c r="E963" s="28" t="s">
        <v>15</v>
      </c>
      <c r="F963" s="28" t="s">
        <v>168</v>
      </c>
      <c r="G963" s="29" t="s">
        <v>359</v>
      </c>
      <c r="H963" s="30" t="str">
        <f>HYPERLINK("https://www.munzee.com/m/radschlaeger/2654/", "radschlaeger/2654")</f>
        <v>radschlaeger/2654</v>
      </c>
      <c r="J963" s="31">
        <f t="shared" si="3"/>
        <v>10</v>
      </c>
    </row>
    <row r="964">
      <c r="A964" s="28">
        <v>16.0</v>
      </c>
      <c r="B964" s="28">
        <v>47.0</v>
      </c>
      <c r="C964" s="28">
        <v>53.4949702540134</v>
      </c>
      <c r="D964" s="28">
        <v>10.0006983698567</v>
      </c>
      <c r="E964" s="28" t="s">
        <v>15</v>
      </c>
      <c r="F964" s="28" t="s">
        <v>168</v>
      </c>
      <c r="G964" s="29" t="s">
        <v>27</v>
      </c>
      <c r="H964" s="30" t="str">
        <f>HYPERLINK("https://www.munzee.com/m/DarkHaribo/12331", "DarkHaribo/12331")</f>
        <v>DarkHaribo/12331</v>
      </c>
      <c r="J964" s="31">
        <f t="shared" si="3"/>
        <v>103</v>
      </c>
    </row>
    <row r="965">
      <c r="A965" s="28">
        <v>16.0</v>
      </c>
      <c r="B965" s="28">
        <v>48.0</v>
      </c>
      <c r="C965" s="28">
        <v>53.4949577268379</v>
      </c>
      <c r="D965" s="28">
        <v>10.0009390574775</v>
      </c>
      <c r="E965" s="28" t="s">
        <v>15</v>
      </c>
      <c r="F965" s="28" t="s">
        <v>168</v>
      </c>
      <c r="G965" s="29" t="s">
        <v>400</v>
      </c>
      <c r="H965" s="29" t="s">
        <v>401</v>
      </c>
      <c r="J965" s="31">
        <f t="shared" si="3"/>
        <v>1</v>
      </c>
    </row>
    <row r="966">
      <c r="A966" s="28">
        <v>16.0</v>
      </c>
      <c r="B966" s="28">
        <v>49.0</v>
      </c>
      <c r="C966" s="28">
        <v>53.4949451996624</v>
      </c>
      <c r="D966" s="28">
        <v>10.0011797450272</v>
      </c>
      <c r="E966" s="28" t="s">
        <v>15</v>
      </c>
      <c r="F966" s="28" t="s">
        <v>168</v>
      </c>
      <c r="G966" s="29" t="s">
        <v>40</v>
      </c>
      <c r="H966" s="30" t="str">
        <f>HYPERLINK("https://www.munzee.com/m/csThanner/1846/", "csThanner/1846")</f>
        <v>csThanner/1846</v>
      </c>
      <c r="J966" s="31">
        <f t="shared" si="3"/>
        <v>88</v>
      </c>
    </row>
    <row r="967">
      <c r="A967" s="28">
        <v>16.0</v>
      </c>
      <c r="B967" s="28">
        <v>50.0</v>
      </c>
      <c r="C967" s="28">
        <v>53.494932672487</v>
      </c>
      <c r="D967" s="28">
        <v>10.0014204325058</v>
      </c>
      <c r="E967" s="28" t="s">
        <v>15</v>
      </c>
      <c r="F967" s="28" t="s">
        <v>168</v>
      </c>
      <c r="G967" s="29" t="s">
        <v>359</v>
      </c>
      <c r="H967" s="30" t="str">
        <f>HYPERLINK("https://www.munzee.com/m/radschlaeger/2656/", "radschlaeger/2656")</f>
        <v>radschlaeger/2656</v>
      </c>
      <c r="J967" s="31">
        <f t="shared" si="3"/>
        <v>10</v>
      </c>
    </row>
    <row r="968">
      <c r="A968" s="28">
        <v>16.0</v>
      </c>
      <c r="B968" s="28">
        <v>51.0</v>
      </c>
      <c r="C968" s="28">
        <v>53.4949201453115</v>
      </c>
      <c r="D968" s="28">
        <v>10.0016611199133</v>
      </c>
      <c r="E968" s="28" t="s">
        <v>25</v>
      </c>
      <c r="F968" s="28" t="s">
        <v>14</v>
      </c>
      <c r="G968" s="38"/>
      <c r="H968" s="38"/>
      <c r="J968" s="31">
        <f t="shared" si="3"/>
        <v>0</v>
      </c>
    </row>
    <row r="969">
      <c r="A969" s="28">
        <v>16.0</v>
      </c>
      <c r="B969" s="28">
        <v>52.0</v>
      </c>
      <c r="C969" s="28">
        <v>53.494907618136</v>
      </c>
      <c r="D969" s="28">
        <v>10.0019018072497</v>
      </c>
      <c r="E969" s="28" t="s">
        <v>25</v>
      </c>
      <c r="F969" s="28" t="s">
        <v>14</v>
      </c>
      <c r="G969" s="38"/>
      <c r="H969" s="38"/>
      <c r="J969" s="31">
        <f t="shared" si="3"/>
        <v>0</v>
      </c>
    </row>
    <row r="970">
      <c r="A970" s="28">
        <v>16.0</v>
      </c>
      <c r="B970" s="28">
        <v>53.0</v>
      </c>
      <c r="C970" s="28">
        <v>53.4948950909606</v>
      </c>
      <c r="D970" s="28">
        <v>10.002142494515</v>
      </c>
      <c r="E970" s="28" t="s">
        <v>25</v>
      </c>
      <c r="F970" s="28" t="s">
        <v>14</v>
      </c>
      <c r="G970" s="38"/>
      <c r="H970" s="38"/>
      <c r="J970" s="31">
        <f t="shared" si="3"/>
        <v>0</v>
      </c>
    </row>
    <row r="971">
      <c r="A971" s="28">
        <v>16.0</v>
      </c>
      <c r="B971" s="28">
        <v>54.0</v>
      </c>
      <c r="C971" s="28">
        <v>53.4948825637851</v>
      </c>
      <c r="D971" s="28">
        <v>10.0023831817093</v>
      </c>
      <c r="E971" s="28" t="s">
        <v>25</v>
      </c>
      <c r="F971" s="28" t="s">
        <v>14</v>
      </c>
      <c r="G971" s="29" t="s">
        <v>26</v>
      </c>
      <c r="H971" s="30" t="str">
        <f>HYPERLINK("https://www.munzee.com/m/Elli/6371/", "Elli/6371")</f>
        <v>Elli/6371</v>
      </c>
      <c r="J971" s="31">
        <f t="shared" si="3"/>
        <v>143</v>
      </c>
    </row>
    <row r="972">
      <c r="A972" s="28">
        <v>16.0</v>
      </c>
      <c r="B972" s="28">
        <v>55.0</v>
      </c>
      <c r="C972" s="28">
        <v>53.4948700366096</v>
      </c>
      <c r="D972" s="28">
        <v>10.0026238688324</v>
      </c>
      <c r="E972" s="28" t="s">
        <v>25</v>
      </c>
      <c r="F972" s="28" t="s">
        <v>14</v>
      </c>
      <c r="G972" s="38"/>
      <c r="H972" s="38"/>
      <c r="J972" s="31">
        <f t="shared" si="3"/>
        <v>0</v>
      </c>
    </row>
    <row r="973">
      <c r="A973" s="28">
        <v>16.0</v>
      </c>
      <c r="B973" s="28">
        <v>56.0</v>
      </c>
      <c r="C973" s="28">
        <v>53.4948575094341</v>
      </c>
      <c r="D973" s="28">
        <v>10.0028645558843</v>
      </c>
      <c r="E973" s="28" t="s">
        <v>15</v>
      </c>
      <c r="F973" s="28" t="s">
        <v>168</v>
      </c>
      <c r="G973" s="29" t="s">
        <v>40</v>
      </c>
      <c r="H973" s="30" t="str">
        <f>HYPERLINK("https://www.munzee.com/m/csThanner/1849/", "csThanner/1849")</f>
        <v>csThanner/1849</v>
      </c>
      <c r="J973" s="31">
        <f t="shared" si="3"/>
        <v>88</v>
      </c>
    </row>
    <row r="974">
      <c r="A974" s="28">
        <v>16.0</v>
      </c>
      <c r="B974" s="28">
        <v>57.0</v>
      </c>
      <c r="C974" s="28">
        <v>53.4948449822587</v>
      </c>
      <c r="D974" s="28">
        <v>10.0031052428652</v>
      </c>
      <c r="E974" s="28" t="s">
        <v>15</v>
      </c>
      <c r="F974" s="28" t="s">
        <v>168</v>
      </c>
      <c r="G974" s="29" t="s">
        <v>359</v>
      </c>
      <c r="H974" s="30" t="str">
        <f>HYPERLINK("https://www.munzee.com/m/radschlaeger/2663/", "radschlaeger/2663")</f>
        <v>radschlaeger/2663</v>
      </c>
      <c r="J974" s="31">
        <f t="shared" si="3"/>
        <v>10</v>
      </c>
    </row>
    <row r="975">
      <c r="A975" s="28">
        <v>16.0</v>
      </c>
      <c r="B975" s="28">
        <v>58.0</v>
      </c>
      <c r="C975" s="28">
        <v>53.4948324550832</v>
      </c>
      <c r="D975" s="28">
        <v>10.0033459297749</v>
      </c>
      <c r="E975" s="28" t="s">
        <v>15</v>
      </c>
      <c r="F975" s="28" t="s">
        <v>168</v>
      </c>
      <c r="G975" s="29" t="s">
        <v>310</v>
      </c>
      <c r="H975" s="30" t="s">
        <v>402</v>
      </c>
      <c r="J975" s="31">
        <f t="shared" si="3"/>
        <v>6</v>
      </c>
    </row>
    <row r="976">
      <c r="A976" s="28">
        <v>16.0</v>
      </c>
      <c r="B976" s="28">
        <v>59.0</v>
      </c>
      <c r="C976" s="28">
        <v>53.4948199279077</v>
      </c>
      <c r="D976" s="28">
        <v>10.0035866166135</v>
      </c>
      <c r="E976" s="28" t="s">
        <v>15</v>
      </c>
      <c r="F976" s="28" t="s">
        <v>168</v>
      </c>
      <c r="G976" s="29" t="s">
        <v>403</v>
      </c>
      <c r="H976" s="33" t="s">
        <v>404</v>
      </c>
      <c r="J976" s="31">
        <f t="shared" si="3"/>
        <v>1</v>
      </c>
    </row>
    <row r="977">
      <c r="A977" s="28">
        <v>16.0</v>
      </c>
      <c r="B977" s="28">
        <v>60.0</v>
      </c>
      <c r="C977" s="28">
        <v>53.4948074007322</v>
      </c>
      <c r="D977" s="28">
        <v>10.0038273033811</v>
      </c>
      <c r="E977" s="28" t="s">
        <v>25</v>
      </c>
      <c r="F977" s="28" t="s">
        <v>14</v>
      </c>
      <c r="G977" s="29" t="s">
        <v>27</v>
      </c>
      <c r="H977" s="30" t="str">
        <f>HYPERLINK("https://www.munzee.com/m/DarkHaribo/12656", "DarkHaribo/12656")</f>
        <v>DarkHaribo/12656</v>
      </c>
      <c r="J977" s="31">
        <f t="shared" si="3"/>
        <v>103</v>
      </c>
    </row>
    <row r="978">
      <c r="A978" s="28">
        <v>17.0</v>
      </c>
      <c r="B978" s="28">
        <v>1.0</v>
      </c>
      <c r="C978" s="28">
        <v>53.4954033205756</v>
      </c>
      <c r="D978" s="28">
        <v>9.98960560477542</v>
      </c>
      <c r="E978" s="28" t="s">
        <v>25</v>
      </c>
      <c r="F978" s="28" t="s">
        <v>14</v>
      </c>
      <c r="G978" s="29" t="s">
        <v>26</v>
      </c>
      <c r="H978" s="30" t="str">
        <f>HYPERLINK("https://www.munzee.com/m/Elli/6370/", "Elli/6370")</f>
        <v>Elli/6370</v>
      </c>
      <c r="J978" s="31">
        <f t="shared" si="3"/>
        <v>143</v>
      </c>
    </row>
    <row r="979">
      <c r="A979" s="28">
        <v>17.0</v>
      </c>
      <c r="B979" s="28">
        <v>2.0</v>
      </c>
      <c r="C979" s="28">
        <v>53.4953907934002</v>
      </c>
      <c r="D979" s="28">
        <v>9.98984629485437</v>
      </c>
      <c r="E979" s="28" t="s">
        <v>15</v>
      </c>
      <c r="F979" s="28" t="s">
        <v>168</v>
      </c>
      <c r="G979" s="29" t="s">
        <v>40</v>
      </c>
      <c r="H979" s="30" t="str">
        <f>HYPERLINK("https://www.munzee.com/m/csThanner/1850/", "csThanner/1850")</f>
        <v>csThanner/1850</v>
      </c>
      <c r="J979" s="31">
        <f t="shared" si="3"/>
        <v>88</v>
      </c>
    </row>
    <row r="980">
      <c r="A980" s="28">
        <v>17.0</v>
      </c>
      <c r="B980" s="28">
        <v>3.0</v>
      </c>
      <c r="C980" s="28">
        <v>53.4953782662247</v>
      </c>
      <c r="D980" s="28">
        <v>9.99008698486227</v>
      </c>
      <c r="E980" s="28" t="s">
        <v>15</v>
      </c>
      <c r="F980" s="28" t="s">
        <v>168</v>
      </c>
      <c r="G980" s="29" t="s">
        <v>359</v>
      </c>
      <c r="H980" s="30" t="str">
        <f>HYPERLINK("https://www.munzee.com/m/radschlaeger/2665/", "radschlaeger/2665")</f>
        <v>radschlaeger/2665</v>
      </c>
      <c r="J980" s="31">
        <f t="shared" si="3"/>
        <v>10</v>
      </c>
    </row>
    <row r="981">
      <c r="A981" s="28">
        <v>17.0</v>
      </c>
      <c r="B981" s="28">
        <v>4.0</v>
      </c>
      <c r="C981" s="28">
        <v>53.4953657390492</v>
      </c>
      <c r="D981" s="28">
        <v>9.990327674799</v>
      </c>
      <c r="E981" s="28" t="s">
        <v>15</v>
      </c>
      <c r="F981" s="28" t="s">
        <v>168</v>
      </c>
      <c r="G981" s="29" t="s">
        <v>364</v>
      </c>
      <c r="H981" s="30" t="str">
        <f>HYPERLINK("https://www.munzee.com/m/einkilorind/3063/", "einkilorind/3063")</f>
        <v>einkilorind/3063</v>
      </c>
      <c r="J981" s="31">
        <f t="shared" si="3"/>
        <v>17</v>
      </c>
    </row>
    <row r="982">
      <c r="A982" s="28">
        <v>17.0</v>
      </c>
      <c r="B982" s="28">
        <v>5.0</v>
      </c>
      <c r="C982" s="28">
        <v>53.4953532118737</v>
      </c>
      <c r="D982" s="28">
        <v>9.99056836466456</v>
      </c>
      <c r="E982" s="28" t="s">
        <v>15</v>
      </c>
      <c r="F982" s="28" t="s">
        <v>168</v>
      </c>
      <c r="G982" s="29" t="s">
        <v>405</v>
      </c>
      <c r="H982" s="30" t="str">
        <f>HYPERLINK("https://www.munzee.com/m/BituX/10338/", "BituX/10338")</f>
        <v>BituX/10338</v>
      </c>
      <c r="J982" s="31">
        <f t="shared" si="3"/>
        <v>2</v>
      </c>
    </row>
    <row r="983">
      <c r="A983" s="28">
        <v>17.0</v>
      </c>
      <c r="B983" s="28">
        <v>6.0</v>
      </c>
      <c r="C983" s="28">
        <v>53.4953406846983</v>
      </c>
      <c r="D983" s="28">
        <v>9.99080905445907</v>
      </c>
      <c r="E983" s="28" t="s">
        <v>25</v>
      </c>
      <c r="F983" s="28" t="s">
        <v>14</v>
      </c>
      <c r="G983" s="29" t="s">
        <v>164</v>
      </c>
      <c r="H983" s="35" t="s">
        <v>406</v>
      </c>
      <c r="J983" s="31">
        <f t="shared" si="3"/>
        <v>133</v>
      </c>
    </row>
    <row r="984">
      <c r="A984" s="28">
        <v>17.0</v>
      </c>
      <c r="B984" s="28">
        <v>7.0</v>
      </c>
      <c r="C984" s="28">
        <v>53.4953281575228</v>
      </c>
      <c r="D984" s="28">
        <v>9.99104974418241</v>
      </c>
      <c r="E984" s="28" t="s">
        <v>25</v>
      </c>
      <c r="F984" s="28" t="s">
        <v>14</v>
      </c>
      <c r="G984" s="38"/>
      <c r="H984" s="38"/>
      <c r="J984" s="31">
        <f t="shared" si="3"/>
        <v>0</v>
      </c>
    </row>
    <row r="985">
      <c r="A985" s="28">
        <v>17.0</v>
      </c>
      <c r="B985" s="28">
        <v>8.0</v>
      </c>
      <c r="C985" s="28">
        <v>53.4953156303473</v>
      </c>
      <c r="D985" s="28">
        <v>9.9912904338347</v>
      </c>
      <c r="E985" s="28" t="s">
        <v>25</v>
      </c>
      <c r="F985" s="28" t="s">
        <v>14</v>
      </c>
      <c r="G985" s="38"/>
      <c r="H985" s="38"/>
      <c r="J985" s="31">
        <f t="shared" si="3"/>
        <v>0</v>
      </c>
    </row>
    <row r="986">
      <c r="A986" s="28">
        <v>17.0</v>
      </c>
      <c r="B986" s="28">
        <v>9.0</v>
      </c>
      <c r="C986" s="28">
        <v>53.4953031031718</v>
      </c>
      <c r="D986" s="28">
        <v>9.99153112341593</v>
      </c>
      <c r="E986" s="28" t="s">
        <v>25</v>
      </c>
      <c r="F986" s="28" t="s">
        <v>14</v>
      </c>
      <c r="G986" s="38"/>
      <c r="H986" s="38"/>
      <c r="J986" s="31">
        <f t="shared" si="3"/>
        <v>0</v>
      </c>
    </row>
    <row r="987">
      <c r="A987" s="28">
        <v>17.0</v>
      </c>
      <c r="B987" s="28">
        <v>10.0</v>
      </c>
      <c r="C987" s="28">
        <v>53.4952905759963</v>
      </c>
      <c r="D987" s="28">
        <v>9.991771812926</v>
      </c>
      <c r="E987" s="28" t="s">
        <v>25</v>
      </c>
      <c r="F987" s="28" t="s">
        <v>14</v>
      </c>
      <c r="G987" s="38"/>
      <c r="H987" s="38"/>
      <c r="J987" s="31">
        <f t="shared" si="3"/>
        <v>0</v>
      </c>
    </row>
    <row r="988">
      <c r="A988" s="28">
        <v>17.0</v>
      </c>
      <c r="B988" s="28">
        <v>11.0</v>
      </c>
      <c r="C988" s="28">
        <v>53.4952780488209</v>
      </c>
      <c r="D988" s="28">
        <v>9.99201250236501</v>
      </c>
      <c r="E988" s="28" t="s">
        <v>25</v>
      </c>
      <c r="F988" s="28" t="s">
        <v>14</v>
      </c>
      <c r="G988" s="38"/>
      <c r="H988" s="38"/>
      <c r="J988" s="31">
        <f t="shared" si="3"/>
        <v>0</v>
      </c>
    </row>
    <row r="989">
      <c r="A989" s="28">
        <v>17.0</v>
      </c>
      <c r="B989" s="28">
        <v>12.0</v>
      </c>
      <c r="C989" s="28">
        <v>53.4952655216454</v>
      </c>
      <c r="D989" s="28">
        <v>9.99225319173285</v>
      </c>
      <c r="E989" s="28" t="s">
        <v>25</v>
      </c>
      <c r="F989" s="28" t="s">
        <v>14</v>
      </c>
      <c r="G989" s="38"/>
      <c r="H989" s="38"/>
      <c r="J989" s="31">
        <f t="shared" si="3"/>
        <v>0</v>
      </c>
    </row>
    <row r="990">
      <c r="A990" s="28">
        <v>17.0</v>
      </c>
      <c r="B990" s="28">
        <v>13.0</v>
      </c>
      <c r="C990" s="28">
        <v>53.4952529944699</v>
      </c>
      <c r="D990" s="28">
        <v>9.99249388102964</v>
      </c>
      <c r="E990" s="28" t="s">
        <v>25</v>
      </c>
      <c r="F990" s="28" t="s">
        <v>14</v>
      </c>
      <c r="G990" s="38"/>
      <c r="H990" s="38"/>
      <c r="J990" s="31">
        <f t="shared" si="3"/>
        <v>0</v>
      </c>
    </row>
    <row r="991">
      <c r="A991" s="28">
        <v>17.0</v>
      </c>
      <c r="B991" s="28">
        <v>14.0</v>
      </c>
      <c r="C991" s="28">
        <v>53.4952404672944</v>
      </c>
      <c r="D991" s="28">
        <v>9.99273457025538</v>
      </c>
      <c r="E991" s="28" t="s">
        <v>25</v>
      </c>
      <c r="F991" s="28" t="s">
        <v>14</v>
      </c>
      <c r="G991" s="29" t="s">
        <v>26</v>
      </c>
      <c r="H991" s="30" t="str">
        <f>HYPERLINK("https://www.munzee.com/m/Elli/6369/", "Elli/6369")</f>
        <v>Elli/6369</v>
      </c>
      <c r="J991" s="31">
        <f t="shared" si="3"/>
        <v>143</v>
      </c>
    </row>
    <row r="992">
      <c r="A992" s="28">
        <v>17.0</v>
      </c>
      <c r="B992" s="28">
        <v>15.0</v>
      </c>
      <c r="C992" s="28">
        <v>53.495227940119</v>
      </c>
      <c r="D992" s="28">
        <v>9.99297525940994</v>
      </c>
      <c r="E992" s="28" t="s">
        <v>15</v>
      </c>
      <c r="F992" s="28" t="s">
        <v>168</v>
      </c>
      <c r="G992" s="29" t="s">
        <v>28</v>
      </c>
      <c r="H992" s="30" t="str">
        <f>HYPERLINK("https://www.munzee.com/m/dreiengel/7825", "dreiengel/7825")</f>
        <v>dreiengel/7825</v>
      </c>
      <c r="J992" s="31">
        <f t="shared" si="3"/>
        <v>9</v>
      </c>
    </row>
    <row r="993">
      <c r="A993" s="28">
        <v>17.0</v>
      </c>
      <c r="B993" s="28">
        <v>16.0</v>
      </c>
      <c r="C993" s="28">
        <v>53.4952154129435</v>
      </c>
      <c r="D993" s="28">
        <v>9.99321594849334</v>
      </c>
      <c r="E993" s="28" t="s">
        <v>15</v>
      </c>
      <c r="F993" s="28" t="s">
        <v>168</v>
      </c>
      <c r="G993" s="29" t="s">
        <v>310</v>
      </c>
      <c r="H993" s="30" t="s">
        <v>407</v>
      </c>
      <c r="J993" s="31">
        <f t="shared" si="3"/>
        <v>6</v>
      </c>
    </row>
    <row r="994">
      <c r="A994" s="28">
        <v>17.0</v>
      </c>
      <c r="B994" s="28">
        <v>17.0</v>
      </c>
      <c r="C994" s="28">
        <v>53.495202885768</v>
      </c>
      <c r="D994" s="28">
        <v>9.99345663750568</v>
      </c>
      <c r="E994" s="28" t="s">
        <v>15</v>
      </c>
      <c r="F994" s="28" t="s">
        <v>168</v>
      </c>
      <c r="G994" s="29" t="s">
        <v>408</v>
      </c>
      <c r="H994" s="30" t="str">
        <f>HYPERLINK("https://www.munzee.com/m/wally62/3450/", "wally62/3450")</f>
        <v>wally62/3450</v>
      </c>
      <c r="J994" s="31">
        <f t="shared" si="3"/>
        <v>1</v>
      </c>
    </row>
    <row r="995">
      <c r="A995" s="28">
        <v>17.0</v>
      </c>
      <c r="B995" s="28">
        <v>18.0</v>
      </c>
      <c r="C995" s="28">
        <v>53.4951903585925</v>
      </c>
      <c r="D995" s="28">
        <v>9.99369732644686</v>
      </c>
      <c r="E995" s="28" t="s">
        <v>15</v>
      </c>
      <c r="F995" s="28" t="s">
        <v>168</v>
      </c>
      <c r="G995" s="29" t="s">
        <v>106</v>
      </c>
      <c r="H995" s="36" t="s">
        <v>409</v>
      </c>
      <c r="J995" s="31">
        <f t="shared" si="3"/>
        <v>9</v>
      </c>
    </row>
    <row r="996">
      <c r="A996" s="28">
        <v>17.0</v>
      </c>
      <c r="B996" s="28">
        <v>19.0</v>
      </c>
      <c r="C996" s="28">
        <v>53.4951778314171</v>
      </c>
      <c r="D996" s="28">
        <v>9.99393801531698</v>
      </c>
      <c r="E996" s="28" t="s">
        <v>25</v>
      </c>
      <c r="F996" s="28" t="s">
        <v>14</v>
      </c>
      <c r="G996" s="38"/>
      <c r="H996" s="38"/>
      <c r="J996" s="31">
        <f t="shared" si="3"/>
        <v>0</v>
      </c>
    </row>
    <row r="997">
      <c r="A997" s="28">
        <v>17.0</v>
      </c>
      <c r="B997" s="28">
        <v>20.0</v>
      </c>
      <c r="C997" s="28">
        <v>53.4951653042416</v>
      </c>
      <c r="D997" s="28">
        <v>9.99417870411605</v>
      </c>
      <c r="E997" s="28" t="s">
        <v>25</v>
      </c>
      <c r="F997" s="28" t="s">
        <v>14</v>
      </c>
      <c r="G997" s="38"/>
      <c r="H997" s="38"/>
      <c r="J997" s="31">
        <f t="shared" si="3"/>
        <v>0</v>
      </c>
    </row>
    <row r="998">
      <c r="A998" s="28">
        <v>17.0</v>
      </c>
      <c r="B998" s="28">
        <v>21.0</v>
      </c>
      <c r="C998" s="28">
        <v>53.4951527770661</v>
      </c>
      <c r="D998" s="28">
        <v>9.99441939284395</v>
      </c>
      <c r="E998" s="28" t="s">
        <v>25</v>
      </c>
      <c r="F998" s="28" t="s">
        <v>14</v>
      </c>
      <c r="G998" s="38"/>
      <c r="H998" s="38"/>
      <c r="J998" s="31">
        <f t="shared" si="3"/>
        <v>0</v>
      </c>
    </row>
    <row r="999">
      <c r="A999" s="28">
        <v>17.0</v>
      </c>
      <c r="B999" s="28">
        <v>22.0</v>
      </c>
      <c r="C999" s="28">
        <v>53.4951402498906</v>
      </c>
      <c r="D999" s="28">
        <v>9.99466008150079</v>
      </c>
      <c r="E999" s="28" t="s">
        <v>25</v>
      </c>
      <c r="F999" s="28" t="s">
        <v>14</v>
      </c>
      <c r="G999" s="38"/>
      <c r="H999" s="38"/>
      <c r="J999" s="31">
        <f t="shared" si="3"/>
        <v>0</v>
      </c>
    </row>
    <row r="1000">
      <c r="A1000" s="28">
        <v>17.0</v>
      </c>
      <c r="B1000" s="28">
        <v>23.0</v>
      </c>
      <c r="C1000" s="28">
        <v>53.4951277227151</v>
      </c>
      <c r="D1000" s="28">
        <v>9.99490077008647</v>
      </c>
      <c r="E1000" s="28" t="s">
        <v>25</v>
      </c>
      <c r="F1000" s="28" t="s">
        <v>14</v>
      </c>
      <c r="G1000" s="38"/>
      <c r="H1000" s="38"/>
      <c r="J1000" s="31">
        <f t="shared" si="3"/>
        <v>0</v>
      </c>
    </row>
    <row r="1001">
      <c r="A1001" s="28">
        <v>17.0</v>
      </c>
      <c r="B1001" s="28">
        <v>24.0</v>
      </c>
      <c r="C1001" s="28">
        <v>53.4951151955397</v>
      </c>
      <c r="D1001" s="28">
        <v>9.99514145860109</v>
      </c>
      <c r="E1001" s="28" t="s">
        <v>25</v>
      </c>
      <c r="F1001" s="28" t="s">
        <v>14</v>
      </c>
      <c r="G1001" s="38"/>
      <c r="H1001" s="38"/>
      <c r="J1001" s="31">
        <f t="shared" si="3"/>
        <v>0</v>
      </c>
    </row>
    <row r="1002">
      <c r="A1002" s="28">
        <v>17.0</v>
      </c>
      <c r="B1002" s="28">
        <v>25.0</v>
      </c>
      <c r="C1002" s="28">
        <v>53.4951026683642</v>
      </c>
      <c r="D1002" s="28">
        <v>9.99538214704466</v>
      </c>
      <c r="E1002" s="28" t="s">
        <v>25</v>
      </c>
      <c r="F1002" s="28" t="s">
        <v>14</v>
      </c>
      <c r="G1002" s="38"/>
      <c r="H1002" s="38"/>
      <c r="J1002" s="31">
        <f t="shared" si="3"/>
        <v>0</v>
      </c>
    </row>
    <row r="1003">
      <c r="A1003" s="28">
        <v>17.0</v>
      </c>
      <c r="B1003" s="28">
        <v>26.0</v>
      </c>
      <c r="C1003" s="28">
        <v>53.4950901411888</v>
      </c>
      <c r="D1003" s="28">
        <v>9.99562283541706</v>
      </c>
      <c r="E1003" s="28" t="s">
        <v>25</v>
      </c>
      <c r="F1003" s="28" t="s">
        <v>14</v>
      </c>
      <c r="G1003" s="38"/>
      <c r="H1003" s="38"/>
      <c r="J1003" s="31">
        <f t="shared" si="3"/>
        <v>0</v>
      </c>
    </row>
    <row r="1004">
      <c r="A1004" s="28">
        <v>17.0</v>
      </c>
      <c r="B1004" s="28">
        <v>27.0</v>
      </c>
      <c r="C1004" s="28">
        <v>53.4950776140133</v>
      </c>
      <c r="D1004" s="28">
        <v>9.99586352371829</v>
      </c>
      <c r="E1004" s="28" t="s">
        <v>25</v>
      </c>
      <c r="F1004" s="28" t="s">
        <v>14</v>
      </c>
      <c r="G1004" s="38"/>
      <c r="H1004" s="38"/>
      <c r="J1004" s="31">
        <f t="shared" si="3"/>
        <v>0</v>
      </c>
    </row>
    <row r="1005">
      <c r="A1005" s="28">
        <v>17.0</v>
      </c>
      <c r="B1005" s="28">
        <v>28.0</v>
      </c>
      <c r="C1005" s="28">
        <v>53.4950650868378</v>
      </c>
      <c r="D1005" s="28">
        <v>9.99610421194847</v>
      </c>
      <c r="E1005" s="28" t="s">
        <v>25</v>
      </c>
      <c r="F1005" s="28" t="s">
        <v>14</v>
      </c>
      <c r="G1005" s="38"/>
      <c r="H1005" s="38"/>
      <c r="J1005" s="31">
        <f t="shared" si="3"/>
        <v>0</v>
      </c>
    </row>
    <row r="1006">
      <c r="A1006" s="28">
        <v>17.0</v>
      </c>
      <c r="B1006" s="28">
        <v>29.0</v>
      </c>
      <c r="C1006" s="28">
        <v>53.4950525596623</v>
      </c>
      <c r="D1006" s="28">
        <v>9.9963449001076</v>
      </c>
      <c r="E1006" s="28" t="s">
        <v>25</v>
      </c>
      <c r="F1006" s="28" t="s">
        <v>14</v>
      </c>
      <c r="G1006" s="38"/>
      <c r="H1006" s="38"/>
      <c r="J1006" s="31">
        <f t="shared" si="3"/>
        <v>0</v>
      </c>
    </row>
    <row r="1007">
      <c r="A1007" s="28">
        <v>17.0</v>
      </c>
      <c r="B1007" s="28">
        <v>30.0</v>
      </c>
      <c r="C1007" s="28">
        <v>53.4950400324869</v>
      </c>
      <c r="D1007" s="28">
        <v>9.99658558819555</v>
      </c>
      <c r="E1007" s="28" t="s">
        <v>25</v>
      </c>
      <c r="F1007" s="28" t="s">
        <v>14</v>
      </c>
      <c r="G1007" s="38"/>
      <c r="H1007" s="38"/>
      <c r="J1007" s="31">
        <f t="shared" si="3"/>
        <v>0</v>
      </c>
    </row>
    <row r="1008">
      <c r="A1008" s="28">
        <v>17.0</v>
      </c>
      <c r="B1008" s="28">
        <v>31.0</v>
      </c>
      <c r="C1008" s="28">
        <v>53.4950275053114</v>
      </c>
      <c r="D1008" s="28">
        <v>9.99682627621246</v>
      </c>
      <c r="E1008" s="28" t="s">
        <v>25</v>
      </c>
      <c r="F1008" s="28" t="s">
        <v>14</v>
      </c>
      <c r="G1008" s="38"/>
      <c r="H1008" s="38"/>
      <c r="J1008" s="31">
        <f t="shared" si="3"/>
        <v>0</v>
      </c>
    </row>
    <row r="1009">
      <c r="A1009" s="28">
        <v>17.0</v>
      </c>
      <c r="B1009" s="28">
        <v>32.0</v>
      </c>
      <c r="C1009" s="28">
        <v>53.4950149781359</v>
      </c>
      <c r="D1009" s="28">
        <v>9.99706696415819</v>
      </c>
      <c r="E1009" s="28" t="s">
        <v>25</v>
      </c>
      <c r="F1009" s="28" t="s">
        <v>14</v>
      </c>
      <c r="G1009" s="38"/>
      <c r="H1009" s="38"/>
      <c r="J1009" s="31">
        <f t="shared" si="3"/>
        <v>0</v>
      </c>
    </row>
    <row r="1010">
      <c r="A1010" s="28">
        <v>17.0</v>
      </c>
      <c r="B1010" s="28">
        <v>33.0</v>
      </c>
      <c r="C1010" s="28">
        <v>53.4950024509604</v>
      </c>
      <c r="D1010" s="28">
        <v>9.99730765203287</v>
      </c>
      <c r="E1010" s="28" t="s">
        <v>25</v>
      </c>
      <c r="F1010" s="28" t="s">
        <v>14</v>
      </c>
      <c r="G1010" s="38"/>
      <c r="H1010" s="38"/>
      <c r="J1010" s="31">
        <f t="shared" si="3"/>
        <v>0</v>
      </c>
    </row>
    <row r="1011">
      <c r="A1011" s="28">
        <v>17.0</v>
      </c>
      <c r="B1011" s="28">
        <v>34.0</v>
      </c>
      <c r="C1011" s="28">
        <v>53.494989923785</v>
      </c>
      <c r="D1011" s="28">
        <v>9.99754833983638</v>
      </c>
      <c r="E1011" s="28" t="s">
        <v>25</v>
      </c>
      <c r="F1011" s="28" t="s">
        <v>14</v>
      </c>
      <c r="G1011" s="38"/>
      <c r="H1011" s="38"/>
      <c r="J1011" s="31">
        <f t="shared" si="3"/>
        <v>0</v>
      </c>
    </row>
    <row r="1012">
      <c r="A1012" s="28">
        <v>17.0</v>
      </c>
      <c r="B1012" s="28">
        <v>35.0</v>
      </c>
      <c r="C1012" s="28">
        <v>53.4949773966095</v>
      </c>
      <c r="D1012" s="28">
        <v>9.99778902756884</v>
      </c>
      <c r="E1012" s="28" t="s">
        <v>25</v>
      </c>
      <c r="F1012" s="28" t="s">
        <v>14</v>
      </c>
      <c r="G1012" s="38"/>
      <c r="H1012" s="38"/>
      <c r="J1012" s="31">
        <f t="shared" si="3"/>
        <v>0</v>
      </c>
    </row>
    <row r="1013">
      <c r="A1013" s="28">
        <v>17.0</v>
      </c>
      <c r="B1013" s="28">
        <v>36.0</v>
      </c>
      <c r="C1013" s="28">
        <v>53.494964869434</v>
      </c>
      <c r="D1013" s="28">
        <v>9.99802971523013</v>
      </c>
      <c r="E1013" s="28" t="s">
        <v>25</v>
      </c>
      <c r="F1013" s="28" t="s">
        <v>14</v>
      </c>
      <c r="G1013" s="38"/>
      <c r="H1013" s="38"/>
      <c r="J1013" s="31">
        <f t="shared" si="3"/>
        <v>0</v>
      </c>
    </row>
    <row r="1014">
      <c r="A1014" s="28">
        <v>17.0</v>
      </c>
      <c r="B1014" s="28">
        <v>37.0</v>
      </c>
      <c r="C1014" s="28">
        <v>53.4949523422585</v>
      </c>
      <c r="D1014" s="28">
        <v>9.99827040282036</v>
      </c>
      <c r="E1014" s="28" t="s">
        <v>25</v>
      </c>
      <c r="F1014" s="28" t="s">
        <v>14</v>
      </c>
      <c r="G1014" s="38"/>
      <c r="H1014" s="38"/>
      <c r="J1014" s="31">
        <f t="shared" si="3"/>
        <v>0</v>
      </c>
    </row>
    <row r="1015">
      <c r="A1015" s="28">
        <v>17.0</v>
      </c>
      <c r="B1015" s="28">
        <v>38.0</v>
      </c>
      <c r="C1015" s="28">
        <v>53.4949398150831</v>
      </c>
      <c r="D1015" s="28">
        <v>9.99851109033954</v>
      </c>
      <c r="E1015" s="28" t="s">
        <v>25</v>
      </c>
      <c r="F1015" s="28" t="s">
        <v>14</v>
      </c>
      <c r="G1015" s="38"/>
      <c r="H1015" s="38"/>
      <c r="J1015" s="31">
        <f t="shared" si="3"/>
        <v>0</v>
      </c>
    </row>
    <row r="1016">
      <c r="A1016" s="28">
        <v>17.0</v>
      </c>
      <c r="B1016" s="28">
        <v>39.0</v>
      </c>
      <c r="C1016" s="28">
        <v>53.4949272879076</v>
      </c>
      <c r="D1016" s="28">
        <v>9.99875177778756</v>
      </c>
      <c r="E1016" s="28" t="s">
        <v>25</v>
      </c>
      <c r="F1016" s="28" t="s">
        <v>14</v>
      </c>
      <c r="G1016" s="38"/>
      <c r="H1016" s="38"/>
      <c r="J1016" s="31">
        <f t="shared" si="3"/>
        <v>0</v>
      </c>
    </row>
    <row r="1017">
      <c r="A1017" s="28">
        <v>17.0</v>
      </c>
      <c r="B1017" s="28">
        <v>40.0</v>
      </c>
      <c r="C1017" s="28">
        <v>53.4949147607321</v>
      </c>
      <c r="D1017" s="28">
        <v>9.99899246516452</v>
      </c>
      <c r="E1017" s="28" t="s">
        <v>25</v>
      </c>
      <c r="F1017" s="28" t="s">
        <v>14</v>
      </c>
      <c r="G1017" s="38"/>
      <c r="H1017" s="38"/>
      <c r="J1017" s="31">
        <f t="shared" si="3"/>
        <v>0</v>
      </c>
    </row>
    <row r="1018">
      <c r="A1018" s="28">
        <v>17.0</v>
      </c>
      <c r="B1018" s="28">
        <v>41.0</v>
      </c>
      <c r="C1018" s="28">
        <v>53.4949022335567</v>
      </c>
      <c r="D1018" s="28">
        <v>9.99923315247042</v>
      </c>
      <c r="E1018" s="28" t="s">
        <v>25</v>
      </c>
      <c r="F1018" s="28" t="s">
        <v>14</v>
      </c>
      <c r="G1018" s="38"/>
      <c r="H1018" s="38"/>
      <c r="J1018" s="31">
        <f t="shared" si="3"/>
        <v>0</v>
      </c>
    </row>
    <row r="1019">
      <c r="A1019" s="28">
        <v>17.0</v>
      </c>
      <c r="B1019" s="28">
        <v>42.0</v>
      </c>
      <c r="C1019" s="28">
        <v>53.4948897063812</v>
      </c>
      <c r="D1019" s="28">
        <v>9.99947383970516</v>
      </c>
      <c r="E1019" s="28" t="s">
        <v>15</v>
      </c>
      <c r="F1019" s="28" t="s">
        <v>168</v>
      </c>
      <c r="G1019" s="29" t="s">
        <v>28</v>
      </c>
      <c r="H1019" s="38"/>
      <c r="I1019" s="29" t="s">
        <v>410</v>
      </c>
      <c r="J1019" s="31">
        <f t="shared" si="3"/>
        <v>9</v>
      </c>
    </row>
    <row r="1020">
      <c r="A1020" s="28">
        <v>17.0</v>
      </c>
      <c r="B1020" s="28">
        <v>43.0</v>
      </c>
      <c r="C1020" s="28">
        <v>53.4948771792057</v>
      </c>
      <c r="D1020" s="28">
        <v>9.99971452686872</v>
      </c>
      <c r="E1020" s="28" t="s">
        <v>15</v>
      </c>
      <c r="F1020" s="28" t="s">
        <v>168</v>
      </c>
      <c r="G1020" s="29" t="s">
        <v>182</v>
      </c>
      <c r="H1020" s="30" t="str">
        <f>HYPERLINK("https://www.munzee.com/m/dwyers5/1701/", "dwyers5/1701")</f>
        <v>dwyers5/1701</v>
      </c>
      <c r="J1020" s="31">
        <f t="shared" si="3"/>
        <v>3</v>
      </c>
    </row>
    <row r="1021">
      <c r="A1021" s="28">
        <v>17.0</v>
      </c>
      <c r="B1021" s="28">
        <v>44.0</v>
      </c>
      <c r="C1021" s="28">
        <v>53.4948646520302</v>
      </c>
      <c r="D1021" s="28">
        <v>9.99995521396124</v>
      </c>
      <c r="E1021" s="28" t="s">
        <v>15</v>
      </c>
      <c r="F1021" s="28" t="s">
        <v>168</v>
      </c>
      <c r="G1021" s="29" t="s">
        <v>26</v>
      </c>
      <c r="H1021" s="30" t="str">
        <f>HYPERLINK("https://www.munzee.com/m/Elli/6636/", "Elli/6636")</f>
        <v>Elli/6636</v>
      </c>
      <c r="J1021" s="31">
        <f t="shared" si="3"/>
        <v>143</v>
      </c>
    </row>
    <row r="1022">
      <c r="A1022" s="28">
        <v>17.0</v>
      </c>
      <c r="B1022" s="28">
        <v>45.0</v>
      </c>
      <c r="C1022" s="28">
        <v>53.4948521248548</v>
      </c>
      <c r="D1022" s="28">
        <v>10.0001959009827</v>
      </c>
      <c r="E1022" s="28" t="s">
        <v>15</v>
      </c>
      <c r="F1022" s="28" t="s">
        <v>168</v>
      </c>
      <c r="G1022" s="29" t="s">
        <v>57</v>
      </c>
      <c r="H1022" s="30" t="str">
        <f>HYPERLINK("https://www.munzee.com/m/Steerzer/6826/", "Steerzer/6826")</f>
        <v>Steerzer/6826</v>
      </c>
      <c r="J1022" s="31">
        <f t="shared" si="3"/>
        <v>20</v>
      </c>
    </row>
    <row r="1023">
      <c r="A1023" s="28">
        <v>17.0</v>
      </c>
      <c r="B1023" s="28">
        <v>46.0</v>
      </c>
      <c r="C1023" s="28">
        <v>53.4948395976793</v>
      </c>
      <c r="D1023" s="28">
        <v>10.0004365879329</v>
      </c>
      <c r="E1023" s="28" t="s">
        <v>15</v>
      </c>
      <c r="F1023" s="28" t="s">
        <v>168</v>
      </c>
      <c r="G1023" s="29" t="s">
        <v>315</v>
      </c>
      <c r="H1023" s="36" t="s">
        <v>411</v>
      </c>
      <c r="J1023" s="31">
        <f t="shared" si="3"/>
        <v>10</v>
      </c>
    </row>
    <row r="1024">
      <c r="A1024" s="28">
        <v>17.0</v>
      </c>
      <c r="B1024" s="28">
        <v>47.0</v>
      </c>
      <c r="C1024" s="28">
        <v>53.4948270705038</v>
      </c>
      <c r="D1024" s="28">
        <v>10.0006772748122</v>
      </c>
      <c r="E1024" s="28" t="s">
        <v>15</v>
      </c>
      <c r="F1024" s="28" t="s">
        <v>168</v>
      </c>
      <c r="G1024" s="29" t="s">
        <v>26</v>
      </c>
      <c r="H1024" s="30" t="str">
        <f>HYPERLINK("https://www.munzee.com/m/Elli/6634/", "Elli/6634")</f>
        <v>Elli/6634</v>
      </c>
      <c r="J1024" s="31">
        <f t="shared" si="3"/>
        <v>143</v>
      </c>
    </row>
    <row r="1025">
      <c r="A1025" s="28">
        <v>17.0</v>
      </c>
      <c r="B1025" s="28">
        <v>48.0</v>
      </c>
      <c r="C1025" s="28">
        <v>53.4948145433283</v>
      </c>
      <c r="D1025" s="28">
        <v>10.0009179616203</v>
      </c>
      <c r="E1025" s="28" t="s">
        <v>15</v>
      </c>
      <c r="F1025" s="28" t="s">
        <v>168</v>
      </c>
      <c r="G1025" s="29" t="s">
        <v>57</v>
      </c>
      <c r="H1025" s="30" t="str">
        <f>HYPERLINK("https://www.munzee.com/m/Steerzer/6828/", "Steerzer/6828")</f>
        <v>Steerzer/6828</v>
      </c>
      <c r="J1025" s="31">
        <f t="shared" si="3"/>
        <v>20</v>
      </c>
    </row>
    <row r="1026">
      <c r="A1026" s="28">
        <v>17.0</v>
      </c>
      <c r="B1026" s="28">
        <v>49.0</v>
      </c>
      <c r="C1026" s="28">
        <v>53.4948020161529</v>
      </c>
      <c r="D1026" s="28">
        <v>10.0011586483573</v>
      </c>
      <c r="E1026" s="28" t="s">
        <v>15</v>
      </c>
      <c r="F1026" s="28" t="s">
        <v>168</v>
      </c>
      <c r="G1026" s="29" t="s">
        <v>106</v>
      </c>
      <c r="H1026" s="30" t="s">
        <v>412</v>
      </c>
      <c r="J1026" s="31">
        <f t="shared" si="3"/>
        <v>9</v>
      </c>
    </row>
    <row r="1027">
      <c r="A1027" s="28">
        <v>17.0</v>
      </c>
      <c r="B1027" s="28">
        <v>50.0</v>
      </c>
      <c r="C1027" s="28">
        <v>53.4947894889774</v>
      </c>
      <c r="D1027" s="28">
        <v>10.0013993350232</v>
      </c>
      <c r="E1027" s="28" t="s">
        <v>25</v>
      </c>
      <c r="F1027" s="28" t="s">
        <v>14</v>
      </c>
      <c r="G1027" s="29" t="s">
        <v>315</v>
      </c>
      <c r="H1027" s="36" t="s">
        <v>413</v>
      </c>
      <c r="J1027" s="31">
        <f t="shared" si="3"/>
        <v>10</v>
      </c>
    </row>
    <row r="1028">
      <c r="A1028" s="28">
        <v>17.0</v>
      </c>
      <c r="B1028" s="28">
        <v>51.0</v>
      </c>
      <c r="C1028" s="28">
        <v>53.4947769618019</v>
      </c>
      <c r="D1028" s="28">
        <v>10.001640021618</v>
      </c>
      <c r="E1028" s="28" t="s">
        <v>25</v>
      </c>
      <c r="F1028" s="28" t="s">
        <v>14</v>
      </c>
      <c r="G1028" s="38"/>
      <c r="H1028" s="38"/>
      <c r="J1028" s="31">
        <f t="shared" si="3"/>
        <v>0</v>
      </c>
    </row>
    <row r="1029">
      <c r="A1029" s="28">
        <v>17.0</v>
      </c>
      <c r="B1029" s="28">
        <v>52.0</v>
      </c>
      <c r="C1029" s="28">
        <v>53.4947644346265</v>
      </c>
      <c r="D1029" s="28">
        <v>10.0018807081416</v>
      </c>
      <c r="E1029" s="28" t="s">
        <v>25</v>
      </c>
      <c r="F1029" s="28" t="s">
        <v>14</v>
      </c>
      <c r="G1029" s="38"/>
      <c r="H1029" s="38"/>
      <c r="J1029" s="31">
        <f t="shared" si="3"/>
        <v>0</v>
      </c>
    </row>
    <row r="1030">
      <c r="A1030" s="28">
        <v>17.0</v>
      </c>
      <c r="B1030" s="28">
        <v>53.0</v>
      </c>
      <c r="C1030" s="28">
        <v>53.494751907451</v>
      </c>
      <c r="D1030" s="28">
        <v>10.0021213945942</v>
      </c>
      <c r="E1030" s="28" t="s">
        <v>25</v>
      </c>
      <c r="F1030" s="28" t="s">
        <v>14</v>
      </c>
      <c r="G1030" s="38"/>
      <c r="H1030" s="38"/>
      <c r="J1030" s="31">
        <f t="shared" si="3"/>
        <v>0</v>
      </c>
    </row>
    <row r="1031">
      <c r="A1031" s="28">
        <v>17.0</v>
      </c>
      <c r="B1031" s="28">
        <v>54.0</v>
      </c>
      <c r="C1031" s="28">
        <v>53.4947393802755</v>
      </c>
      <c r="D1031" s="28">
        <v>10.0023620809757</v>
      </c>
      <c r="E1031" s="28" t="s">
        <v>25</v>
      </c>
      <c r="F1031" s="28" t="s">
        <v>14</v>
      </c>
      <c r="G1031" s="38"/>
      <c r="H1031" s="38"/>
      <c r="J1031" s="31">
        <f t="shared" si="3"/>
        <v>0</v>
      </c>
    </row>
    <row r="1032">
      <c r="A1032" s="28">
        <v>17.0</v>
      </c>
      <c r="B1032" s="28">
        <v>55.0</v>
      </c>
      <c r="C1032" s="28">
        <v>53.4947268531001</v>
      </c>
      <c r="D1032" s="28">
        <v>10.0026027672861</v>
      </c>
      <c r="E1032" s="28" t="s">
        <v>25</v>
      </c>
      <c r="F1032" s="28" t="s">
        <v>14</v>
      </c>
      <c r="G1032" s="38"/>
      <c r="H1032" s="38"/>
      <c r="J1032" s="31">
        <f t="shared" si="3"/>
        <v>0</v>
      </c>
    </row>
    <row r="1033">
      <c r="A1033" s="28">
        <v>17.0</v>
      </c>
      <c r="B1033" s="28">
        <v>56.0</v>
      </c>
      <c r="C1033" s="28">
        <v>53.4947143259246</v>
      </c>
      <c r="D1033" s="28">
        <v>10.0028434535254</v>
      </c>
      <c r="E1033" s="28" t="s">
        <v>25</v>
      </c>
      <c r="F1033" s="28" t="s">
        <v>14</v>
      </c>
      <c r="G1033" s="38"/>
      <c r="H1033" s="38"/>
      <c r="J1033" s="31">
        <f t="shared" si="3"/>
        <v>0</v>
      </c>
    </row>
    <row r="1034">
      <c r="A1034" s="28">
        <v>17.0</v>
      </c>
      <c r="B1034" s="28">
        <v>57.0</v>
      </c>
      <c r="C1034" s="28">
        <v>53.4947017987491</v>
      </c>
      <c r="D1034" s="28">
        <v>10.0030841396935</v>
      </c>
      <c r="E1034" s="28" t="s">
        <v>15</v>
      </c>
      <c r="F1034" s="28" t="s">
        <v>168</v>
      </c>
      <c r="G1034" s="29" t="s">
        <v>26</v>
      </c>
      <c r="H1034" s="30" t="s">
        <v>414</v>
      </c>
      <c r="J1034" s="31">
        <f t="shared" si="3"/>
        <v>143</v>
      </c>
    </row>
    <row r="1035">
      <c r="A1035" s="28">
        <v>17.0</v>
      </c>
      <c r="B1035" s="28">
        <v>58.0</v>
      </c>
      <c r="C1035" s="28">
        <v>53.4946892715736</v>
      </c>
      <c r="D1035" s="28">
        <v>10.0033248257906</v>
      </c>
      <c r="E1035" s="28" t="s">
        <v>15</v>
      </c>
      <c r="F1035" s="28" t="s">
        <v>168</v>
      </c>
      <c r="G1035" s="29" t="s">
        <v>315</v>
      </c>
      <c r="H1035" s="36" t="s">
        <v>415</v>
      </c>
      <c r="J1035" s="31">
        <f t="shared" si="3"/>
        <v>10</v>
      </c>
    </row>
    <row r="1036">
      <c r="A1036" s="28">
        <v>17.0</v>
      </c>
      <c r="B1036" s="28">
        <v>59.0</v>
      </c>
      <c r="C1036" s="28">
        <v>53.4946767443982</v>
      </c>
      <c r="D1036" s="28">
        <v>10.0035655118165</v>
      </c>
      <c r="E1036" s="28" t="s">
        <v>15</v>
      </c>
      <c r="F1036" s="28" t="s">
        <v>168</v>
      </c>
      <c r="G1036" s="29" t="s">
        <v>248</v>
      </c>
      <c r="H1036" s="30" t="s">
        <v>416</v>
      </c>
      <c r="J1036" s="31">
        <f t="shared" si="3"/>
        <v>3</v>
      </c>
    </row>
    <row r="1037">
      <c r="A1037" s="28">
        <v>17.0</v>
      </c>
      <c r="B1037" s="28">
        <v>60.0</v>
      </c>
      <c r="C1037" s="28">
        <v>53.4946642172227</v>
      </c>
      <c r="D1037" s="28">
        <v>10.0038061977713</v>
      </c>
      <c r="E1037" s="28" t="s">
        <v>25</v>
      </c>
      <c r="F1037" s="28" t="s">
        <v>14</v>
      </c>
      <c r="G1037" s="29" t="s">
        <v>94</v>
      </c>
      <c r="H1037" s="33" t="s">
        <v>417</v>
      </c>
      <c r="J1037" s="31">
        <f t="shared" si="3"/>
        <v>42</v>
      </c>
    </row>
    <row r="1038">
      <c r="A1038" s="28">
        <v>18.0</v>
      </c>
      <c r="B1038" s="28">
        <v>1.0</v>
      </c>
      <c r="C1038" s="28">
        <v>53.4952601370661</v>
      </c>
      <c r="D1038" s="28">
        <v>9.98958454718695</v>
      </c>
      <c r="E1038" s="28" t="s">
        <v>25</v>
      </c>
      <c r="F1038" s="28" t="s">
        <v>14</v>
      </c>
      <c r="G1038" s="29" t="s">
        <v>30</v>
      </c>
      <c r="H1038" s="30" t="str">
        <f>HYPERLINK("https://www.munzee.com/m/SachensucherHB/1491/", "SachensucherHB/1491")</f>
        <v>SachensucherHB/1491</v>
      </c>
      <c r="J1038" s="31">
        <f t="shared" si="3"/>
        <v>62</v>
      </c>
    </row>
    <row r="1039">
      <c r="A1039" s="28">
        <v>18.0</v>
      </c>
      <c r="B1039" s="28">
        <v>2.0</v>
      </c>
      <c r="C1039" s="28">
        <v>53.4952476098906</v>
      </c>
      <c r="D1039" s="28">
        <v>9.98982523645315</v>
      </c>
      <c r="E1039" s="28" t="s">
        <v>15</v>
      </c>
      <c r="F1039" s="28" t="s">
        <v>168</v>
      </c>
      <c r="G1039" s="29" t="s">
        <v>418</v>
      </c>
      <c r="H1039" s="33" t="s">
        <v>419</v>
      </c>
      <c r="J1039" s="31">
        <f t="shared" si="3"/>
        <v>7</v>
      </c>
    </row>
    <row r="1040">
      <c r="A1040" s="28">
        <v>18.0</v>
      </c>
      <c r="B1040" s="28">
        <v>3.0</v>
      </c>
      <c r="C1040" s="28">
        <v>53.4952350827151</v>
      </c>
      <c r="D1040" s="28">
        <v>9.99006592564819</v>
      </c>
      <c r="E1040" s="28" t="s">
        <v>15</v>
      </c>
      <c r="F1040" s="28" t="s">
        <v>168</v>
      </c>
      <c r="G1040" s="29" t="s">
        <v>214</v>
      </c>
      <c r="H1040" s="30" t="s">
        <v>420</v>
      </c>
      <c r="J1040" s="31">
        <f t="shared" si="3"/>
        <v>25</v>
      </c>
    </row>
    <row r="1041">
      <c r="A1041" s="28">
        <v>18.0</v>
      </c>
      <c r="B1041" s="28">
        <v>4.0</v>
      </c>
      <c r="C1041" s="28">
        <v>53.4952225555396</v>
      </c>
      <c r="D1041" s="28">
        <v>9.99030661477218</v>
      </c>
      <c r="E1041" s="28" t="s">
        <v>15</v>
      </c>
      <c r="F1041" s="28" t="s">
        <v>168</v>
      </c>
      <c r="G1041" s="29" t="s">
        <v>315</v>
      </c>
      <c r="H1041" s="36" t="s">
        <v>421</v>
      </c>
      <c r="J1041" s="31">
        <f t="shared" si="3"/>
        <v>10</v>
      </c>
    </row>
    <row r="1042">
      <c r="A1042" s="28">
        <v>18.0</v>
      </c>
      <c r="B1042" s="28">
        <v>5.0</v>
      </c>
      <c r="C1042" s="28">
        <v>53.4952100283641</v>
      </c>
      <c r="D1042" s="28">
        <v>9.99054730382511</v>
      </c>
      <c r="E1042" s="28" t="s">
        <v>15</v>
      </c>
      <c r="F1042" s="28" t="s">
        <v>168</v>
      </c>
      <c r="G1042" s="29" t="s">
        <v>418</v>
      </c>
      <c r="H1042" s="33" t="s">
        <v>422</v>
      </c>
      <c r="J1042" s="31">
        <f t="shared" si="3"/>
        <v>7</v>
      </c>
    </row>
    <row r="1043">
      <c r="A1043" s="28">
        <v>18.0</v>
      </c>
      <c r="B1043" s="28">
        <v>6.0</v>
      </c>
      <c r="C1043" s="28">
        <v>53.4951975011887</v>
      </c>
      <c r="D1043" s="28">
        <v>9.99078799280687</v>
      </c>
      <c r="E1043" s="28" t="s">
        <v>25</v>
      </c>
      <c r="F1043" s="28" t="s">
        <v>14</v>
      </c>
      <c r="G1043" s="29" t="s">
        <v>26</v>
      </c>
      <c r="H1043" s="30" t="str">
        <f>HYPERLINK("https://www.munzee.com/m/Elli/6368/", "Elli/6368")</f>
        <v>Elli/6368</v>
      </c>
      <c r="J1043" s="31">
        <f t="shared" si="3"/>
        <v>143</v>
      </c>
    </row>
    <row r="1044">
      <c r="A1044" s="28">
        <v>18.0</v>
      </c>
      <c r="B1044" s="28">
        <v>7.0</v>
      </c>
      <c r="C1044" s="28">
        <v>53.4951849740132</v>
      </c>
      <c r="D1044" s="28">
        <v>9.99102868171758</v>
      </c>
      <c r="E1044" s="28" t="s">
        <v>25</v>
      </c>
      <c r="F1044" s="28" t="s">
        <v>14</v>
      </c>
      <c r="G1044" s="29" t="s">
        <v>141</v>
      </c>
      <c r="H1044" s="36" t="s">
        <v>423</v>
      </c>
      <c r="J1044" s="31">
        <f t="shared" si="3"/>
        <v>51</v>
      </c>
    </row>
    <row r="1045">
      <c r="A1045" s="28">
        <v>18.0</v>
      </c>
      <c r="B1045" s="28">
        <v>8.0</v>
      </c>
      <c r="C1045" s="28">
        <v>53.4951724468377</v>
      </c>
      <c r="D1045" s="28">
        <v>9.99126937055712</v>
      </c>
      <c r="E1045" s="28" t="s">
        <v>25</v>
      </c>
      <c r="F1045" s="28" t="s">
        <v>14</v>
      </c>
      <c r="G1045" s="29" t="s">
        <v>145</v>
      </c>
      <c r="H1045" s="30" t="s">
        <v>424</v>
      </c>
      <c r="J1045" s="31">
        <f t="shared" si="3"/>
        <v>40</v>
      </c>
    </row>
    <row r="1046">
      <c r="A1046" s="28">
        <v>18.0</v>
      </c>
      <c r="B1046" s="28">
        <v>9.0</v>
      </c>
      <c r="C1046" s="28">
        <v>53.4951599196623</v>
      </c>
      <c r="D1046" s="28">
        <v>9.9915100593256</v>
      </c>
      <c r="E1046" s="28" t="s">
        <v>25</v>
      </c>
      <c r="F1046" s="28" t="s">
        <v>14</v>
      </c>
      <c r="G1046" s="29" t="s">
        <v>26</v>
      </c>
      <c r="H1046" s="30" t="str">
        <f>HYPERLINK("https://www.munzee.com/m/Elli/6367/", "Elli/6367")</f>
        <v>Elli/6367</v>
      </c>
      <c r="J1046" s="31">
        <f t="shared" si="3"/>
        <v>143</v>
      </c>
    </row>
    <row r="1047">
      <c r="A1047" s="28">
        <v>18.0</v>
      </c>
      <c r="B1047" s="28">
        <v>10.0</v>
      </c>
      <c r="C1047" s="28">
        <v>53.4951473924868</v>
      </c>
      <c r="D1047" s="28">
        <v>9.99175074802292</v>
      </c>
      <c r="E1047" s="28" t="s">
        <v>25</v>
      </c>
      <c r="F1047" s="28" t="s">
        <v>14</v>
      </c>
      <c r="G1047" s="29" t="s">
        <v>141</v>
      </c>
      <c r="H1047" s="30" t="s">
        <v>425</v>
      </c>
      <c r="J1047" s="31">
        <f t="shared" si="3"/>
        <v>51</v>
      </c>
    </row>
    <row r="1048">
      <c r="A1048" s="28">
        <v>18.0</v>
      </c>
      <c r="B1048" s="28">
        <v>11.0</v>
      </c>
      <c r="C1048" s="28">
        <v>53.4951348653113</v>
      </c>
      <c r="D1048" s="28">
        <v>9.99199143664918</v>
      </c>
      <c r="E1048" s="28" t="s">
        <v>25</v>
      </c>
      <c r="F1048" s="28" t="s">
        <v>14</v>
      </c>
      <c r="G1048" s="38"/>
      <c r="H1048" s="38"/>
      <c r="J1048" s="31">
        <f t="shared" si="3"/>
        <v>0</v>
      </c>
    </row>
    <row r="1049">
      <c r="A1049" s="28">
        <v>18.0</v>
      </c>
      <c r="B1049" s="28">
        <v>12.0</v>
      </c>
      <c r="C1049" s="28">
        <v>53.4951223381358</v>
      </c>
      <c r="D1049" s="28">
        <v>9.99223212520428</v>
      </c>
      <c r="E1049" s="28" t="s">
        <v>25</v>
      </c>
      <c r="F1049" s="28" t="s">
        <v>14</v>
      </c>
      <c r="G1049" s="29" t="s">
        <v>164</v>
      </c>
      <c r="H1049" s="35" t="s">
        <v>426</v>
      </c>
      <c r="J1049" s="31">
        <f t="shared" si="3"/>
        <v>133</v>
      </c>
    </row>
    <row r="1050">
      <c r="A1050" s="28">
        <v>18.0</v>
      </c>
      <c r="B1050" s="28">
        <v>13.0</v>
      </c>
      <c r="C1050" s="28">
        <v>53.4951098109604</v>
      </c>
      <c r="D1050" s="28">
        <v>9.99247281368832</v>
      </c>
      <c r="E1050" s="28" t="s">
        <v>25</v>
      </c>
      <c r="F1050" s="28" t="s">
        <v>14</v>
      </c>
      <c r="G1050" s="38"/>
      <c r="H1050" s="38"/>
      <c r="J1050" s="31">
        <f t="shared" si="3"/>
        <v>0</v>
      </c>
    </row>
    <row r="1051">
      <c r="A1051" s="28">
        <v>18.0</v>
      </c>
      <c r="B1051" s="28">
        <v>14.0</v>
      </c>
      <c r="C1051" s="28">
        <v>53.4950972837849</v>
      </c>
      <c r="D1051" s="28">
        <v>9.99271350210131</v>
      </c>
      <c r="E1051" s="28" t="s">
        <v>25</v>
      </c>
      <c r="F1051" s="28" t="s">
        <v>14</v>
      </c>
      <c r="G1051" s="38"/>
      <c r="H1051" s="38"/>
      <c r="J1051" s="31">
        <f t="shared" si="3"/>
        <v>0</v>
      </c>
    </row>
    <row r="1052">
      <c r="A1052" s="28">
        <v>18.0</v>
      </c>
      <c r="B1052" s="28">
        <v>15.0</v>
      </c>
      <c r="C1052" s="28">
        <v>53.4950847566094</v>
      </c>
      <c r="D1052" s="28">
        <v>9.99295419044312</v>
      </c>
      <c r="E1052" s="28" t="s">
        <v>25</v>
      </c>
      <c r="F1052" s="28" t="s">
        <v>14</v>
      </c>
      <c r="G1052" s="29" t="s">
        <v>164</v>
      </c>
      <c r="H1052" s="35" t="s">
        <v>427</v>
      </c>
      <c r="J1052" s="31">
        <f t="shared" si="3"/>
        <v>133</v>
      </c>
    </row>
    <row r="1053">
      <c r="A1053" s="28">
        <v>18.0</v>
      </c>
      <c r="B1053" s="28">
        <v>16.0</v>
      </c>
      <c r="C1053" s="28">
        <v>53.4950722294339</v>
      </c>
      <c r="D1053" s="28">
        <v>9.99319487871389</v>
      </c>
      <c r="E1053" s="28" t="s">
        <v>25</v>
      </c>
      <c r="F1053" s="28" t="s">
        <v>14</v>
      </c>
      <c r="G1053" s="29" t="s">
        <v>145</v>
      </c>
      <c r="H1053" s="30" t="s">
        <v>428</v>
      </c>
      <c r="J1053" s="31">
        <f t="shared" si="3"/>
        <v>40</v>
      </c>
    </row>
    <row r="1054">
      <c r="A1054" s="28">
        <v>18.0</v>
      </c>
      <c r="B1054" s="28">
        <v>17.0</v>
      </c>
      <c r="C1054" s="28">
        <v>53.4950597022584</v>
      </c>
      <c r="D1054" s="28">
        <v>9.99343556691349</v>
      </c>
      <c r="E1054" s="28" t="s">
        <v>15</v>
      </c>
      <c r="F1054" s="28" t="s">
        <v>168</v>
      </c>
      <c r="G1054" s="29" t="s">
        <v>246</v>
      </c>
      <c r="H1054" s="30" t="str">
        <f>HYPERLINK("https://www.munzee.com/m/Muskratmarie/4928", "Muskratmarie/4928")</f>
        <v>Muskratmarie/4928</v>
      </c>
      <c r="J1054" s="31">
        <f t="shared" si="3"/>
        <v>3</v>
      </c>
    </row>
    <row r="1055">
      <c r="A1055" s="28">
        <v>18.0</v>
      </c>
      <c r="B1055" s="28">
        <v>18.0</v>
      </c>
      <c r="C1055" s="28">
        <v>53.495047175083</v>
      </c>
      <c r="D1055" s="28">
        <v>9.99367625504203</v>
      </c>
      <c r="E1055" s="28" t="s">
        <v>15</v>
      </c>
      <c r="F1055" s="28" t="s">
        <v>168</v>
      </c>
      <c r="G1055" s="29" t="s">
        <v>418</v>
      </c>
      <c r="H1055" s="33" t="s">
        <v>429</v>
      </c>
      <c r="J1055" s="31">
        <f t="shared" si="3"/>
        <v>7</v>
      </c>
    </row>
    <row r="1056">
      <c r="A1056" s="28">
        <v>18.0</v>
      </c>
      <c r="B1056" s="28">
        <v>19.0</v>
      </c>
      <c r="C1056" s="28">
        <v>53.4950346479075</v>
      </c>
      <c r="D1056" s="28">
        <v>9.99391694309952</v>
      </c>
      <c r="E1056" s="28" t="s">
        <v>25</v>
      </c>
      <c r="F1056" s="28" t="s">
        <v>14</v>
      </c>
      <c r="G1056" s="29" t="s">
        <v>26</v>
      </c>
      <c r="H1056" s="30" t="str">
        <f>HYPERLINK("https://www.munzee.com/m/Elli/6362/", "Elli/6362")</f>
        <v>Elli/6362</v>
      </c>
      <c r="J1056" s="31">
        <f t="shared" si="3"/>
        <v>143</v>
      </c>
    </row>
    <row r="1057">
      <c r="A1057" s="28">
        <v>18.0</v>
      </c>
      <c r="B1057" s="28">
        <v>20.0</v>
      </c>
      <c r="C1057" s="28">
        <v>53.495022120732</v>
      </c>
      <c r="D1057" s="28">
        <v>9.99415763108584</v>
      </c>
      <c r="E1057" s="28" t="s">
        <v>25</v>
      </c>
      <c r="F1057" s="28" t="s">
        <v>14</v>
      </c>
      <c r="G1057" s="29" t="s">
        <v>145</v>
      </c>
      <c r="H1057" s="30" t="s">
        <v>430</v>
      </c>
      <c r="J1057" s="31">
        <f t="shared" si="3"/>
        <v>40</v>
      </c>
    </row>
    <row r="1058">
      <c r="A1058" s="28">
        <v>18.0</v>
      </c>
      <c r="B1058" s="28">
        <v>21.0</v>
      </c>
      <c r="C1058" s="28">
        <v>53.4950095935566</v>
      </c>
      <c r="D1058" s="28">
        <v>9.99439831900099</v>
      </c>
      <c r="E1058" s="28" t="s">
        <v>25</v>
      </c>
      <c r="F1058" s="28" t="s">
        <v>14</v>
      </c>
      <c r="G1058" s="29" t="s">
        <v>164</v>
      </c>
      <c r="H1058" s="30" t="s">
        <v>431</v>
      </c>
      <c r="J1058" s="31">
        <f t="shared" si="3"/>
        <v>133</v>
      </c>
    </row>
    <row r="1059">
      <c r="A1059" s="28">
        <v>18.0</v>
      </c>
      <c r="B1059" s="28">
        <v>22.0</v>
      </c>
      <c r="C1059" s="28">
        <v>53.4949970663811</v>
      </c>
      <c r="D1059" s="28">
        <v>9.99463900684509</v>
      </c>
      <c r="E1059" s="28" t="s">
        <v>25</v>
      </c>
      <c r="F1059" s="28" t="s">
        <v>14</v>
      </c>
      <c r="G1059" s="29" t="s">
        <v>26</v>
      </c>
      <c r="H1059" s="30" t="str">
        <f>HYPERLINK("https://www.munzee.com/m/Elli/6361/", "Elli/6361")</f>
        <v>Elli/6361</v>
      </c>
      <c r="J1059" s="31">
        <f t="shared" si="3"/>
        <v>143</v>
      </c>
    </row>
    <row r="1060">
      <c r="A1060" s="28">
        <v>18.0</v>
      </c>
      <c r="B1060" s="28">
        <v>23.0</v>
      </c>
      <c r="C1060" s="28">
        <v>53.4949845392056</v>
      </c>
      <c r="D1060" s="28">
        <v>9.99487969461813</v>
      </c>
      <c r="E1060" s="28" t="s">
        <v>25</v>
      </c>
      <c r="F1060" s="28" t="s">
        <v>14</v>
      </c>
      <c r="G1060" s="29" t="s">
        <v>145</v>
      </c>
      <c r="H1060" s="30" t="s">
        <v>432</v>
      </c>
      <c r="J1060" s="31">
        <f t="shared" si="3"/>
        <v>40</v>
      </c>
    </row>
    <row r="1061">
      <c r="A1061" s="28">
        <v>18.0</v>
      </c>
      <c r="B1061" s="28">
        <v>24.0</v>
      </c>
      <c r="C1061" s="28">
        <v>53.4949720120301</v>
      </c>
      <c r="D1061" s="28">
        <v>9.99512038232001</v>
      </c>
      <c r="E1061" s="28" t="s">
        <v>25</v>
      </c>
      <c r="F1061" s="28" t="s">
        <v>14</v>
      </c>
      <c r="G1061" s="29" t="s">
        <v>164</v>
      </c>
      <c r="H1061" s="35" t="s">
        <v>433</v>
      </c>
      <c r="J1061" s="31">
        <f t="shared" si="3"/>
        <v>133</v>
      </c>
    </row>
    <row r="1062">
      <c r="A1062" s="28">
        <v>18.0</v>
      </c>
      <c r="B1062" s="28">
        <v>25.0</v>
      </c>
      <c r="C1062" s="28">
        <v>53.4949594848546</v>
      </c>
      <c r="D1062" s="28">
        <v>9.99536106995083</v>
      </c>
      <c r="E1062" s="28" t="s">
        <v>25</v>
      </c>
      <c r="F1062" s="28" t="s">
        <v>14</v>
      </c>
      <c r="G1062" s="29" t="s">
        <v>26</v>
      </c>
      <c r="H1062" s="30" t="str">
        <f>HYPERLINK("https://www.munzee.com/m/Elli/6360/", "Elli/6360")</f>
        <v>Elli/6360</v>
      </c>
      <c r="J1062" s="31">
        <f t="shared" si="3"/>
        <v>143</v>
      </c>
    </row>
    <row r="1063">
      <c r="A1063" s="28">
        <v>18.0</v>
      </c>
      <c r="B1063" s="28">
        <v>26.0</v>
      </c>
      <c r="C1063" s="28">
        <v>53.4949469576792</v>
      </c>
      <c r="D1063" s="28">
        <v>9.99560175751048</v>
      </c>
      <c r="E1063" s="28" t="s">
        <v>25</v>
      </c>
      <c r="F1063" s="28" t="s">
        <v>14</v>
      </c>
      <c r="G1063" s="29" t="s">
        <v>145</v>
      </c>
      <c r="H1063" s="38"/>
      <c r="J1063" s="31">
        <f t="shared" si="3"/>
        <v>40</v>
      </c>
    </row>
    <row r="1064">
      <c r="A1064" s="28">
        <v>18.0</v>
      </c>
      <c r="B1064" s="28">
        <v>27.0</v>
      </c>
      <c r="C1064" s="28">
        <v>53.4949344305037</v>
      </c>
      <c r="D1064" s="28">
        <v>9.99584244499908</v>
      </c>
      <c r="E1064" s="28" t="s">
        <v>25</v>
      </c>
      <c r="F1064" s="28" t="s">
        <v>14</v>
      </c>
      <c r="G1064" s="38"/>
      <c r="H1064" s="38"/>
      <c r="J1064" s="31">
        <f t="shared" si="3"/>
        <v>0</v>
      </c>
    </row>
    <row r="1065">
      <c r="A1065" s="28">
        <v>18.0</v>
      </c>
      <c r="B1065" s="28">
        <v>28.0</v>
      </c>
      <c r="C1065" s="28">
        <v>53.4949219033282</v>
      </c>
      <c r="D1065" s="28">
        <v>9.99608313241651</v>
      </c>
      <c r="E1065" s="28" t="s">
        <v>25</v>
      </c>
      <c r="F1065" s="28" t="s">
        <v>14</v>
      </c>
      <c r="G1065" s="29" t="s">
        <v>26</v>
      </c>
      <c r="H1065" s="30" t="str">
        <f>HYPERLINK("https://www.munzee.com/m/Elli/6359/", "Elli/6359")</f>
        <v>Elli/6359</v>
      </c>
      <c r="J1065" s="31">
        <f t="shared" si="3"/>
        <v>143</v>
      </c>
    </row>
    <row r="1066">
      <c r="A1066" s="28">
        <v>18.0</v>
      </c>
      <c r="B1066" s="28">
        <v>29.0</v>
      </c>
      <c r="C1066" s="28">
        <v>53.4949093761527</v>
      </c>
      <c r="D1066" s="28">
        <v>9.99632381976289</v>
      </c>
      <c r="E1066" s="28" t="s">
        <v>25</v>
      </c>
      <c r="F1066" s="28" t="s">
        <v>14</v>
      </c>
      <c r="G1066" s="29" t="s">
        <v>164</v>
      </c>
      <c r="H1066" s="35" t="s">
        <v>434</v>
      </c>
      <c r="J1066" s="31">
        <f t="shared" si="3"/>
        <v>133</v>
      </c>
    </row>
    <row r="1067">
      <c r="A1067" s="28">
        <v>18.0</v>
      </c>
      <c r="B1067" s="28">
        <v>30.0</v>
      </c>
      <c r="C1067" s="28">
        <v>53.4948968489773</v>
      </c>
      <c r="D1067" s="28">
        <v>9.9965645070381</v>
      </c>
      <c r="E1067" s="28" t="s">
        <v>25</v>
      </c>
      <c r="F1067" s="28" t="s">
        <v>14</v>
      </c>
      <c r="G1067" s="38"/>
      <c r="H1067" s="38"/>
      <c r="J1067" s="31">
        <f t="shared" si="3"/>
        <v>0</v>
      </c>
    </row>
    <row r="1068">
      <c r="A1068" s="28">
        <v>18.0</v>
      </c>
      <c r="B1068" s="28">
        <v>31.0</v>
      </c>
      <c r="C1068" s="28">
        <v>53.4948843218018</v>
      </c>
      <c r="D1068" s="28">
        <v>9.99680519424225</v>
      </c>
      <c r="E1068" s="28" t="s">
        <v>25</v>
      </c>
      <c r="F1068" s="28" t="s">
        <v>14</v>
      </c>
      <c r="G1068" s="29" t="s">
        <v>26</v>
      </c>
      <c r="H1068" s="30" t="str">
        <f>HYPERLINK("https://www.munzee.com/m/Elli/6358/", "Elli/6358")</f>
        <v>Elli/6358</v>
      </c>
      <c r="J1068" s="31">
        <f t="shared" si="3"/>
        <v>143</v>
      </c>
    </row>
    <row r="1069">
      <c r="A1069" s="28">
        <v>18.0</v>
      </c>
      <c r="B1069" s="28">
        <v>32.0</v>
      </c>
      <c r="C1069" s="28">
        <v>53.4948717946263</v>
      </c>
      <c r="D1069" s="28">
        <v>9.99704588137535</v>
      </c>
      <c r="E1069" s="28" t="s">
        <v>25</v>
      </c>
      <c r="F1069" s="28" t="s">
        <v>14</v>
      </c>
      <c r="G1069" s="29" t="s">
        <v>164</v>
      </c>
      <c r="H1069" s="35" t="s">
        <v>435</v>
      </c>
      <c r="J1069" s="31">
        <f t="shared" si="3"/>
        <v>133</v>
      </c>
    </row>
    <row r="1070">
      <c r="A1070" s="28">
        <v>18.0</v>
      </c>
      <c r="B1070" s="28">
        <v>33.0</v>
      </c>
      <c r="C1070" s="28">
        <v>53.4948592674509</v>
      </c>
      <c r="D1070" s="28">
        <v>9.99728656843729</v>
      </c>
      <c r="E1070" s="28" t="s">
        <v>25</v>
      </c>
      <c r="F1070" s="28" t="s">
        <v>14</v>
      </c>
      <c r="G1070" s="38"/>
      <c r="H1070" s="38"/>
      <c r="J1070" s="31">
        <f t="shared" si="3"/>
        <v>0</v>
      </c>
    </row>
    <row r="1071">
      <c r="A1071" s="28">
        <v>18.0</v>
      </c>
      <c r="B1071" s="28">
        <v>34.0</v>
      </c>
      <c r="C1071" s="28">
        <v>53.4948467402754</v>
      </c>
      <c r="D1071" s="28">
        <v>9.99752725542816</v>
      </c>
      <c r="E1071" s="28" t="s">
        <v>25</v>
      </c>
      <c r="F1071" s="28" t="s">
        <v>14</v>
      </c>
      <c r="G1071" s="29" t="s">
        <v>26</v>
      </c>
      <c r="H1071" s="36" t="s">
        <v>436</v>
      </c>
      <c r="J1071" s="31">
        <f t="shared" si="3"/>
        <v>143</v>
      </c>
    </row>
    <row r="1072">
      <c r="A1072" s="28">
        <v>18.0</v>
      </c>
      <c r="B1072" s="28">
        <v>35.0</v>
      </c>
      <c r="C1072" s="28">
        <v>53.4948342130999</v>
      </c>
      <c r="D1072" s="28">
        <v>9.99776794234799</v>
      </c>
      <c r="E1072" s="28" t="s">
        <v>25</v>
      </c>
      <c r="F1072" s="28" t="s">
        <v>14</v>
      </c>
      <c r="G1072" s="29" t="s">
        <v>164</v>
      </c>
      <c r="H1072" s="35" t="s">
        <v>437</v>
      </c>
      <c r="J1072" s="31">
        <f t="shared" si="3"/>
        <v>133</v>
      </c>
    </row>
    <row r="1073">
      <c r="A1073" s="28">
        <v>18.0</v>
      </c>
      <c r="B1073" s="28">
        <v>36.0</v>
      </c>
      <c r="C1073" s="28">
        <v>53.4948216859244</v>
      </c>
      <c r="D1073" s="28">
        <v>9.99800862919664</v>
      </c>
      <c r="E1073" s="28" t="s">
        <v>25</v>
      </c>
      <c r="F1073" s="28" t="s">
        <v>14</v>
      </c>
      <c r="G1073" s="38"/>
      <c r="H1073" s="38"/>
      <c r="J1073" s="31">
        <f t="shared" si="3"/>
        <v>0</v>
      </c>
    </row>
    <row r="1074">
      <c r="A1074" s="28">
        <v>18.0</v>
      </c>
      <c r="B1074" s="28">
        <v>37.0</v>
      </c>
      <c r="C1074" s="28">
        <v>53.494809158749</v>
      </c>
      <c r="D1074" s="28">
        <v>9.99824931597413</v>
      </c>
      <c r="E1074" s="28" t="s">
        <v>25</v>
      </c>
      <c r="F1074" s="28" t="s">
        <v>14</v>
      </c>
      <c r="G1074" s="38"/>
      <c r="H1074" s="38"/>
      <c r="J1074" s="31">
        <f t="shared" si="3"/>
        <v>0</v>
      </c>
    </row>
    <row r="1075">
      <c r="A1075" s="28">
        <v>18.0</v>
      </c>
      <c r="B1075" s="28">
        <v>38.0</v>
      </c>
      <c r="C1075" s="28">
        <v>53.4947966315735</v>
      </c>
      <c r="D1075" s="28">
        <v>9.99849000268056</v>
      </c>
      <c r="E1075" s="28" t="s">
        <v>25</v>
      </c>
      <c r="F1075" s="28" t="s">
        <v>14</v>
      </c>
      <c r="G1075" s="29" t="s">
        <v>164</v>
      </c>
      <c r="H1075" s="35" t="s">
        <v>438</v>
      </c>
      <c r="J1075" s="31">
        <f t="shared" si="3"/>
        <v>133</v>
      </c>
    </row>
    <row r="1076">
      <c r="A1076" s="28">
        <v>18.0</v>
      </c>
      <c r="B1076" s="28">
        <v>39.0</v>
      </c>
      <c r="C1076" s="28">
        <v>53.494784104398</v>
      </c>
      <c r="D1076" s="28">
        <v>9.99873068931594</v>
      </c>
      <c r="E1076" s="28" t="s">
        <v>25</v>
      </c>
      <c r="F1076" s="28" t="s">
        <v>14</v>
      </c>
      <c r="G1076" s="38"/>
      <c r="H1076" s="38"/>
      <c r="J1076" s="31">
        <f t="shared" si="3"/>
        <v>0</v>
      </c>
    </row>
    <row r="1077">
      <c r="A1077" s="28">
        <v>18.0</v>
      </c>
      <c r="B1077" s="28">
        <v>40.0</v>
      </c>
      <c r="C1077" s="28">
        <v>53.4947715772226</v>
      </c>
      <c r="D1077" s="28">
        <v>9.99897137588016</v>
      </c>
      <c r="E1077" s="28" t="s">
        <v>25</v>
      </c>
      <c r="F1077" s="28" t="s">
        <v>14</v>
      </c>
      <c r="G1077" s="38"/>
      <c r="H1077" s="38"/>
      <c r="J1077" s="31">
        <f t="shared" si="3"/>
        <v>0</v>
      </c>
    </row>
    <row r="1078">
      <c r="A1078" s="28">
        <v>18.0</v>
      </c>
      <c r="B1078" s="28">
        <v>41.0</v>
      </c>
      <c r="C1078" s="28">
        <v>53.4947590500471</v>
      </c>
      <c r="D1078" s="28">
        <v>9.99921206237331</v>
      </c>
      <c r="E1078" s="28" t="s">
        <v>25</v>
      </c>
      <c r="F1078" s="28" t="s">
        <v>14</v>
      </c>
      <c r="G1078" s="29" t="s">
        <v>164</v>
      </c>
      <c r="H1078" s="35" t="s">
        <v>439</v>
      </c>
      <c r="J1078" s="31">
        <f t="shared" si="3"/>
        <v>133</v>
      </c>
    </row>
    <row r="1079">
      <c r="A1079" s="28">
        <v>18.0</v>
      </c>
      <c r="B1079" s="28">
        <v>42.0</v>
      </c>
      <c r="C1079" s="28">
        <v>53.4947465228716</v>
      </c>
      <c r="D1079" s="28">
        <v>9.99945274879542</v>
      </c>
      <c r="E1079" s="28" t="s">
        <v>15</v>
      </c>
      <c r="F1079" s="28" t="s">
        <v>168</v>
      </c>
      <c r="G1079" s="29" t="s">
        <v>440</v>
      </c>
      <c r="H1079" s="30" t="s">
        <v>441</v>
      </c>
      <c r="J1079" s="31">
        <f t="shared" si="3"/>
        <v>1</v>
      </c>
    </row>
    <row r="1080">
      <c r="A1080" s="28">
        <v>18.0</v>
      </c>
      <c r="B1080" s="28">
        <v>43.0</v>
      </c>
      <c r="C1080" s="28">
        <v>53.4947339956961</v>
      </c>
      <c r="D1080" s="28">
        <v>9.99969343514635</v>
      </c>
      <c r="E1080" s="28" t="s">
        <v>15</v>
      </c>
      <c r="F1080" s="28" t="s">
        <v>168</v>
      </c>
      <c r="G1080" s="29" t="s">
        <v>442</v>
      </c>
      <c r="H1080" s="30" t="s">
        <v>443</v>
      </c>
      <c r="J1080" s="31">
        <f t="shared" si="3"/>
        <v>2</v>
      </c>
    </row>
    <row r="1081">
      <c r="A1081" s="28">
        <v>18.0</v>
      </c>
      <c r="B1081" s="28">
        <v>44.0</v>
      </c>
      <c r="C1081" s="28">
        <v>53.4947214685207</v>
      </c>
      <c r="D1081" s="28">
        <v>9.99993412142612</v>
      </c>
      <c r="E1081" s="28" t="s">
        <v>15</v>
      </c>
      <c r="F1081" s="28" t="s">
        <v>168</v>
      </c>
      <c r="G1081" s="29" t="s">
        <v>444</v>
      </c>
      <c r="H1081" s="30" t="s">
        <v>445</v>
      </c>
      <c r="J1081" s="31">
        <f t="shared" si="3"/>
        <v>2</v>
      </c>
    </row>
    <row r="1082">
      <c r="A1082" s="28">
        <v>18.0</v>
      </c>
      <c r="B1082" s="28">
        <v>45.0</v>
      </c>
      <c r="C1082" s="28">
        <v>53.4947089413452</v>
      </c>
      <c r="D1082" s="28">
        <v>10.0001748076348</v>
      </c>
      <c r="E1082" s="28" t="s">
        <v>15</v>
      </c>
      <c r="F1082" s="28" t="s">
        <v>168</v>
      </c>
      <c r="G1082" s="29" t="s">
        <v>446</v>
      </c>
      <c r="H1082" s="30" t="s">
        <v>447</v>
      </c>
      <c r="J1082" s="31">
        <f t="shared" si="3"/>
        <v>1</v>
      </c>
    </row>
    <row r="1083">
      <c r="A1083" s="28">
        <v>18.0</v>
      </c>
      <c r="B1083" s="28">
        <v>46.0</v>
      </c>
      <c r="C1083" s="28">
        <v>53.4946964141697</v>
      </c>
      <c r="D1083" s="28">
        <v>10.0004154937723</v>
      </c>
      <c r="E1083" s="28" t="s">
        <v>15</v>
      </c>
      <c r="F1083" s="28" t="s">
        <v>168</v>
      </c>
      <c r="G1083" s="29" t="s">
        <v>448</v>
      </c>
      <c r="H1083" s="30" t="s">
        <v>449</v>
      </c>
      <c r="J1083" s="31">
        <f t="shared" si="3"/>
        <v>5</v>
      </c>
    </row>
    <row r="1084">
      <c r="A1084" s="28">
        <v>18.0</v>
      </c>
      <c r="B1084" s="28">
        <v>47.0</v>
      </c>
      <c r="C1084" s="28">
        <v>53.4946838869942</v>
      </c>
      <c r="D1084" s="28">
        <v>10.0006561798388</v>
      </c>
      <c r="E1084" s="28" t="s">
        <v>15</v>
      </c>
      <c r="F1084" s="28" t="s">
        <v>168</v>
      </c>
      <c r="G1084" s="29" t="s">
        <v>118</v>
      </c>
      <c r="H1084" s="30" t="s">
        <v>450</v>
      </c>
      <c r="J1084" s="31">
        <f t="shared" si="3"/>
        <v>13</v>
      </c>
    </row>
    <row r="1085">
      <c r="A1085" s="28">
        <v>18.0</v>
      </c>
      <c r="B1085" s="28">
        <v>48.0</v>
      </c>
      <c r="C1085" s="28">
        <v>53.4946713598188</v>
      </c>
      <c r="D1085" s="28">
        <v>10.0008968658343</v>
      </c>
      <c r="E1085" s="28" t="s">
        <v>25</v>
      </c>
      <c r="F1085" s="28" t="s">
        <v>14</v>
      </c>
      <c r="G1085" s="38"/>
      <c r="H1085" s="38"/>
      <c r="J1085" s="31">
        <f t="shared" si="3"/>
        <v>0</v>
      </c>
    </row>
    <row r="1086">
      <c r="A1086" s="28">
        <v>18.0</v>
      </c>
      <c r="B1086" s="28">
        <v>49.0</v>
      </c>
      <c r="C1086" s="28">
        <v>53.4946588326433</v>
      </c>
      <c r="D1086" s="28">
        <v>10.0011375517585</v>
      </c>
      <c r="E1086" s="28" t="s">
        <v>25</v>
      </c>
      <c r="F1086" s="28" t="s">
        <v>14</v>
      </c>
      <c r="G1086" s="29" t="s">
        <v>164</v>
      </c>
      <c r="H1086" s="30" t="s">
        <v>451</v>
      </c>
      <c r="J1086" s="31">
        <f t="shared" si="3"/>
        <v>133</v>
      </c>
    </row>
    <row r="1087">
      <c r="A1087" s="28">
        <v>18.0</v>
      </c>
      <c r="B1087" s="28">
        <v>50.0</v>
      </c>
      <c r="C1087" s="28">
        <v>53.4946463054678</v>
      </c>
      <c r="D1087" s="28">
        <v>10.0013782376117</v>
      </c>
      <c r="E1087" s="28" t="s">
        <v>25</v>
      </c>
      <c r="F1087" s="28" t="s">
        <v>14</v>
      </c>
      <c r="G1087" s="29" t="s">
        <v>26</v>
      </c>
      <c r="H1087" s="36" t="s">
        <v>452</v>
      </c>
      <c r="J1087" s="31">
        <f t="shared" si="3"/>
        <v>143</v>
      </c>
    </row>
    <row r="1088">
      <c r="A1088" s="28">
        <v>18.0</v>
      </c>
      <c r="B1088" s="28">
        <v>51.0</v>
      </c>
      <c r="C1088" s="28">
        <v>53.4946337782923</v>
      </c>
      <c r="D1088" s="28">
        <v>10.0016189233938</v>
      </c>
      <c r="E1088" s="28" t="s">
        <v>25</v>
      </c>
      <c r="F1088" s="28" t="s">
        <v>14</v>
      </c>
      <c r="G1088" s="38"/>
      <c r="H1088" s="38"/>
      <c r="J1088" s="31">
        <f t="shared" si="3"/>
        <v>0</v>
      </c>
    </row>
    <row r="1089">
      <c r="A1089" s="28">
        <v>18.0</v>
      </c>
      <c r="B1089" s="28">
        <v>52.0</v>
      </c>
      <c r="C1089" s="28">
        <v>53.4946212511169</v>
      </c>
      <c r="D1089" s="28">
        <v>10.0018596091048</v>
      </c>
      <c r="E1089" s="28" t="s">
        <v>25</v>
      </c>
      <c r="F1089" s="28" t="s">
        <v>14</v>
      </c>
      <c r="G1089" s="29" t="s">
        <v>145</v>
      </c>
      <c r="H1089" s="30" t="s">
        <v>453</v>
      </c>
      <c r="J1089" s="31">
        <f t="shared" si="3"/>
        <v>40</v>
      </c>
    </row>
    <row r="1090">
      <c r="A1090" s="28">
        <v>18.0</v>
      </c>
      <c r="B1090" s="28">
        <v>53.0</v>
      </c>
      <c r="C1090" s="28">
        <v>53.4946087239414</v>
      </c>
      <c r="D1090" s="28">
        <v>10.0021002947447</v>
      </c>
      <c r="E1090" s="28" t="s">
        <v>25</v>
      </c>
      <c r="F1090" s="28" t="s">
        <v>14</v>
      </c>
      <c r="G1090" s="29" t="s">
        <v>164</v>
      </c>
      <c r="H1090" s="35" t="s">
        <v>454</v>
      </c>
      <c r="J1090" s="31">
        <f t="shared" si="3"/>
        <v>133</v>
      </c>
    </row>
    <row r="1091">
      <c r="A1091" s="28">
        <v>18.0</v>
      </c>
      <c r="B1091" s="28">
        <v>54.0</v>
      </c>
      <c r="C1091" s="28">
        <v>53.4945961967659</v>
      </c>
      <c r="D1091" s="28">
        <v>10.0023409803135</v>
      </c>
      <c r="E1091" s="28" t="s">
        <v>25</v>
      </c>
      <c r="F1091" s="28" t="s">
        <v>14</v>
      </c>
      <c r="G1091" s="38"/>
      <c r="H1091" s="38"/>
      <c r="J1091" s="31">
        <f t="shared" si="3"/>
        <v>0</v>
      </c>
    </row>
    <row r="1092">
      <c r="A1092" s="28">
        <v>18.0</v>
      </c>
      <c r="B1092" s="28">
        <v>55.0</v>
      </c>
      <c r="C1092" s="28">
        <v>53.4945836695905</v>
      </c>
      <c r="D1092" s="28">
        <v>10.0025816658112</v>
      </c>
      <c r="E1092" s="28" t="s">
        <v>25</v>
      </c>
      <c r="F1092" s="28" t="s">
        <v>14</v>
      </c>
      <c r="G1092" s="29" t="s">
        <v>145</v>
      </c>
      <c r="H1092" s="30" t="s">
        <v>455</v>
      </c>
      <c r="J1092" s="31">
        <f t="shared" si="3"/>
        <v>40</v>
      </c>
    </row>
    <row r="1093">
      <c r="A1093" s="28">
        <v>18.0</v>
      </c>
      <c r="B1093" s="28">
        <v>56.0</v>
      </c>
      <c r="C1093" s="28">
        <v>53.494571142415</v>
      </c>
      <c r="D1093" s="28">
        <v>10.0028223512379</v>
      </c>
      <c r="E1093" s="28" t="s">
        <v>25</v>
      </c>
      <c r="F1093" s="28" t="s">
        <v>14</v>
      </c>
      <c r="G1093" s="29" t="s">
        <v>164</v>
      </c>
      <c r="H1093" s="30" t="s">
        <v>456</v>
      </c>
      <c r="J1093" s="31">
        <f t="shared" si="3"/>
        <v>133</v>
      </c>
    </row>
    <row r="1094">
      <c r="A1094" s="28">
        <v>18.0</v>
      </c>
      <c r="B1094" s="28">
        <v>57.0</v>
      </c>
      <c r="C1094" s="28">
        <v>53.4945586152395</v>
      </c>
      <c r="D1094" s="28">
        <v>10.0030630365934</v>
      </c>
      <c r="E1094" s="28" t="s">
        <v>15</v>
      </c>
      <c r="F1094" s="28" t="s">
        <v>168</v>
      </c>
      <c r="G1094" s="29" t="s">
        <v>214</v>
      </c>
      <c r="H1094" s="30" t="s">
        <v>457</v>
      </c>
      <c r="J1094" s="31">
        <f t="shared" si="3"/>
        <v>25</v>
      </c>
    </row>
    <row r="1095">
      <c r="A1095" s="28">
        <v>18.0</v>
      </c>
      <c r="B1095" s="28">
        <v>58.0</v>
      </c>
      <c r="C1095" s="28">
        <v>53.4945460880641</v>
      </c>
      <c r="D1095" s="28">
        <v>10.0033037218777</v>
      </c>
      <c r="E1095" s="28" t="s">
        <v>15</v>
      </c>
      <c r="F1095" s="28" t="s">
        <v>168</v>
      </c>
      <c r="G1095" s="29" t="s">
        <v>448</v>
      </c>
      <c r="H1095" s="30" t="s">
        <v>458</v>
      </c>
      <c r="J1095" s="31">
        <f t="shared" si="3"/>
        <v>5</v>
      </c>
    </row>
    <row r="1096">
      <c r="A1096" s="28">
        <v>18.0</v>
      </c>
      <c r="B1096" s="28">
        <v>59.0</v>
      </c>
      <c r="C1096" s="28">
        <v>53.4945335608886</v>
      </c>
      <c r="D1096" s="28">
        <v>10.0035444070909</v>
      </c>
      <c r="E1096" s="28" t="s">
        <v>15</v>
      </c>
      <c r="F1096" s="28" t="s">
        <v>168</v>
      </c>
      <c r="G1096" s="29" t="s">
        <v>106</v>
      </c>
      <c r="H1096" s="36" t="s">
        <v>459</v>
      </c>
      <c r="J1096" s="31">
        <f t="shared" si="3"/>
        <v>9</v>
      </c>
    </row>
    <row r="1097">
      <c r="A1097" s="28">
        <v>18.0</v>
      </c>
      <c r="B1097" s="28">
        <v>60.0</v>
      </c>
      <c r="C1097" s="28">
        <v>53.4945210337131</v>
      </c>
      <c r="D1097" s="28">
        <v>10.0037850922332</v>
      </c>
      <c r="E1097" s="28" t="s">
        <v>25</v>
      </c>
      <c r="F1097" s="28" t="s">
        <v>14</v>
      </c>
      <c r="G1097" s="29" t="s">
        <v>164</v>
      </c>
      <c r="H1097" s="35" t="s">
        <v>460</v>
      </c>
      <c r="J1097" s="31">
        <f t="shared" si="3"/>
        <v>133</v>
      </c>
    </row>
    <row r="1098">
      <c r="A1098" s="28">
        <v>19.0</v>
      </c>
      <c r="B1098" s="28">
        <v>1.0</v>
      </c>
      <c r="C1098" s="28">
        <v>53.4951169535565</v>
      </c>
      <c r="D1098" s="28">
        <v>9.98956348966965</v>
      </c>
      <c r="E1098" s="28" t="s">
        <v>25</v>
      </c>
      <c r="F1098" s="28" t="s">
        <v>14</v>
      </c>
      <c r="G1098" s="29" t="s">
        <v>27</v>
      </c>
      <c r="H1098" s="30" t="str">
        <f>HYPERLINK("https://www.munzee.com/m/DarkHaribo/12242", "DarkHaribo/12242")</f>
        <v>DarkHaribo/12242</v>
      </c>
      <c r="J1098" s="31">
        <f t="shared" si="3"/>
        <v>103</v>
      </c>
    </row>
    <row r="1099">
      <c r="A1099" s="28">
        <v>19.0</v>
      </c>
      <c r="B1099" s="28">
        <v>2.0</v>
      </c>
      <c r="C1099" s="28">
        <v>53.495104426381</v>
      </c>
      <c r="D1099" s="28">
        <v>9.9898041781231</v>
      </c>
      <c r="E1099" s="28" t="s">
        <v>15</v>
      </c>
      <c r="F1099" s="28" t="s">
        <v>168</v>
      </c>
      <c r="G1099" s="29" t="s">
        <v>448</v>
      </c>
      <c r="H1099" s="30" t="s">
        <v>461</v>
      </c>
      <c r="J1099" s="31">
        <f t="shared" si="3"/>
        <v>5</v>
      </c>
    </row>
    <row r="1100">
      <c r="A1100" s="28">
        <v>19.0</v>
      </c>
      <c r="B1100" s="28">
        <v>3.0</v>
      </c>
      <c r="C1100" s="28">
        <v>53.4950918992055</v>
      </c>
      <c r="D1100" s="28">
        <v>9.99004486650551</v>
      </c>
      <c r="E1100" s="28" t="s">
        <v>15</v>
      </c>
      <c r="F1100" s="28" t="s">
        <v>168</v>
      </c>
      <c r="G1100" s="29" t="s">
        <v>462</v>
      </c>
      <c r="H1100" s="33" t="s">
        <v>463</v>
      </c>
      <c r="J1100" s="31">
        <f t="shared" si="3"/>
        <v>1</v>
      </c>
    </row>
    <row r="1101">
      <c r="A1101" s="28">
        <v>19.0</v>
      </c>
      <c r="B1101" s="28">
        <v>4.0</v>
      </c>
      <c r="C1101" s="28">
        <v>53.4950793720301</v>
      </c>
      <c r="D1101" s="28">
        <v>9.99028555481675</v>
      </c>
      <c r="E1101" s="28" t="s">
        <v>15</v>
      </c>
      <c r="F1101" s="28" t="s">
        <v>168</v>
      </c>
      <c r="G1101" s="29" t="s">
        <v>27</v>
      </c>
      <c r="H1101" s="30" t="str">
        <f>HYPERLINK("https://www.munzee.com/m/DarkHaribo/12340", "DarkHaribo/12340")</f>
        <v>DarkHaribo/12340</v>
      </c>
      <c r="J1101" s="31">
        <f t="shared" si="3"/>
        <v>103</v>
      </c>
    </row>
    <row r="1102">
      <c r="A1102" s="28">
        <v>19.0</v>
      </c>
      <c r="B1102" s="28">
        <v>5.0</v>
      </c>
      <c r="C1102" s="28">
        <v>53.4950668448546</v>
      </c>
      <c r="D1102" s="28">
        <v>9.99052624305693</v>
      </c>
      <c r="E1102" s="28" t="s">
        <v>15</v>
      </c>
      <c r="F1102" s="28" t="s">
        <v>168</v>
      </c>
      <c r="G1102" s="29" t="s">
        <v>40</v>
      </c>
      <c r="H1102" s="30" t="str">
        <f>HYPERLINK("https://www.munzee.com/m/csThanner/1902/", "csThanner/1902")</f>
        <v>csThanner/1902</v>
      </c>
      <c r="J1102" s="31">
        <f t="shared" si="3"/>
        <v>88</v>
      </c>
    </row>
    <row r="1103">
      <c r="A1103" s="28">
        <v>19.0</v>
      </c>
      <c r="B1103" s="28">
        <v>6.0</v>
      </c>
      <c r="C1103" s="28">
        <v>53.4950543176791</v>
      </c>
      <c r="D1103" s="28">
        <v>9.99076693122606</v>
      </c>
      <c r="E1103" s="28" t="s">
        <v>25</v>
      </c>
      <c r="F1103" s="28" t="s">
        <v>14</v>
      </c>
      <c r="G1103" s="38"/>
      <c r="H1103" s="38"/>
      <c r="J1103" s="31">
        <f t="shared" si="3"/>
        <v>0</v>
      </c>
    </row>
    <row r="1104">
      <c r="A1104" s="28">
        <v>19.0</v>
      </c>
      <c r="B1104" s="28">
        <v>7.0</v>
      </c>
      <c r="C1104" s="28">
        <v>53.4950417905036</v>
      </c>
      <c r="D1104" s="28">
        <v>9.99100761932402</v>
      </c>
      <c r="E1104" s="28" t="s">
        <v>25</v>
      </c>
      <c r="F1104" s="28" t="s">
        <v>14</v>
      </c>
      <c r="G1104" s="38"/>
      <c r="H1104" s="38"/>
      <c r="J1104" s="31">
        <f t="shared" si="3"/>
        <v>0</v>
      </c>
    </row>
    <row r="1105">
      <c r="A1105" s="28">
        <v>19.0</v>
      </c>
      <c r="B1105" s="28">
        <v>8.0</v>
      </c>
      <c r="C1105" s="28">
        <v>53.4950292633282</v>
      </c>
      <c r="D1105" s="28">
        <v>9.99124830735081</v>
      </c>
      <c r="E1105" s="28" t="s">
        <v>25</v>
      </c>
      <c r="F1105" s="28" t="s">
        <v>14</v>
      </c>
      <c r="G1105" s="38"/>
      <c r="H1105" s="38"/>
      <c r="J1105" s="31">
        <f t="shared" si="3"/>
        <v>0</v>
      </c>
    </row>
    <row r="1106">
      <c r="A1106" s="28">
        <v>19.0</v>
      </c>
      <c r="B1106" s="28">
        <v>9.0</v>
      </c>
      <c r="C1106" s="28">
        <v>53.4950167361527</v>
      </c>
      <c r="D1106" s="28">
        <v>9.99148899530655</v>
      </c>
      <c r="E1106" s="28" t="s">
        <v>25</v>
      </c>
      <c r="F1106" s="28" t="s">
        <v>14</v>
      </c>
      <c r="G1106" s="38"/>
      <c r="H1106" s="38"/>
      <c r="J1106" s="31">
        <f t="shared" si="3"/>
        <v>0</v>
      </c>
    </row>
    <row r="1107">
      <c r="A1107" s="28">
        <v>19.0</v>
      </c>
      <c r="B1107" s="28">
        <v>10.0</v>
      </c>
      <c r="C1107" s="28">
        <v>53.4950042089772</v>
      </c>
      <c r="D1107" s="28">
        <v>9.99172968319123</v>
      </c>
      <c r="E1107" s="28" t="s">
        <v>25</v>
      </c>
      <c r="F1107" s="28" t="s">
        <v>14</v>
      </c>
      <c r="G1107" s="38"/>
      <c r="H1107" s="38"/>
      <c r="J1107" s="31">
        <f t="shared" si="3"/>
        <v>0</v>
      </c>
    </row>
    <row r="1108">
      <c r="A1108" s="28">
        <v>19.0</v>
      </c>
      <c r="B1108" s="28">
        <v>11.0</v>
      </c>
      <c r="C1108" s="28">
        <v>53.4949916818017</v>
      </c>
      <c r="D1108" s="28">
        <v>9.99197037100475</v>
      </c>
      <c r="E1108" s="28" t="s">
        <v>25</v>
      </c>
      <c r="F1108" s="28" t="s">
        <v>14</v>
      </c>
      <c r="G1108" s="38"/>
      <c r="H1108" s="38"/>
      <c r="J1108" s="31">
        <f t="shared" si="3"/>
        <v>0</v>
      </c>
    </row>
    <row r="1109">
      <c r="A1109" s="28">
        <v>19.0</v>
      </c>
      <c r="B1109" s="28">
        <v>12.0</v>
      </c>
      <c r="C1109" s="28">
        <v>53.4949791546263</v>
      </c>
      <c r="D1109" s="28">
        <v>9.99221105874721</v>
      </c>
      <c r="E1109" s="28" t="s">
        <v>25</v>
      </c>
      <c r="F1109" s="28" t="s">
        <v>14</v>
      </c>
      <c r="G1109" s="38"/>
      <c r="H1109" s="38"/>
      <c r="J1109" s="31">
        <f t="shared" si="3"/>
        <v>0</v>
      </c>
    </row>
    <row r="1110">
      <c r="A1110" s="28">
        <v>19.0</v>
      </c>
      <c r="B1110" s="28">
        <v>13.0</v>
      </c>
      <c r="C1110" s="28">
        <v>53.4949666274508</v>
      </c>
      <c r="D1110" s="28">
        <v>9.99245174641851</v>
      </c>
      <c r="E1110" s="28" t="s">
        <v>25</v>
      </c>
      <c r="F1110" s="28" t="s">
        <v>14</v>
      </c>
      <c r="G1110" s="38"/>
      <c r="H1110" s="38"/>
      <c r="J1110" s="31">
        <f t="shared" si="3"/>
        <v>0</v>
      </c>
    </row>
    <row r="1111">
      <c r="A1111" s="28">
        <v>19.0</v>
      </c>
      <c r="B1111" s="28">
        <v>14.0</v>
      </c>
      <c r="C1111" s="28">
        <v>53.4949541002753</v>
      </c>
      <c r="D1111" s="28">
        <v>9.99269243401875</v>
      </c>
      <c r="E1111" s="28" t="s">
        <v>25</v>
      </c>
      <c r="F1111" s="28" t="s">
        <v>14</v>
      </c>
      <c r="G1111" s="38"/>
      <c r="H1111" s="38"/>
      <c r="J1111" s="31">
        <f t="shared" si="3"/>
        <v>0</v>
      </c>
    </row>
    <row r="1112">
      <c r="A1112" s="28">
        <v>19.0</v>
      </c>
      <c r="B1112" s="28">
        <v>15.0</v>
      </c>
      <c r="C1112" s="28">
        <v>53.4949415730998</v>
      </c>
      <c r="D1112" s="28">
        <v>9.99293312154782</v>
      </c>
      <c r="E1112" s="28" t="s">
        <v>25</v>
      </c>
      <c r="F1112" s="28" t="s">
        <v>14</v>
      </c>
      <c r="G1112" s="38"/>
      <c r="H1112" s="38"/>
      <c r="J1112" s="31">
        <f t="shared" si="3"/>
        <v>0</v>
      </c>
    </row>
    <row r="1113">
      <c r="A1113" s="28">
        <v>19.0</v>
      </c>
      <c r="B1113" s="28">
        <v>16.0</v>
      </c>
      <c r="C1113" s="28">
        <v>53.4949290459243</v>
      </c>
      <c r="D1113" s="28">
        <v>9.99317380900583</v>
      </c>
      <c r="E1113" s="28" t="s">
        <v>25</v>
      </c>
      <c r="F1113" s="28" t="s">
        <v>14</v>
      </c>
      <c r="G1113" s="38"/>
      <c r="H1113" s="38"/>
      <c r="J1113" s="31">
        <f t="shared" si="3"/>
        <v>0</v>
      </c>
    </row>
    <row r="1114">
      <c r="A1114" s="28">
        <v>19.0</v>
      </c>
      <c r="B1114" s="28">
        <v>17.0</v>
      </c>
      <c r="C1114" s="28">
        <v>53.4949165187489</v>
      </c>
      <c r="D1114" s="28">
        <v>9.99341449639268</v>
      </c>
      <c r="E1114" s="28" t="s">
        <v>25</v>
      </c>
      <c r="F1114" s="28" t="s">
        <v>14</v>
      </c>
      <c r="G1114" s="38"/>
      <c r="H1114" s="38"/>
      <c r="J1114" s="31">
        <f t="shared" si="3"/>
        <v>0</v>
      </c>
    </row>
    <row r="1115">
      <c r="A1115" s="28">
        <v>19.0</v>
      </c>
      <c r="B1115" s="28">
        <v>18.0</v>
      </c>
      <c r="C1115" s="28">
        <v>53.4949039915734</v>
      </c>
      <c r="D1115" s="28">
        <v>9.99365518370848</v>
      </c>
      <c r="E1115" s="28" t="s">
        <v>15</v>
      </c>
      <c r="F1115" s="28" t="s">
        <v>168</v>
      </c>
      <c r="G1115" s="29" t="s">
        <v>40</v>
      </c>
      <c r="H1115" s="30" t="str">
        <f>HYPERLINK("https://www.munzee.com/m/csThanner/1903/", "csThanner/1903")</f>
        <v>csThanner/1903</v>
      </c>
      <c r="J1115" s="31">
        <f t="shared" si="3"/>
        <v>88</v>
      </c>
    </row>
    <row r="1116">
      <c r="A1116" s="28">
        <v>19.0</v>
      </c>
      <c r="B1116" s="28">
        <v>19.0</v>
      </c>
      <c r="C1116" s="28">
        <v>53.4948914643979</v>
      </c>
      <c r="D1116" s="28">
        <v>9.99389587095322</v>
      </c>
      <c r="E1116" s="28" t="s">
        <v>25</v>
      </c>
      <c r="F1116" s="28" t="s">
        <v>14</v>
      </c>
      <c r="G1116" s="38"/>
      <c r="H1116" s="38"/>
      <c r="J1116" s="31">
        <f t="shared" si="3"/>
        <v>0</v>
      </c>
    </row>
    <row r="1117">
      <c r="A1117" s="28">
        <v>19.0</v>
      </c>
      <c r="B1117" s="28">
        <v>20.0</v>
      </c>
      <c r="C1117" s="28">
        <v>53.4948789372224</v>
      </c>
      <c r="D1117" s="28">
        <v>9.99413655812679</v>
      </c>
      <c r="E1117" s="28" t="s">
        <v>25</v>
      </c>
      <c r="F1117" s="28" t="s">
        <v>14</v>
      </c>
      <c r="G1117" s="38"/>
      <c r="H1117" s="38"/>
      <c r="J1117" s="31">
        <f t="shared" si="3"/>
        <v>0</v>
      </c>
    </row>
    <row r="1118">
      <c r="A1118" s="28">
        <v>19.0</v>
      </c>
      <c r="B1118" s="28">
        <v>21.0</v>
      </c>
      <c r="C1118" s="28">
        <v>53.494866410047</v>
      </c>
      <c r="D1118" s="28">
        <v>9.99437724522931</v>
      </c>
      <c r="E1118" s="28" t="s">
        <v>25</v>
      </c>
      <c r="F1118" s="28" t="s">
        <v>14</v>
      </c>
      <c r="G1118" s="38"/>
      <c r="H1118" s="38"/>
      <c r="J1118" s="31">
        <f t="shared" si="3"/>
        <v>0</v>
      </c>
    </row>
    <row r="1119">
      <c r="A1119" s="28">
        <v>19.0</v>
      </c>
      <c r="B1119" s="28">
        <v>22.0</v>
      </c>
      <c r="C1119" s="28">
        <v>53.4948538828715</v>
      </c>
      <c r="D1119" s="28">
        <v>9.99461793226078</v>
      </c>
      <c r="E1119" s="28" t="s">
        <v>25</v>
      </c>
      <c r="F1119" s="28" t="s">
        <v>14</v>
      </c>
      <c r="G1119" s="38"/>
      <c r="H1119" s="38"/>
      <c r="J1119" s="31">
        <f t="shared" si="3"/>
        <v>0</v>
      </c>
    </row>
    <row r="1120">
      <c r="A1120" s="28">
        <v>19.0</v>
      </c>
      <c r="B1120" s="28">
        <v>23.0</v>
      </c>
      <c r="C1120" s="28">
        <v>53.494841355696</v>
      </c>
      <c r="D1120" s="28">
        <v>9.99485861922107</v>
      </c>
      <c r="E1120" s="28" t="s">
        <v>25</v>
      </c>
      <c r="F1120" s="28" t="s">
        <v>14</v>
      </c>
      <c r="G1120" s="38"/>
      <c r="H1120" s="38"/>
      <c r="J1120" s="31">
        <f t="shared" si="3"/>
        <v>0</v>
      </c>
    </row>
    <row r="1121">
      <c r="A1121" s="28">
        <v>19.0</v>
      </c>
      <c r="B1121" s="28">
        <v>24.0</v>
      </c>
      <c r="C1121" s="28">
        <v>53.4948288285206</v>
      </c>
      <c r="D1121" s="28">
        <v>9.9950993061102</v>
      </c>
      <c r="E1121" s="28" t="s">
        <v>25</v>
      </c>
      <c r="F1121" s="28" t="s">
        <v>14</v>
      </c>
      <c r="G1121" s="38"/>
      <c r="H1121" s="38"/>
      <c r="J1121" s="31">
        <f t="shared" si="3"/>
        <v>0</v>
      </c>
    </row>
    <row r="1122">
      <c r="A1122" s="28">
        <v>19.0</v>
      </c>
      <c r="B1122" s="28">
        <v>25.0</v>
      </c>
      <c r="C1122" s="28">
        <v>53.4948163013451</v>
      </c>
      <c r="D1122" s="28">
        <v>9.99533999292828</v>
      </c>
      <c r="E1122" s="28" t="s">
        <v>25</v>
      </c>
      <c r="F1122" s="28" t="s">
        <v>14</v>
      </c>
      <c r="G1122" s="38"/>
      <c r="H1122" s="38"/>
      <c r="J1122" s="31">
        <f t="shared" si="3"/>
        <v>0</v>
      </c>
    </row>
    <row r="1123">
      <c r="A1123" s="28">
        <v>19.0</v>
      </c>
      <c r="B1123" s="28">
        <v>26.0</v>
      </c>
      <c r="C1123" s="28">
        <v>53.4948037741696</v>
      </c>
      <c r="D1123" s="28">
        <v>9.9955806796753</v>
      </c>
      <c r="E1123" s="28" t="s">
        <v>25</v>
      </c>
      <c r="F1123" s="28" t="s">
        <v>14</v>
      </c>
      <c r="G1123" s="38"/>
      <c r="H1123" s="38"/>
      <c r="J1123" s="31">
        <f t="shared" si="3"/>
        <v>0</v>
      </c>
    </row>
    <row r="1124">
      <c r="A1124" s="28">
        <v>19.0</v>
      </c>
      <c r="B1124" s="28">
        <v>27.0</v>
      </c>
      <c r="C1124" s="28">
        <v>53.4947912469941</v>
      </c>
      <c r="D1124" s="28">
        <v>9.99582136635115</v>
      </c>
      <c r="E1124" s="28" t="s">
        <v>25</v>
      </c>
      <c r="F1124" s="28" t="s">
        <v>14</v>
      </c>
      <c r="G1124" s="38"/>
      <c r="H1124" s="38"/>
      <c r="J1124" s="31">
        <f t="shared" si="3"/>
        <v>0</v>
      </c>
    </row>
    <row r="1125">
      <c r="A1125" s="28">
        <v>19.0</v>
      </c>
      <c r="B1125" s="28">
        <v>28.0</v>
      </c>
      <c r="C1125" s="28">
        <v>53.4947787198187</v>
      </c>
      <c r="D1125" s="28">
        <v>9.99606205295595</v>
      </c>
      <c r="E1125" s="28" t="s">
        <v>25</v>
      </c>
      <c r="F1125" s="28" t="s">
        <v>14</v>
      </c>
      <c r="G1125" s="38"/>
      <c r="H1125" s="38"/>
      <c r="J1125" s="31">
        <f t="shared" si="3"/>
        <v>0</v>
      </c>
    </row>
    <row r="1126">
      <c r="A1126" s="28">
        <v>19.0</v>
      </c>
      <c r="B1126" s="28">
        <v>29.0</v>
      </c>
      <c r="C1126" s="28">
        <v>53.4947661926432</v>
      </c>
      <c r="D1126" s="28">
        <v>9.99630273948969</v>
      </c>
      <c r="E1126" s="28" t="s">
        <v>25</v>
      </c>
      <c r="F1126" s="28" t="s">
        <v>14</v>
      </c>
      <c r="G1126" s="38"/>
      <c r="H1126" s="38"/>
      <c r="J1126" s="31">
        <f t="shared" si="3"/>
        <v>0</v>
      </c>
    </row>
    <row r="1127">
      <c r="A1127" s="28">
        <v>19.0</v>
      </c>
      <c r="B1127" s="28">
        <v>30.0</v>
      </c>
      <c r="C1127" s="28">
        <v>53.4947536654677</v>
      </c>
      <c r="D1127" s="28">
        <v>9.99654342595226</v>
      </c>
      <c r="E1127" s="28" t="s">
        <v>25</v>
      </c>
      <c r="F1127" s="28" t="s">
        <v>14</v>
      </c>
      <c r="G1127" s="38"/>
      <c r="H1127" s="38"/>
      <c r="J1127" s="31">
        <f t="shared" si="3"/>
        <v>0</v>
      </c>
    </row>
    <row r="1128">
      <c r="A1128" s="28">
        <v>19.0</v>
      </c>
      <c r="B1128" s="28">
        <v>31.0</v>
      </c>
      <c r="C1128" s="28">
        <v>53.4947411382923</v>
      </c>
      <c r="D1128" s="28">
        <v>9.99678411234367</v>
      </c>
      <c r="E1128" s="28" t="s">
        <v>25</v>
      </c>
      <c r="F1128" s="28" t="s">
        <v>14</v>
      </c>
      <c r="G1128" s="38"/>
      <c r="H1128" s="38"/>
      <c r="J1128" s="31">
        <f t="shared" si="3"/>
        <v>0</v>
      </c>
    </row>
    <row r="1129">
      <c r="A1129" s="28">
        <v>19.0</v>
      </c>
      <c r="B1129" s="28">
        <v>32.0</v>
      </c>
      <c r="C1129" s="28">
        <v>53.4947286111168</v>
      </c>
      <c r="D1129" s="28">
        <v>9.99702479866402</v>
      </c>
      <c r="E1129" s="28" t="s">
        <v>25</v>
      </c>
      <c r="F1129" s="28" t="s">
        <v>14</v>
      </c>
      <c r="G1129" s="38"/>
      <c r="H1129" s="38"/>
      <c r="J1129" s="31">
        <f t="shared" si="3"/>
        <v>0</v>
      </c>
    </row>
    <row r="1130">
      <c r="A1130" s="28">
        <v>19.0</v>
      </c>
      <c r="B1130" s="28">
        <v>33.0</v>
      </c>
      <c r="C1130" s="28">
        <v>53.4947160839413</v>
      </c>
      <c r="D1130" s="28">
        <v>9.99726548491332</v>
      </c>
      <c r="E1130" s="28" t="s">
        <v>25</v>
      </c>
      <c r="F1130" s="28" t="s">
        <v>14</v>
      </c>
      <c r="G1130" s="38"/>
      <c r="H1130" s="38"/>
      <c r="J1130" s="31">
        <f t="shared" si="3"/>
        <v>0</v>
      </c>
    </row>
    <row r="1131">
      <c r="A1131" s="28">
        <v>19.0</v>
      </c>
      <c r="B1131" s="28">
        <v>34.0</v>
      </c>
      <c r="C1131" s="28">
        <v>53.4947035567659</v>
      </c>
      <c r="D1131" s="28">
        <v>9.99750617109145</v>
      </c>
      <c r="E1131" s="28" t="s">
        <v>25</v>
      </c>
      <c r="F1131" s="28" t="s">
        <v>14</v>
      </c>
      <c r="G1131" s="38"/>
      <c r="H1131" s="38"/>
      <c r="J1131" s="31">
        <f t="shared" si="3"/>
        <v>0</v>
      </c>
    </row>
    <row r="1132">
      <c r="A1132" s="28">
        <v>19.0</v>
      </c>
      <c r="B1132" s="28">
        <v>35.0</v>
      </c>
      <c r="C1132" s="28">
        <v>53.4946910295904</v>
      </c>
      <c r="D1132" s="28">
        <v>9.99774685719853</v>
      </c>
      <c r="E1132" s="28" t="s">
        <v>25</v>
      </c>
      <c r="F1132" s="28" t="s">
        <v>14</v>
      </c>
      <c r="G1132" s="38"/>
      <c r="H1132" s="38"/>
      <c r="J1132" s="31">
        <f t="shared" si="3"/>
        <v>0</v>
      </c>
    </row>
    <row r="1133">
      <c r="A1133" s="28">
        <v>19.0</v>
      </c>
      <c r="B1133" s="28">
        <v>36.0</v>
      </c>
      <c r="C1133" s="28">
        <v>53.4946785024149</v>
      </c>
      <c r="D1133" s="28">
        <v>9.99798754323455</v>
      </c>
      <c r="E1133" s="28" t="s">
        <v>25</v>
      </c>
      <c r="F1133" s="28" t="s">
        <v>14</v>
      </c>
      <c r="G1133" s="38"/>
      <c r="H1133" s="38"/>
      <c r="J1133" s="31">
        <f t="shared" si="3"/>
        <v>0</v>
      </c>
    </row>
    <row r="1134">
      <c r="A1134" s="28">
        <v>19.0</v>
      </c>
      <c r="B1134" s="28">
        <v>37.0</v>
      </c>
      <c r="C1134" s="28">
        <v>53.4946659752394</v>
      </c>
      <c r="D1134" s="28">
        <v>9.99822822919941</v>
      </c>
      <c r="E1134" s="28" t="s">
        <v>25</v>
      </c>
      <c r="F1134" s="28" t="s">
        <v>14</v>
      </c>
      <c r="G1134" s="29" t="s">
        <v>26</v>
      </c>
      <c r="H1134" s="36" t="s">
        <v>464</v>
      </c>
      <c r="J1134" s="31">
        <f t="shared" si="3"/>
        <v>143</v>
      </c>
    </row>
    <row r="1135">
      <c r="A1135" s="28">
        <v>19.0</v>
      </c>
      <c r="B1135" s="28">
        <v>38.0</v>
      </c>
      <c r="C1135" s="28">
        <v>53.4946534480639</v>
      </c>
      <c r="D1135" s="28">
        <v>9.99846891509309</v>
      </c>
      <c r="E1135" s="28" t="s">
        <v>25</v>
      </c>
      <c r="F1135" s="28" t="s">
        <v>14</v>
      </c>
      <c r="G1135" s="38"/>
      <c r="H1135" s="38"/>
      <c r="J1135" s="31">
        <f t="shared" si="3"/>
        <v>0</v>
      </c>
    </row>
    <row r="1136">
      <c r="A1136" s="28">
        <v>19.0</v>
      </c>
      <c r="B1136" s="28">
        <v>39.0</v>
      </c>
      <c r="C1136" s="28">
        <v>53.4946409208885</v>
      </c>
      <c r="D1136" s="28">
        <v>9.99870960091573</v>
      </c>
      <c r="E1136" s="28" t="s">
        <v>25</v>
      </c>
      <c r="F1136" s="28" t="s">
        <v>14</v>
      </c>
      <c r="G1136" s="38"/>
      <c r="H1136" s="38"/>
      <c r="J1136" s="31">
        <f t="shared" si="3"/>
        <v>0</v>
      </c>
    </row>
    <row r="1137">
      <c r="A1137" s="28">
        <v>19.0</v>
      </c>
      <c r="B1137" s="28">
        <v>40.0</v>
      </c>
      <c r="C1137" s="28">
        <v>53.494628393713</v>
      </c>
      <c r="D1137" s="28">
        <v>9.99895028666731</v>
      </c>
      <c r="E1137" s="28" t="s">
        <v>25</v>
      </c>
      <c r="F1137" s="28" t="s">
        <v>14</v>
      </c>
      <c r="G1137" s="38"/>
      <c r="H1137" s="38"/>
      <c r="J1137" s="31">
        <f t="shared" si="3"/>
        <v>0</v>
      </c>
    </row>
    <row r="1138">
      <c r="A1138" s="28">
        <v>19.0</v>
      </c>
      <c r="B1138" s="28">
        <v>41.0</v>
      </c>
      <c r="C1138" s="28">
        <v>53.4946158665375</v>
      </c>
      <c r="D1138" s="28">
        <v>9.99919097234772</v>
      </c>
      <c r="E1138" s="28" t="s">
        <v>25</v>
      </c>
      <c r="F1138" s="28" t="s">
        <v>14</v>
      </c>
      <c r="G1138" s="38"/>
      <c r="H1138" s="38"/>
      <c r="J1138" s="31">
        <f t="shared" si="3"/>
        <v>0</v>
      </c>
    </row>
    <row r="1139">
      <c r="A1139" s="28">
        <v>19.0</v>
      </c>
      <c r="B1139" s="28">
        <v>42.0</v>
      </c>
      <c r="C1139" s="28">
        <v>53.4946033393621</v>
      </c>
      <c r="D1139" s="28">
        <v>9.99943165795707</v>
      </c>
      <c r="E1139" s="28" t="s">
        <v>15</v>
      </c>
      <c r="F1139" s="28" t="s">
        <v>168</v>
      </c>
      <c r="G1139" s="29" t="s">
        <v>40</v>
      </c>
      <c r="H1139" s="30" t="str">
        <f>HYPERLINK("https://www.munzee.com/m/csThanner/1904/", "csThanner/1904")</f>
        <v>csThanner/1904</v>
      </c>
      <c r="J1139" s="31">
        <f t="shared" si="3"/>
        <v>88</v>
      </c>
    </row>
    <row r="1140">
      <c r="A1140" s="28">
        <v>19.0</v>
      </c>
      <c r="B1140" s="28">
        <v>43.0</v>
      </c>
      <c r="C1140" s="28">
        <v>53.4945908121866</v>
      </c>
      <c r="D1140" s="28">
        <v>9.99967234349537</v>
      </c>
      <c r="E1140" s="28" t="s">
        <v>15</v>
      </c>
      <c r="F1140" s="28" t="s">
        <v>168</v>
      </c>
      <c r="G1140" s="29" t="s">
        <v>214</v>
      </c>
      <c r="H1140" s="30" t="str">
        <f>HYPERLINK("https://www.munzee.com/m/90mile/899/", "90mile/899")</f>
        <v>90mile/899</v>
      </c>
      <c r="J1140" s="31">
        <f t="shared" si="3"/>
        <v>25</v>
      </c>
    </row>
    <row r="1141">
      <c r="A1141" s="28">
        <v>19.0</v>
      </c>
      <c r="B1141" s="28">
        <v>44.0</v>
      </c>
      <c r="C1141" s="28">
        <v>53.4945782850111</v>
      </c>
      <c r="D1141" s="28">
        <v>9.99991302896251</v>
      </c>
      <c r="E1141" s="28" t="s">
        <v>15</v>
      </c>
      <c r="F1141" s="28" t="s">
        <v>168</v>
      </c>
      <c r="G1141" s="29" t="s">
        <v>27</v>
      </c>
      <c r="H1141" s="30" t="str">
        <f>HYPERLINK("https://www.munzee.com/m/DarkHaribo/12342", "DarkHaribo/12342")</f>
        <v>DarkHaribo/12342</v>
      </c>
      <c r="J1141" s="31">
        <f t="shared" si="3"/>
        <v>103</v>
      </c>
    </row>
    <row r="1142">
      <c r="A1142" s="28">
        <v>19.0</v>
      </c>
      <c r="B1142" s="28">
        <v>45.0</v>
      </c>
      <c r="C1142" s="28">
        <v>53.4945657578357</v>
      </c>
      <c r="D1142" s="28">
        <v>10.0001537143584</v>
      </c>
      <c r="E1142" s="28" t="s">
        <v>15</v>
      </c>
      <c r="F1142" s="28" t="s">
        <v>168</v>
      </c>
      <c r="G1142" s="29" t="s">
        <v>40</v>
      </c>
      <c r="H1142" s="30" t="str">
        <f>HYPERLINK("https://www.munzee.com/m/csThanner/1905/", "csThanner/1905")</f>
        <v>csThanner/1905</v>
      </c>
      <c r="J1142" s="31">
        <f t="shared" si="3"/>
        <v>88</v>
      </c>
    </row>
    <row r="1143">
      <c r="A1143" s="28">
        <v>19.0</v>
      </c>
      <c r="B1143" s="28">
        <v>46.0</v>
      </c>
      <c r="C1143" s="28">
        <v>53.4945532306602</v>
      </c>
      <c r="D1143" s="28">
        <v>10.0003943996833</v>
      </c>
      <c r="E1143" s="28" t="s">
        <v>15</v>
      </c>
      <c r="F1143" s="28" t="s">
        <v>168</v>
      </c>
      <c r="G1143" s="29" t="s">
        <v>214</v>
      </c>
      <c r="H1143" s="30" t="str">
        <f>HYPERLINK("https://www.munzee.com/m/90mile/880/", "90mile/880")</f>
        <v>90mile/880</v>
      </c>
      <c r="J1143" s="31">
        <f t="shared" si="3"/>
        <v>25</v>
      </c>
    </row>
    <row r="1144">
      <c r="A1144" s="28">
        <v>19.0</v>
      </c>
      <c r="B1144" s="28">
        <v>47.0</v>
      </c>
      <c r="C1144" s="28">
        <v>53.4945407034847</v>
      </c>
      <c r="D1144" s="28">
        <v>10.0006350849372</v>
      </c>
      <c r="E1144" s="28" t="s">
        <v>25</v>
      </c>
      <c r="F1144" s="28" t="s">
        <v>14</v>
      </c>
      <c r="G1144" s="38"/>
      <c r="H1144" s="38"/>
      <c r="J1144" s="31">
        <f t="shared" si="3"/>
        <v>0</v>
      </c>
    </row>
    <row r="1145">
      <c r="A1145" s="28">
        <v>19.0</v>
      </c>
      <c r="B1145" s="28">
        <v>48.0</v>
      </c>
      <c r="C1145" s="28">
        <v>53.4945281763092</v>
      </c>
      <c r="D1145" s="28">
        <v>10.0008757701199</v>
      </c>
      <c r="E1145" s="28" t="s">
        <v>25</v>
      </c>
      <c r="F1145" s="28" t="s">
        <v>14</v>
      </c>
      <c r="G1145" s="38"/>
      <c r="H1145" s="38"/>
      <c r="J1145" s="31">
        <f t="shared" si="3"/>
        <v>0</v>
      </c>
    </row>
    <row r="1146">
      <c r="A1146" s="28">
        <v>19.0</v>
      </c>
      <c r="B1146" s="28">
        <v>49.0</v>
      </c>
      <c r="C1146" s="28">
        <v>53.4945156491338</v>
      </c>
      <c r="D1146" s="28">
        <v>10.0011164552315</v>
      </c>
      <c r="E1146" s="28" t="s">
        <v>25</v>
      </c>
      <c r="F1146" s="28" t="s">
        <v>14</v>
      </c>
      <c r="G1146" s="38"/>
      <c r="H1146" s="38"/>
      <c r="J1146" s="31">
        <f t="shared" si="3"/>
        <v>0</v>
      </c>
    </row>
    <row r="1147">
      <c r="A1147" s="28">
        <v>19.0</v>
      </c>
      <c r="B1147" s="28">
        <v>50.0</v>
      </c>
      <c r="C1147" s="28">
        <v>53.4945031219583</v>
      </c>
      <c r="D1147" s="28">
        <v>10.0013571402721</v>
      </c>
      <c r="E1147" s="28" t="s">
        <v>25</v>
      </c>
      <c r="F1147" s="28" t="s">
        <v>14</v>
      </c>
      <c r="G1147" s="38"/>
      <c r="H1147" s="38"/>
      <c r="J1147" s="31">
        <f t="shared" si="3"/>
        <v>0</v>
      </c>
    </row>
    <row r="1148">
      <c r="A1148" s="28">
        <v>19.0</v>
      </c>
      <c r="B1148" s="28">
        <v>51.0</v>
      </c>
      <c r="C1148" s="28">
        <v>53.4944905947828</v>
      </c>
      <c r="D1148" s="28">
        <v>10.0015978252415</v>
      </c>
      <c r="E1148" s="28" t="s">
        <v>25</v>
      </c>
      <c r="F1148" s="28" t="s">
        <v>14</v>
      </c>
      <c r="G1148" s="38"/>
      <c r="H1148" s="38"/>
      <c r="J1148" s="31">
        <f t="shared" si="3"/>
        <v>0</v>
      </c>
    </row>
    <row r="1149">
      <c r="A1149" s="28">
        <v>19.0</v>
      </c>
      <c r="B1149" s="28">
        <v>52.0</v>
      </c>
      <c r="C1149" s="28">
        <v>53.4944780676074</v>
      </c>
      <c r="D1149" s="28">
        <v>10.0018385101398</v>
      </c>
      <c r="E1149" s="28" t="s">
        <v>25</v>
      </c>
      <c r="F1149" s="28" t="s">
        <v>14</v>
      </c>
      <c r="G1149" s="38"/>
      <c r="H1149" s="38"/>
      <c r="J1149" s="31">
        <f t="shared" si="3"/>
        <v>0</v>
      </c>
    </row>
    <row r="1150">
      <c r="A1150" s="28">
        <v>19.0</v>
      </c>
      <c r="B1150" s="28">
        <v>53.0</v>
      </c>
      <c r="C1150" s="28">
        <v>53.4944655404319</v>
      </c>
      <c r="D1150" s="28">
        <v>10.0020791949669</v>
      </c>
      <c r="E1150" s="28" t="s">
        <v>25</v>
      </c>
      <c r="F1150" s="28" t="s">
        <v>14</v>
      </c>
      <c r="G1150" s="29" t="s">
        <v>26</v>
      </c>
      <c r="H1150" s="36" t="s">
        <v>465</v>
      </c>
      <c r="J1150" s="31">
        <f t="shared" si="3"/>
        <v>143</v>
      </c>
    </row>
    <row r="1151">
      <c r="A1151" s="28">
        <v>19.0</v>
      </c>
      <c r="B1151" s="28">
        <v>54.0</v>
      </c>
      <c r="C1151" s="28">
        <v>53.4944530132565</v>
      </c>
      <c r="D1151" s="28">
        <v>10.0023198797231</v>
      </c>
      <c r="E1151" s="28" t="s">
        <v>25</v>
      </c>
      <c r="F1151" s="28" t="s">
        <v>14</v>
      </c>
      <c r="G1151" s="38"/>
      <c r="H1151" s="38"/>
      <c r="J1151" s="31">
        <f t="shared" si="3"/>
        <v>0</v>
      </c>
    </row>
    <row r="1152">
      <c r="A1152" s="28">
        <v>19.0</v>
      </c>
      <c r="B1152" s="28">
        <v>55.0</v>
      </c>
      <c r="C1152" s="28">
        <v>53.494440486081</v>
      </c>
      <c r="D1152" s="28">
        <v>10.0025605644081</v>
      </c>
      <c r="E1152" s="28" t="s">
        <v>25</v>
      </c>
      <c r="F1152" s="28" t="s">
        <v>14</v>
      </c>
      <c r="G1152" s="38"/>
      <c r="H1152" s="38"/>
      <c r="J1152" s="31">
        <f t="shared" si="3"/>
        <v>0</v>
      </c>
    </row>
    <row r="1153">
      <c r="A1153" s="28">
        <v>19.0</v>
      </c>
      <c r="B1153" s="28">
        <v>56.0</v>
      </c>
      <c r="C1153" s="28">
        <v>53.4944279589056</v>
      </c>
      <c r="D1153" s="28">
        <v>10.002801249022</v>
      </c>
      <c r="E1153" s="28" t="s">
        <v>25</v>
      </c>
      <c r="F1153" s="28" t="s">
        <v>14</v>
      </c>
      <c r="G1153" s="38"/>
      <c r="H1153" s="38"/>
      <c r="J1153" s="31">
        <f t="shared" si="3"/>
        <v>0</v>
      </c>
    </row>
    <row r="1154">
      <c r="A1154" s="28">
        <v>19.0</v>
      </c>
      <c r="B1154" s="28">
        <v>57.0</v>
      </c>
      <c r="C1154" s="28">
        <v>53.4944154317301</v>
      </c>
      <c r="D1154" s="28">
        <v>10.0030419335648</v>
      </c>
      <c r="E1154" s="28" t="s">
        <v>15</v>
      </c>
      <c r="F1154" s="28" t="s">
        <v>168</v>
      </c>
      <c r="G1154" s="29" t="s">
        <v>40</v>
      </c>
      <c r="H1154" s="30" t="str">
        <f>HYPERLINK("https://www.munzee.com/m/csThanner/1906/", "csThanner/1906")</f>
        <v>csThanner/1906</v>
      </c>
      <c r="J1154" s="31">
        <f t="shared" si="3"/>
        <v>88</v>
      </c>
    </row>
    <row r="1155">
      <c r="A1155" s="28">
        <v>19.0</v>
      </c>
      <c r="B1155" s="28">
        <v>58.0</v>
      </c>
      <c r="C1155" s="28">
        <v>53.4944029045547</v>
      </c>
      <c r="D1155" s="28">
        <v>10.0032826180365</v>
      </c>
      <c r="E1155" s="28" t="s">
        <v>15</v>
      </c>
      <c r="F1155" s="28" t="s">
        <v>168</v>
      </c>
      <c r="G1155" s="29" t="s">
        <v>42</v>
      </c>
      <c r="H1155" s="30" t="str">
        <f>HYPERLINK("https://www.munzee.com/m/Soitenlysue/529/", "Soitenlysue/529")</f>
        <v>Soitenlysue/529</v>
      </c>
      <c r="J1155" s="31">
        <f t="shared" si="3"/>
        <v>3</v>
      </c>
    </row>
    <row r="1156">
      <c r="A1156" s="28">
        <v>19.0</v>
      </c>
      <c r="B1156" s="28">
        <v>59.0</v>
      </c>
      <c r="C1156" s="28">
        <v>53.4943903773792</v>
      </c>
      <c r="D1156" s="28">
        <v>10.0035233024372</v>
      </c>
      <c r="E1156" s="28" t="s">
        <v>15</v>
      </c>
      <c r="F1156" s="28" t="s">
        <v>168</v>
      </c>
      <c r="G1156" s="29" t="s">
        <v>92</v>
      </c>
      <c r="H1156" s="30" t="s">
        <v>466</v>
      </c>
      <c r="J1156" s="31">
        <f t="shared" si="3"/>
        <v>9</v>
      </c>
    </row>
    <row r="1157">
      <c r="A1157" s="28">
        <v>19.0</v>
      </c>
      <c r="B1157" s="28">
        <v>60.0</v>
      </c>
      <c r="C1157" s="28">
        <v>53.4943778502037</v>
      </c>
      <c r="D1157" s="28">
        <v>10.0037639867666</v>
      </c>
      <c r="E1157" s="28" t="s">
        <v>25</v>
      </c>
      <c r="F1157" s="28" t="s">
        <v>14</v>
      </c>
      <c r="G1157" s="29" t="s">
        <v>27</v>
      </c>
      <c r="H1157" s="30" t="str">
        <f>HYPERLINK("https://www.munzee.com/m/DarkHaribo/12652", "DarkHaribo/12652")</f>
        <v>DarkHaribo/12652</v>
      </c>
      <c r="J1157" s="31">
        <f t="shared" si="3"/>
        <v>103</v>
      </c>
    </row>
    <row r="1158">
      <c r="A1158" s="28">
        <v>20.0</v>
      </c>
      <c r="B1158" s="28">
        <v>1.0</v>
      </c>
      <c r="C1158" s="28">
        <v>53.4949737700469</v>
      </c>
      <c r="D1158" s="28">
        <v>9.9895424322234</v>
      </c>
      <c r="E1158" s="28" t="s">
        <v>25</v>
      </c>
      <c r="F1158" s="28" t="s">
        <v>14</v>
      </c>
      <c r="G1158" s="29" t="s">
        <v>47</v>
      </c>
      <c r="H1158" s="33" t="s">
        <v>467</v>
      </c>
      <c r="J1158" s="31">
        <f t="shared" si="3"/>
        <v>44</v>
      </c>
    </row>
    <row r="1159">
      <c r="A1159" s="28">
        <v>20.0</v>
      </c>
      <c r="B1159" s="28">
        <v>2.0</v>
      </c>
      <c r="C1159" s="28">
        <v>53.4949612428715</v>
      </c>
      <c r="D1159" s="28">
        <v>9.98978311986411</v>
      </c>
      <c r="E1159" s="28" t="s">
        <v>15</v>
      </c>
      <c r="F1159" s="28" t="s">
        <v>168</v>
      </c>
      <c r="G1159" s="29" t="s">
        <v>40</v>
      </c>
      <c r="H1159" s="30" t="str">
        <f>HYPERLINK("https://www.munzee.com/m/csThanner/1909/", "csThanner/1909")</f>
        <v>csThanner/1909</v>
      </c>
      <c r="J1159" s="31">
        <f t="shared" si="3"/>
        <v>88</v>
      </c>
    </row>
    <row r="1160">
      <c r="A1160" s="28">
        <v>20.0</v>
      </c>
      <c r="B1160" s="28">
        <v>3.0</v>
      </c>
      <c r="C1160" s="28">
        <v>53.494948715696</v>
      </c>
      <c r="D1160" s="28">
        <v>9.99002380743377</v>
      </c>
      <c r="E1160" s="28" t="s">
        <v>15</v>
      </c>
      <c r="F1160" s="28" t="s">
        <v>168</v>
      </c>
      <c r="G1160" s="29" t="s">
        <v>26</v>
      </c>
      <c r="H1160" s="30" t="s">
        <v>468</v>
      </c>
      <c r="J1160" s="31">
        <f t="shared" si="3"/>
        <v>143</v>
      </c>
    </row>
    <row r="1161">
      <c r="A1161" s="28">
        <v>20.0</v>
      </c>
      <c r="B1161" s="28">
        <v>4.0</v>
      </c>
      <c r="C1161" s="28">
        <v>53.4949361885205</v>
      </c>
      <c r="D1161" s="28">
        <v>9.99026449493237</v>
      </c>
      <c r="E1161" s="28" t="s">
        <v>15</v>
      </c>
      <c r="F1161" s="28" t="s">
        <v>168</v>
      </c>
      <c r="G1161" s="29" t="s">
        <v>28</v>
      </c>
      <c r="H1161" s="30" t="str">
        <f>HYPERLINK("https://www.munzee.com/m/dreiengel/7804", "dreiengel/7804")</f>
        <v>dreiengel/7804</v>
      </c>
      <c r="J1161" s="31">
        <f t="shared" si="3"/>
        <v>9</v>
      </c>
    </row>
    <row r="1162">
      <c r="A1162" s="28">
        <v>20.0</v>
      </c>
      <c r="B1162" s="28">
        <v>5.0</v>
      </c>
      <c r="C1162" s="28">
        <v>53.494923661345</v>
      </c>
      <c r="D1162" s="28">
        <v>9.99050518235981</v>
      </c>
      <c r="E1162" s="28" t="s">
        <v>25</v>
      </c>
      <c r="F1162" s="28" t="s">
        <v>14</v>
      </c>
      <c r="G1162" s="38"/>
      <c r="H1162" s="38"/>
      <c r="J1162" s="31">
        <f t="shared" si="3"/>
        <v>0</v>
      </c>
    </row>
    <row r="1163">
      <c r="A1163" s="28">
        <v>20.0</v>
      </c>
      <c r="B1163" s="28">
        <v>6.0</v>
      </c>
      <c r="C1163" s="28">
        <v>53.4949111341696</v>
      </c>
      <c r="D1163" s="28">
        <v>9.99074586971619</v>
      </c>
      <c r="E1163" s="28" t="s">
        <v>25</v>
      </c>
      <c r="F1163" s="28" t="s">
        <v>14</v>
      </c>
      <c r="G1163" s="38"/>
      <c r="H1163" s="38"/>
      <c r="J1163" s="31">
        <f t="shared" si="3"/>
        <v>0</v>
      </c>
    </row>
    <row r="1164">
      <c r="A1164" s="28">
        <v>20.0</v>
      </c>
      <c r="B1164" s="28">
        <v>7.0</v>
      </c>
      <c r="C1164" s="28">
        <v>53.4948986069941</v>
      </c>
      <c r="D1164" s="28">
        <v>9.9909865570014</v>
      </c>
      <c r="E1164" s="28" t="s">
        <v>25</v>
      </c>
      <c r="F1164" s="28" t="s">
        <v>14</v>
      </c>
      <c r="G1164" s="38"/>
      <c r="H1164" s="38"/>
      <c r="J1164" s="31">
        <f t="shared" si="3"/>
        <v>0</v>
      </c>
    </row>
    <row r="1165">
      <c r="A1165" s="28">
        <v>20.0</v>
      </c>
      <c r="B1165" s="28">
        <v>8.0</v>
      </c>
      <c r="C1165" s="28">
        <v>53.4948860798186</v>
      </c>
      <c r="D1165" s="28">
        <v>9.99122724421556</v>
      </c>
      <c r="E1165" s="28" t="s">
        <v>25</v>
      </c>
      <c r="F1165" s="28" t="s">
        <v>14</v>
      </c>
      <c r="G1165" s="38"/>
      <c r="H1165" s="38"/>
      <c r="J1165" s="31">
        <f t="shared" si="3"/>
        <v>0</v>
      </c>
    </row>
    <row r="1166">
      <c r="A1166" s="28">
        <v>20.0</v>
      </c>
      <c r="B1166" s="28">
        <v>9.0</v>
      </c>
      <c r="C1166" s="28">
        <v>53.4948735526431</v>
      </c>
      <c r="D1166" s="28">
        <v>9.99146793135855</v>
      </c>
      <c r="E1166" s="28" t="s">
        <v>25</v>
      </c>
      <c r="F1166" s="28" t="s">
        <v>14</v>
      </c>
      <c r="G1166" s="38"/>
      <c r="H1166" s="38"/>
      <c r="J1166" s="31">
        <f t="shared" si="3"/>
        <v>0</v>
      </c>
    </row>
    <row r="1167">
      <c r="A1167" s="28">
        <v>20.0</v>
      </c>
      <c r="B1167" s="28">
        <v>10.0</v>
      </c>
      <c r="C1167" s="28">
        <v>53.4948610254677</v>
      </c>
      <c r="D1167" s="28">
        <v>9.99170861843049</v>
      </c>
      <c r="E1167" s="28" t="s">
        <v>15</v>
      </c>
      <c r="F1167" s="28" t="s">
        <v>168</v>
      </c>
      <c r="G1167" s="29" t="s">
        <v>40</v>
      </c>
      <c r="H1167" s="30" t="str">
        <f>HYPERLINK("https://www.munzee.com/m/csThanner/1911/", "csThanner/1911")</f>
        <v>csThanner/1911</v>
      </c>
      <c r="J1167" s="31">
        <f t="shared" si="3"/>
        <v>88</v>
      </c>
    </row>
    <row r="1168">
      <c r="A1168" s="28">
        <v>20.0</v>
      </c>
      <c r="B1168" s="28">
        <v>11.0</v>
      </c>
      <c r="C1168" s="28">
        <v>53.4948484982922</v>
      </c>
      <c r="D1168" s="28">
        <v>9.99194930543126</v>
      </c>
      <c r="E1168" s="28" t="s">
        <v>15</v>
      </c>
      <c r="F1168" s="28" t="s">
        <v>168</v>
      </c>
      <c r="G1168" s="29" t="s">
        <v>315</v>
      </c>
      <c r="H1168" s="36" t="s">
        <v>469</v>
      </c>
      <c r="J1168" s="31">
        <f t="shared" si="3"/>
        <v>10</v>
      </c>
    </row>
    <row r="1169">
      <c r="A1169" s="28">
        <v>20.0</v>
      </c>
      <c r="B1169" s="28">
        <v>12.0</v>
      </c>
      <c r="C1169" s="28">
        <v>53.4948359711167</v>
      </c>
      <c r="D1169" s="28">
        <v>9.99218999236097</v>
      </c>
      <c r="E1169" s="28" t="s">
        <v>25</v>
      </c>
      <c r="F1169" s="28" t="s">
        <v>14</v>
      </c>
      <c r="G1169" s="38"/>
      <c r="H1169" s="38"/>
      <c r="J1169" s="31">
        <f t="shared" si="3"/>
        <v>0</v>
      </c>
    </row>
    <row r="1170">
      <c r="A1170" s="28">
        <v>20.0</v>
      </c>
      <c r="B1170" s="28">
        <v>13.0</v>
      </c>
      <c r="C1170" s="28">
        <v>53.4948234439412</v>
      </c>
      <c r="D1170" s="28">
        <v>9.99243067921963</v>
      </c>
      <c r="E1170" s="28" t="s">
        <v>25</v>
      </c>
      <c r="F1170" s="28" t="s">
        <v>14</v>
      </c>
      <c r="G1170" s="38"/>
      <c r="H1170" s="38"/>
      <c r="J1170" s="31">
        <f t="shared" si="3"/>
        <v>0</v>
      </c>
    </row>
    <row r="1171">
      <c r="A1171" s="28">
        <v>20.0</v>
      </c>
      <c r="B1171" s="28">
        <v>14.0</v>
      </c>
      <c r="C1171" s="28">
        <v>53.4948109167658</v>
      </c>
      <c r="D1171" s="28">
        <v>9.99267136600713</v>
      </c>
      <c r="E1171" s="28" t="s">
        <v>25</v>
      </c>
      <c r="F1171" s="28" t="s">
        <v>14</v>
      </c>
      <c r="G1171" s="38"/>
      <c r="H1171" s="38"/>
      <c r="J1171" s="31">
        <f t="shared" si="3"/>
        <v>0</v>
      </c>
    </row>
    <row r="1172">
      <c r="A1172" s="28">
        <v>20.0</v>
      </c>
      <c r="B1172" s="28">
        <v>15.0</v>
      </c>
      <c r="C1172" s="28">
        <v>53.4947983895903</v>
      </c>
      <c r="D1172" s="28">
        <v>9.99291205272356</v>
      </c>
      <c r="E1172" s="28" t="s">
        <v>25</v>
      </c>
      <c r="F1172" s="28" t="s">
        <v>14</v>
      </c>
      <c r="G1172" s="38"/>
      <c r="H1172" s="38"/>
      <c r="J1172" s="31">
        <f t="shared" si="3"/>
        <v>0</v>
      </c>
    </row>
    <row r="1173">
      <c r="A1173" s="28">
        <v>20.0</v>
      </c>
      <c r="B1173" s="28">
        <v>16.0</v>
      </c>
      <c r="C1173" s="28">
        <v>53.4947858624148</v>
      </c>
      <c r="D1173" s="28">
        <v>9.99315273936895</v>
      </c>
      <c r="E1173" s="28" t="s">
        <v>25</v>
      </c>
      <c r="F1173" s="28" t="s">
        <v>14</v>
      </c>
      <c r="G1173" s="29" t="s">
        <v>26</v>
      </c>
      <c r="H1173" s="36" t="s">
        <v>470</v>
      </c>
      <c r="J1173" s="31">
        <f t="shared" si="3"/>
        <v>143</v>
      </c>
    </row>
    <row r="1174">
      <c r="A1174" s="28">
        <v>20.0</v>
      </c>
      <c r="B1174" s="28">
        <v>17.0</v>
      </c>
      <c r="C1174" s="28">
        <v>53.4947733352394</v>
      </c>
      <c r="D1174" s="28">
        <v>9.99339342594316</v>
      </c>
      <c r="E1174" s="28" t="s">
        <v>25</v>
      </c>
      <c r="F1174" s="28" t="s">
        <v>14</v>
      </c>
      <c r="G1174" s="38"/>
      <c r="H1174" s="38"/>
      <c r="J1174" s="31">
        <f t="shared" si="3"/>
        <v>0</v>
      </c>
    </row>
    <row r="1175">
      <c r="A1175" s="28">
        <v>20.0</v>
      </c>
      <c r="B1175" s="28">
        <v>18.0</v>
      </c>
      <c r="C1175" s="28">
        <v>53.4947608080639</v>
      </c>
      <c r="D1175" s="28">
        <v>9.99363411244621</v>
      </c>
      <c r="E1175" s="28" t="s">
        <v>25</v>
      </c>
      <c r="F1175" s="28" t="s">
        <v>14</v>
      </c>
      <c r="G1175" s="38"/>
      <c r="H1175" s="38"/>
      <c r="J1175" s="31">
        <f t="shared" si="3"/>
        <v>0</v>
      </c>
    </row>
    <row r="1176">
      <c r="A1176" s="28">
        <v>20.0</v>
      </c>
      <c r="B1176" s="28">
        <v>19.0</v>
      </c>
      <c r="C1176" s="28">
        <v>53.4947482808884</v>
      </c>
      <c r="D1176" s="28">
        <v>9.99387479887821</v>
      </c>
      <c r="E1176" s="28" t="s">
        <v>25</v>
      </c>
      <c r="F1176" s="28" t="s">
        <v>14</v>
      </c>
      <c r="G1176" s="38"/>
      <c r="H1176" s="38"/>
      <c r="J1176" s="31">
        <f t="shared" si="3"/>
        <v>0</v>
      </c>
    </row>
    <row r="1177">
      <c r="A1177" s="28">
        <v>20.0</v>
      </c>
      <c r="B1177" s="28">
        <v>20.0</v>
      </c>
      <c r="C1177" s="28">
        <v>53.4947357537129</v>
      </c>
      <c r="D1177" s="28">
        <v>9.99411548523915</v>
      </c>
      <c r="E1177" s="28" t="s">
        <v>25</v>
      </c>
      <c r="F1177" s="28" t="s">
        <v>14</v>
      </c>
      <c r="G1177" s="38"/>
      <c r="H1177" s="38"/>
      <c r="J1177" s="31">
        <f t="shared" si="3"/>
        <v>0</v>
      </c>
    </row>
    <row r="1178">
      <c r="A1178" s="28">
        <v>20.0</v>
      </c>
      <c r="B1178" s="28">
        <v>21.0</v>
      </c>
      <c r="C1178" s="28">
        <v>53.4947232265375</v>
      </c>
      <c r="D1178" s="28">
        <v>9.99435617152892</v>
      </c>
      <c r="E1178" s="28" t="s">
        <v>25</v>
      </c>
      <c r="F1178" s="28" t="s">
        <v>14</v>
      </c>
      <c r="G1178" s="38"/>
      <c r="H1178" s="38"/>
      <c r="J1178" s="31">
        <f t="shared" si="3"/>
        <v>0</v>
      </c>
    </row>
    <row r="1179">
      <c r="A1179" s="28">
        <v>20.0</v>
      </c>
      <c r="B1179" s="28">
        <v>22.0</v>
      </c>
      <c r="C1179" s="28">
        <v>53.494710699362</v>
      </c>
      <c r="D1179" s="28">
        <v>9.99459685774763</v>
      </c>
      <c r="E1179" s="28" t="s">
        <v>25</v>
      </c>
      <c r="F1179" s="28" t="s">
        <v>14</v>
      </c>
      <c r="G1179" s="38"/>
      <c r="H1179" s="38"/>
      <c r="J1179" s="31">
        <f t="shared" si="3"/>
        <v>0</v>
      </c>
    </row>
    <row r="1180">
      <c r="A1180" s="28">
        <v>20.0</v>
      </c>
      <c r="B1180" s="28">
        <v>23.0</v>
      </c>
      <c r="C1180" s="28">
        <v>53.4946981721865</v>
      </c>
      <c r="D1180" s="28">
        <v>9.9948375438953</v>
      </c>
      <c r="E1180" s="28" t="s">
        <v>25</v>
      </c>
      <c r="F1180" s="28" t="s">
        <v>14</v>
      </c>
      <c r="G1180" s="38"/>
      <c r="H1180" s="38"/>
      <c r="J1180" s="31">
        <f t="shared" si="3"/>
        <v>0</v>
      </c>
    </row>
    <row r="1181">
      <c r="A1181" s="28">
        <v>20.0</v>
      </c>
      <c r="B1181" s="28">
        <v>24.0</v>
      </c>
      <c r="C1181" s="28">
        <v>53.494685645011</v>
      </c>
      <c r="D1181" s="28">
        <v>9.99507822997179</v>
      </c>
      <c r="E1181" s="28" t="s">
        <v>25</v>
      </c>
      <c r="F1181" s="28" t="s">
        <v>14</v>
      </c>
      <c r="G1181" s="38"/>
      <c r="H1181" s="38"/>
      <c r="J1181" s="31">
        <f t="shared" si="3"/>
        <v>0</v>
      </c>
    </row>
    <row r="1182">
      <c r="A1182" s="28">
        <v>20.0</v>
      </c>
      <c r="B1182" s="28">
        <v>25.0</v>
      </c>
      <c r="C1182" s="28">
        <v>53.4946731178356</v>
      </c>
      <c r="D1182" s="28">
        <v>9.99531891597712</v>
      </c>
      <c r="E1182" s="28" t="s">
        <v>25</v>
      </c>
      <c r="F1182" s="28" t="s">
        <v>14</v>
      </c>
      <c r="G1182" s="38"/>
      <c r="H1182" s="38"/>
      <c r="J1182" s="31">
        <f t="shared" si="3"/>
        <v>0</v>
      </c>
    </row>
    <row r="1183">
      <c r="A1183" s="28">
        <v>20.0</v>
      </c>
      <c r="B1183" s="28">
        <v>26.0</v>
      </c>
      <c r="C1183" s="28">
        <v>53.4946605906601</v>
      </c>
      <c r="D1183" s="28">
        <v>9.99555960191139</v>
      </c>
      <c r="E1183" s="28" t="s">
        <v>25</v>
      </c>
      <c r="F1183" s="28" t="s">
        <v>14</v>
      </c>
      <c r="G1183" s="38"/>
      <c r="H1183" s="38"/>
      <c r="J1183" s="31">
        <f t="shared" si="3"/>
        <v>0</v>
      </c>
    </row>
    <row r="1184">
      <c r="A1184" s="28">
        <v>20.0</v>
      </c>
      <c r="B1184" s="28">
        <v>27.0</v>
      </c>
      <c r="C1184" s="28">
        <v>53.4946480634846</v>
      </c>
      <c r="D1184" s="28">
        <v>9.99580028777461</v>
      </c>
      <c r="E1184" s="28" t="s">
        <v>25</v>
      </c>
      <c r="F1184" s="28" t="s">
        <v>14</v>
      </c>
      <c r="G1184" s="38"/>
      <c r="H1184" s="38"/>
      <c r="J1184" s="31">
        <f t="shared" si="3"/>
        <v>0</v>
      </c>
    </row>
    <row r="1185">
      <c r="A1185" s="28">
        <v>20.0</v>
      </c>
      <c r="B1185" s="28">
        <v>28.0</v>
      </c>
      <c r="C1185" s="28">
        <v>53.4946355363092</v>
      </c>
      <c r="D1185" s="28">
        <v>9.99604097356666</v>
      </c>
      <c r="E1185" s="28" t="s">
        <v>25</v>
      </c>
      <c r="F1185" s="28" t="s">
        <v>14</v>
      </c>
      <c r="G1185" s="38"/>
      <c r="H1185" s="38"/>
      <c r="J1185" s="31">
        <f t="shared" si="3"/>
        <v>0</v>
      </c>
    </row>
    <row r="1186">
      <c r="A1186" s="28">
        <v>20.0</v>
      </c>
      <c r="B1186" s="28">
        <v>29.0</v>
      </c>
      <c r="C1186" s="28">
        <v>53.4946230091337</v>
      </c>
      <c r="D1186" s="28">
        <v>9.99628165928766</v>
      </c>
      <c r="E1186" s="28" t="s">
        <v>25</v>
      </c>
      <c r="F1186" s="28" t="s">
        <v>14</v>
      </c>
      <c r="G1186" s="38"/>
      <c r="H1186" s="38"/>
      <c r="J1186" s="31">
        <f t="shared" si="3"/>
        <v>0</v>
      </c>
    </row>
    <row r="1187">
      <c r="A1187" s="28">
        <v>20.0</v>
      </c>
      <c r="B1187" s="28">
        <v>30.0</v>
      </c>
      <c r="C1187" s="28">
        <v>53.4946104819582</v>
      </c>
      <c r="D1187" s="28">
        <v>9.9965223449376</v>
      </c>
      <c r="E1187" s="28" t="s">
        <v>25</v>
      </c>
      <c r="F1187" s="28" t="s">
        <v>14</v>
      </c>
      <c r="G1187" s="38"/>
      <c r="H1187" s="38"/>
      <c r="J1187" s="31">
        <f t="shared" si="3"/>
        <v>0</v>
      </c>
    </row>
    <row r="1188">
      <c r="A1188" s="28">
        <v>20.0</v>
      </c>
      <c r="B1188" s="28">
        <v>31.0</v>
      </c>
      <c r="C1188" s="28">
        <v>53.4945979547828</v>
      </c>
      <c r="D1188" s="28">
        <v>9.99676303051637</v>
      </c>
      <c r="E1188" s="28" t="s">
        <v>25</v>
      </c>
      <c r="F1188" s="28" t="s">
        <v>14</v>
      </c>
      <c r="G1188" s="38"/>
      <c r="H1188" s="38"/>
      <c r="J1188" s="31">
        <f t="shared" si="3"/>
        <v>0</v>
      </c>
    </row>
    <row r="1189">
      <c r="A1189" s="28">
        <v>20.0</v>
      </c>
      <c r="B1189" s="28">
        <v>32.0</v>
      </c>
      <c r="C1189" s="28">
        <v>53.4945854276073</v>
      </c>
      <c r="D1189" s="28">
        <v>9.99700371602398</v>
      </c>
      <c r="E1189" s="28" t="s">
        <v>25</v>
      </c>
      <c r="F1189" s="28" t="s">
        <v>14</v>
      </c>
      <c r="G1189" s="38"/>
      <c r="H1189" s="38"/>
      <c r="J1189" s="31">
        <f t="shared" si="3"/>
        <v>0</v>
      </c>
    </row>
    <row r="1190">
      <c r="A1190" s="28">
        <v>20.0</v>
      </c>
      <c r="B1190" s="28">
        <v>33.0</v>
      </c>
      <c r="C1190" s="28">
        <v>53.4945729004318</v>
      </c>
      <c r="D1190" s="28">
        <v>9.99724440146053</v>
      </c>
      <c r="E1190" s="28" t="s">
        <v>25</v>
      </c>
      <c r="F1190" s="28" t="s">
        <v>14</v>
      </c>
      <c r="G1190" s="38"/>
      <c r="H1190" s="38"/>
      <c r="J1190" s="31">
        <f t="shared" si="3"/>
        <v>0</v>
      </c>
    </row>
    <row r="1191">
      <c r="A1191" s="28">
        <v>20.0</v>
      </c>
      <c r="B1191" s="28">
        <v>34.0</v>
      </c>
      <c r="C1191" s="28">
        <v>53.4945603732563</v>
      </c>
      <c r="D1191" s="28">
        <v>9.99748508682603</v>
      </c>
      <c r="E1191" s="28" t="s">
        <v>25</v>
      </c>
      <c r="F1191" s="28" t="s">
        <v>14</v>
      </c>
      <c r="G1191" s="38"/>
      <c r="H1191" s="38"/>
      <c r="J1191" s="31">
        <f t="shared" si="3"/>
        <v>0</v>
      </c>
    </row>
    <row r="1192">
      <c r="A1192" s="28">
        <v>20.0</v>
      </c>
      <c r="B1192" s="28">
        <v>35.0</v>
      </c>
      <c r="C1192" s="28">
        <v>53.4945478460809</v>
      </c>
      <c r="D1192" s="28">
        <v>9.99772577212036</v>
      </c>
      <c r="E1192" s="28" t="s">
        <v>25</v>
      </c>
      <c r="F1192" s="28" t="s">
        <v>14</v>
      </c>
      <c r="G1192" s="38"/>
      <c r="H1192" s="38"/>
      <c r="J1192" s="31">
        <f t="shared" si="3"/>
        <v>0</v>
      </c>
    </row>
    <row r="1193">
      <c r="A1193" s="28">
        <v>20.0</v>
      </c>
      <c r="B1193" s="28">
        <v>36.0</v>
      </c>
      <c r="C1193" s="28">
        <v>53.4945353189054</v>
      </c>
      <c r="D1193" s="28">
        <v>9.99796645734363</v>
      </c>
      <c r="E1193" s="28" t="s">
        <v>25</v>
      </c>
      <c r="F1193" s="28" t="s">
        <v>14</v>
      </c>
      <c r="G1193" s="38"/>
      <c r="H1193" s="38"/>
      <c r="J1193" s="31">
        <f t="shared" si="3"/>
        <v>0</v>
      </c>
    </row>
    <row r="1194">
      <c r="A1194" s="28">
        <v>20.0</v>
      </c>
      <c r="B1194" s="28">
        <v>37.0</v>
      </c>
      <c r="C1194" s="28">
        <v>53.49452279173</v>
      </c>
      <c r="D1194" s="28">
        <v>9.99820714249585</v>
      </c>
      <c r="E1194" s="28" t="s">
        <v>25</v>
      </c>
      <c r="F1194" s="28" t="s">
        <v>14</v>
      </c>
      <c r="G1194" s="38"/>
      <c r="H1194" s="38"/>
      <c r="J1194" s="31">
        <f t="shared" si="3"/>
        <v>0</v>
      </c>
    </row>
    <row r="1195">
      <c r="A1195" s="28">
        <v>20.0</v>
      </c>
      <c r="B1195" s="28">
        <v>38.0</v>
      </c>
      <c r="C1195" s="28">
        <v>53.4945102645545</v>
      </c>
      <c r="D1195" s="28">
        <v>9.99844782757691</v>
      </c>
      <c r="E1195" s="28" t="s">
        <v>25</v>
      </c>
      <c r="F1195" s="28" t="s">
        <v>14</v>
      </c>
      <c r="G1195" s="38"/>
      <c r="H1195" s="38"/>
      <c r="J1195" s="31">
        <f t="shared" si="3"/>
        <v>0</v>
      </c>
    </row>
    <row r="1196">
      <c r="A1196" s="28">
        <v>20.0</v>
      </c>
      <c r="B1196" s="28">
        <v>39.0</v>
      </c>
      <c r="C1196" s="28">
        <v>53.494497737379</v>
      </c>
      <c r="D1196" s="28">
        <v>9.99868851258679</v>
      </c>
      <c r="E1196" s="28" t="s">
        <v>25</v>
      </c>
      <c r="F1196" s="28" t="s">
        <v>14</v>
      </c>
      <c r="G1196" s="38"/>
      <c r="H1196" s="38"/>
      <c r="J1196" s="31">
        <f t="shared" si="3"/>
        <v>0</v>
      </c>
    </row>
    <row r="1197">
      <c r="A1197" s="28">
        <v>20.0</v>
      </c>
      <c r="B1197" s="28">
        <v>40.0</v>
      </c>
      <c r="C1197" s="28">
        <v>53.4944852102036</v>
      </c>
      <c r="D1197" s="28">
        <v>9.99892919752562</v>
      </c>
      <c r="E1197" s="28" t="s">
        <v>25</v>
      </c>
      <c r="F1197" s="28" t="s">
        <v>14</v>
      </c>
      <c r="G1197" s="38"/>
      <c r="H1197" s="38"/>
      <c r="J1197" s="31">
        <f t="shared" si="3"/>
        <v>0</v>
      </c>
    </row>
    <row r="1198">
      <c r="A1198" s="28">
        <v>20.0</v>
      </c>
      <c r="B1198" s="28">
        <v>41.0</v>
      </c>
      <c r="C1198" s="28">
        <v>53.4944726830281</v>
      </c>
      <c r="D1198" s="28">
        <v>9.9991698823934</v>
      </c>
      <c r="E1198" s="28" t="s">
        <v>15</v>
      </c>
      <c r="F1198" s="28" t="s">
        <v>168</v>
      </c>
      <c r="G1198" s="29" t="s">
        <v>26</v>
      </c>
      <c r="H1198" s="30" t="s">
        <v>471</v>
      </c>
      <c r="J1198" s="31">
        <f t="shared" si="3"/>
        <v>143</v>
      </c>
    </row>
    <row r="1199">
      <c r="A1199" s="28">
        <v>20.0</v>
      </c>
      <c r="B1199" s="28">
        <v>42.0</v>
      </c>
      <c r="C1199" s="28">
        <v>53.4944601558527</v>
      </c>
      <c r="D1199" s="28">
        <v>9.99941056719001</v>
      </c>
      <c r="E1199" s="28" t="s">
        <v>15</v>
      </c>
      <c r="F1199" s="28" t="s">
        <v>168</v>
      </c>
      <c r="G1199" s="29" t="s">
        <v>364</v>
      </c>
      <c r="H1199" s="35" t="str">
        <f>HYPERLINK("https://www.munzee.com/m/einkilorind/3091/","einkilorind/3091/")</f>
        <v>einkilorind/3091/</v>
      </c>
      <c r="J1199" s="31">
        <f t="shared" si="3"/>
        <v>17</v>
      </c>
    </row>
    <row r="1200">
      <c r="A1200" s="28">
        <v>20.0</v>
      </c>
      <c r="B1200" s="28">
        <v>43.0</v>
      </c>
      <c r="C1200" s="28">
        <v>53.4944476286772</v>
      </c>
      <c r="D1200" s="28">
        <v>9.99965125191556</v>
      </c>
      <c r="E1200" s="28" t="s">
        <v>15</v>
      </c>
      <c r="F1200" s="28" t="s">
        <v>168</v>
      </c>
      <c r="G1200" s="29" t="s">
        <v>448</v>
      </c>
      <c r="H1200" s="30" t="s">
        <v>472</v>
      </c>
      <c r="J1200" s="31">
        <f t="shared" si="3"/>
        <v>5</v>
      </c>
    </row>
    <row r="1201">
      <c r="A1201" s="28">
        <v>20.0</v>
      </c>
      <c r="B1201" s="28">
        <v>44.0</v>
      </c>
      <c r="C1201" s="28">
        <v>53.4944351015017</v>
      </c>
      <c r="D1201" s="28">
        <v>9.99989193657006</v>
      </c>
      <c r="E1201" s="28" t="s">
        <v>25</v>
      </c>
      <c r="F1201" s="28" t="s">
        <v>14</v>
      </c>
      <c r="G1201" s="29" t="s">
        <v>26</v>
      </c>
      <c r="H1201" s="36" t="s">
        <v>473</v>
      </c>
      <c r="J1201" s="31">
        <f t="shared" si="3"/>
        <v>143</v>
      </c>
    </row>
    <row r="1202">
      <c r="A1202" s="28">
        <v>20.0</v>
      </c>
      <c r="B1202" s="28">
        <v>45.0</v>
      </c>
      <c r="C1202" s="28">
        <v>53.4944225743263</v>
      </c>
      <c r="D1202" s="28">
        <v>10.0001326211533</v>
      </c>
      <c r="E1202" s="28" t="s">
        <v>25</v>
      </c>
      <c r="F1202" s="28" t="s">
        <v>14</v>
      </c>
      <c r="G1202" s="38"/>
      <c r="H1202" s="38"/>
      <c r="J1202" s="31">
        <f t="shared" si="3"/>
        <v>0</v>
      </c>
    </row>
    <row r="1203">
      <c r="A1203" s="28">
        <v>20.0</v>
      </c>
      <c r="B1203" s="28">
        <v>46.0</v>
      </c>
      <c r="C1203" s="28">
        <v>53.4944100471508</v>
      </c>
      <c r="D1203" s="28">
        <v>10.0003733056656</v>
      </c>
      <c r="E1203" s="28" t="s">
        <v>25</v>
      </c>
      <c r="F1203" s="28" t="s">
        <v>14</v>
      </c>
      <c r="G1203" s="38"/>
      <c r="H1203" s="38"/>
      <c r="J1203" s="31">
        <f t="shared" si="3"/>
        <v>0</v>
      </c>
    </row>
    <row r="1204">
      <c r="A1204" s="28">
        <v>20.0</v>
      </c>
      <c r="B1204" s="28">
        <v>47.0</v>
      </c>
      <c r="C1204" s="28">
        <v>53.4943975199754</v>
      </c>
      <c r="D1204" s="28">
        <v>10.0006139901067</v>
      </c>
      <c r="E1204" s="28" t="s">
        <v>25</v>
      </c>
      <c r="F1204" s="28" t="s">
        <v>14</v>
      </c>
      <c r="G1204" s="29" t="s">
        <v>26</v>
      </c>
      <c r="H1204" s="36" t="s">
        <v>474</v>
      </c>
      <c r="J1204" s="31">
        <f t="shared" si="3"/>
        <v>143</v>
      </c>
    </row>
    <row r="1205">
      <c r="A1205" s="28">
        <v>20.0</v>
      </c>
      <c r="B1205" s="28">
        <v>48.0</v>
      </c>
      <c r="C1205" s="28">
        <v>53.4943849927999</v>
      </c>
      <c r="D1205" s="28">
        <v>10.0008546744768</v>
      </c>
      <c r="E1205" s="28" t="s">
        <v>25</v>
      </c>
      <c r="F1205" s="28" t="s">
        <v>14</v>
      </c>
      <c r="G1205" s="38"/>
      <c r="H1205" s="38"/>
      <c r="J1205" s="31">
        <f t="shared" si="3"/>
        <v>0</v>
      </c>
    </row>
    <row r="1206">
      <c r="A1206" s="28">
        <v>20.0</v>
      </c>
      <c r="B1206" s="28">
        <v>49.0</v>
      </c>
      <c r="C1206" s="28">
        <v>53.4943724656245</v>
      </c>
      <c r="D1206" s="28">
        <v>10.0010953587757</v>
      </c>
      <c r="E1206" s="28" t="s">
        <v>25</v>
      </c>
      <c r="F1206" s="28" t="s">
        <v>14</v>
      </c>
      <c r="G1206" s="38"/>
      <c r="H1206" s="38"/>
      <c r="J1206" s="31">
        <f t="shared" si="3"/>
        <v>0</v>
      </c>
    </row>
    <row r="1207">
      <c r="A1207" s="28">
        <v>20.0</v>
      </c>
      <c r="B1207" s="28">
        <v>50.0</v>
      </c>
      <c r="C1207" s="28">
        <v>53.494359938449</v>
      </c>
      <c r="D1207" s="28">
        <v>10.0013360430035</v>
      </c>
      <c r="E1207" s="28" t="s">
        <v>25</v>
      </c>
      <c r="F1207" s="28" t="s">
        <v>14</v>
      </c>
      <c r="G1207" s="38"/>
      <c r="H1207" s="38"/>
      <c r="J1207" s="31">
        <f t="shared" si="3"/>
        <v>0</v>
      </c>
    </row>
    <row r="1208">
      <c r="A1208" s="28">
        <v>20.0</v>
      </c>
      <c r="B1208" s="28">
        <v>51.0</v>
      </c>
      <c r="C1208" s="28">
        <v>53.4943474112735</v>
      </c>
      <c r="D1208" s="28">
        <v>10.0015767271602</v>
      </c>
      <c r="E1208" s="28" t="s">
        <v>25</v>
      </c>
      <c r="F1208" s="28" t="s">
        <v>14</v>
      </c>
      <c r="G1208" s="38"/>
      <c r="H1208" s="38"/>
      <c r="J1208" s="31">
        <f t="shared" si="3"/>
        <v>0</v>
      </c>
    </row>
    <row r="1209">
      <c r="A1209" s="28">
        <v>20.0</v>
      </c>
      <c r="B1209" s="28">
        <v>52.0</v>
      </c>
      <c r="C1209" s="28">
        <v>53.4943348840981</v>
      </c>
      <c r="D1209" s="28">
        <v>10.0018174112458</v>
      </c>
      <c r="E1209" s="28" t="s">
        <v>15</v>
      </c>
      <c r="F1209" s="28" t="s">
        <v>168</v>
      </c>
      <c r="G1209" s="29" t="s">
        <v>40</v>
      </c>
      <c r="H1209" s="30" t="str">
        <f>HYPERLINK("https://www.munzee.com/m/csThanner/1913/", "csThanner/1913")</f>
        <v>csThanner/1913</v>
      </c>
      <c r="J1209" s="31">
        <f t="shared" si="3"/>
        <v>88</v>
      </c>
    </row>
    <row r="1210">
      <c r="A1210" s="28">
        <v>20.0</v>
      </c>
      <c r="B1210" s="28">
        <v>53.0</v>
      </c>
      <c r="C1210" s="28">
        <v>53.4943223569226</v>
      </c>
      <c r="D1210" s="28">
        <v>10.0020580952603</v>
      </c>
      <c r="E1210" s="28" t="s">
        <v>25</v>
      </c>
      <c r="F1210" s="28" t="s">
        <v>14</v>
      </c>
      <c r="G1210" s="38"/>
      <c r="H1210" s="38"/>
      <c r="J1210" s="31">
        <f t="shared" si="3"/>
        <v>0</v>
      </c>
    </row>
    <row r="1211">
      <c r="A1211" s="28">
        <v>20.0</v>
      </c>
      <c r="B1211" s="28">
        <v>54.0</v>
      </c>
      <c r="C1211" s="28">
        <v>53.4943098297471</v>
      </c>
      <c r="D1211" s="28">
        <v>10.0022987792037</v>
      </c>
      <c r="E1211" s="28" t="s">
        <v>25</v>
      </c>
      <c r="F1211" s="28" t="s">
        <v>14</v>
      </c>
      <c r="G1211" s="38"/>
      <c r="H1211" s="38"/>
      <c r="J1211" s="31">
        <f t="shared" si="3"/>
        <v>0</v>
      </c>
    </row>
    <row r="1212">
      <c r="A1212" s="28">
        <v>20.0</v>
      </c>
      <c r="B1212" s="28">
        <v>55.0</v>
      </c>
      <c r="C1212" s="28">
        <v>53.4942973025717</v>
      </c>
      <c r="D1212" s="28">
        <v>10.0025394630761</v>
      </c>
      <c r="E1212" s="28" t="s">
        <v>25</v>
      </c>
      <c r="F1212" s="28" t="s">
        <v>14</v>
      </c>
      <c r="G1212" s="38"/>
      <c r="H1212" s="38"/>
      <c r="J1212" s="31">
        <f t="shared" si="3"/>
        <v>0</v>
      </c>
    </row>
    <row r="1213">
      <c r="A1213" s="28">
        <v>20.0</v>
      </c>
      <c r="B1213" s="28">
        <v>56.0</v>
      </c>
      <c r="C1213" s="28">
        <v>53.4942847753962</v>
      </c>
      <c r="D1213" s="28">
        <v>10.0027801468772</v>
      </c>
      <c r="E1213" s="28" t="s">
        <v>25</v>
      </c>
      <c r="F1213" s="28" t="s">
        <v>14</v>
      </c>
      <c r="G1213" s="38"/>
      <c r="H1213" s="38"/>
      <c r="J1213" s="31">
        <f t="shared" si="3"/>
        <v>0</v>
      </c>
    </row>
    <row r="1214">
      <c r="A1214" s="28">
        <v>20.0</v>
      </c>
      <c r="B1214" s="28">
        <v>57.0</v>
      </c>
      <c r="C1214" s="28">
        <v>53.4942722482208</v>
      </c>
      <c r="D1214" s="28">
        <v>10.0030208306073</v>
      </c>
      <c r="E1214" s="28" t="s">
        <v>15</v>
      </c>
      <c r="F1214" s="28" t="s">
        <v>168</v>
      </c>
      <c r="G1214" s="29" t="s">
        <v>285</v>
      </c>
      <c r="H1214" s="38"/>
      <c r="J1214" s="31">
        <f t="shared" si="3"/>
        <v>3</v>
      </c>
    </row>
    <row r="1215">
      <c r="A1215" s="28">
        <v>20.0</v>
      </c>
      <c r="B1215" s="28">
        <v>58.0</v>
      </c>
      <c r="C1215" s="28">
        <v>53.4942597210453</v>
      </c>
      <c r="D1215" s="28">
        <v>10.0032615142664</v>
      </c>
      <c r="E1215" s="28" t="s">
        <v>15</v>
      </c>
      <c r="F1215" s="28" t="s">
        <v>168</v>
      </c>
      <c r="G1215" s="29" t="s">
        <v>26</v>
      </c>
      <c r="H1215" s="30" t="s">
        <v>475</v>
      </c>
      <c r="J1215" s="31">
        <f t="shared" si="3"/>
        <v>143</v>
      </c>
    </row>
    <row r="1216">
      <c r="A1216" s="28">
        <v>20.0</v>
      </c>
      <c r="B1216" s="28">
        <v>59.0</v>
      </c>
      <c r="C1216" s="28">
        <v>53.4942471938699</v>
      </c>
      <c r="D1216" s="28">
        <v>10.0035021978543</v>
      </c>
      <c r="E1216" s="28" t="s">
        <v>15</v>
      </c>
      <c r="F1216" s="28" t="s">
        <v>168</v>
      </c>
      <c r="G1216" s="29" t="s">
        <v>315</v>
      </c>
      <c r="H1216" s="36" t="s">
        <v>476</v>
      </c>
      <c r="J1216" s="31">
        <f t="shared" si="3"/>
        <v>10</v>
      </c>
    </row>
    <row r="1217">
      <c r="A1217" s="28">
        <v>20.0</v>
      </c>
      <c r="B1217" s="28">
        <v>60.0</v>
      </c>
      <c r="C1217" s="28">
        <v>53.4942346666944</v>
      </c>
      <c r="D1217" s="28">
        <v>10.0037428813711</v>
      </c>
      <c r="E1217" s="28" t="s">
        <v>25</v>
      </c>
      <c r="F1217" s="28" t="s">
        <v>14</v>
      </c>
      <c r="G1217" s="29" t="s">
        <v>94</v>
      </c>
      <c r="H1217" s="33" t="s">
        <v>477</v>
      </c>
      <c r="J1217" s="31">
        <f t="shared" si="3"/>
        <v>42</v>
      </c>
    </row>
    <row r="1218">
      <c r="A1218" s="28">
        <v>21.0</v>
      </c>
      <c r="B1218" s="28">
        <v>1.0</v>
      </c>
      <c r="C1218" s="28">
        <v>53.4948305865373</v>
      </c>
      <c r="D1218" s="28">
        <v>9.98952137484821</v>
      </c>
      <c r="E1218" s="28" t="s">
        <v>25</v>
      </c>
      <c r="F1218" s="28" t="s">
        <v>14</v>
      </c>
      <c r="G1218" s="29" t="s">
        <v>30</v>
      </c>
      <c r="H1218" s="30" t="str">
        <f>HYPERLINK("https://www.munzee.com/m/SachensucherHB/1492/", "SachensucherHB/1492")</f>
        <v>SachensucherHB/1492</v>
      </c>
      <c r="J1218" s="31">
        <f t="shared" si="3"/>
        <v>62</v>
      </c>
    </row>
    <row r="1219">
      <c r="A1219" s="28">
        <v>21.0</v>
      </c>
      <c r="B1219" s="28">
        <v>2.0</v>
      </c>
      <c r="C1219" s="28">
        <v>53.4948180593619</v>
      </c>
      <c r="D1219" s="28">
        <v>9.98976206167628</v>
      </c>
      <c r="E1219" s="28" t="s">
        <v>15</v>
      </c>
      <c r="F1219" s="28" t="s">
        <v>168</v>
      </c>
      <c r="G1219" s="29" t="s">
        <v>418</v>
      </c>
      <c r="H1219" s="33" t="s">
        <v>478</v>
      </c>
      <c r="J1219" s="31">
        <f t="shared" si="3"/>
        <v>7</v>
      </c>
    </row>
    <row r="1220">
      <c r="A1220" s="28">
        <v>21.0</v>
      </c>
      <c r="B1220" s="28">
        <v>3.0</v>
      </c>
      <c r="C1220" s="28">
        <v>53.4948055321864</v>
      </c>
      <c r="D1220" s="28">
        <v>9.99000274843319</v>
      </c>
      <c r="E1220" s="28" t="s">
        <v>15</v>
      </c>
      <c r="F1220" s="28" t="s">
        <v>168</v>
      </c>
      <c r="G1220" s="29" t="s">
        <v>248</v>
      </c>
      <c r="H1220" s="30" t="s">
        <v>479</v>
      </c>
      <c r="J1220" s="31">
        <f t="shared" si="3"/>
        <v>3</v>
      </c>
    </row>
    <row r="1221">
      <c r="A1221" s="28">
        <v>21.0</v>
      </c>
      <c r="B1221" s="28">
        <v>4.0</v>
      </c>
      <c r="C1221" s="28">
        <v>53.4947930050109</v>
      </c>
      <c r="D1221" s="28">
        <v>9.99024343511905</v>
      </c>
      <c r="E1221" s="28" t="s">
        <v>15</v>
      </c>
      <c r="F1221" s="28" t="s">
        <v>168</v>
      </c>
      <c r="G1221" s="29" t="s">
        <v>315</v>
      </c>
      <c r="H1221" s="36" t="s">
        <v>480</v>
      </c>
      <c r="J1221" s="31">
        <f t="shared" si="3"/>
        <v>10</v>
      </c>
    </row>
    <row r="1222">
      <c r="A1222" s="28">
        <v>21.0</v>
      </c>
      <c r="B1222" s="28">
        <v>5.0</v>
      </c>
      <c r="C1222" s="28">
        <v>53.4947804778355</v>
      </c>
      <c r="D1222" s="28">
        <v>9.99048412173374</v>
      </c>
      <c r="E1222" s="28" t="s">
        <v>15</v>
      </c>
      <c r="F1222" s="28" t="s">
        <v>168</v>
      </c>
      <c r="G1222" s="29" t="s">
        <v>418</v>
      </c>
      <c r="H1222" s="33" t="s">
        <v>481</v>
      </c>
      <c r="J1222" s="31">
        <f t="shared" si="3"/>
        <v>7</v>
      </c>
    </row>
    <row r="1223">
      <c r="A1223" s="28">
        <v>21.0</v>
      </c>
      <c r="B1223" s="28">
        <v>6.0</v>
      </c>
      <c r="C1223" s="28">
        <v>53.49476795066</v>
      </c>
      <c r="D1223" s="28">
        <v>9.99072480827737</v>
      </c>
      <c r="E1223" s="28" t="s">
        <v>25</v>
      </c>
      <c r="F1223" s="28" t="s">
        <v>14</v>
      </c>
      <c r="G1223" s="29" t="s">
        <v>164</v>
      </c>
      <c r="H1223" s="35" t="s">
        <v>482</v>
      </c>
      <c r="J1223" s="31">
        <f t="shared" si="3"/>
        <v>133</v>
      </c>
    </row>
    <row r="1224">
      <c r="A1224" s="28">
        <v>21.0</v>
      </c>
      <c r="B1224" s="28">
        <v>7.0</v>
      </c>
      <c r="C1224" s="28">
        <v>53.4947554234845</v>
      </c>
      <c r="D1224" s="28">
        <v>9.99096549474995</v>
      </c>
      <c r="E1224" s="28" t="s">
        <v>25</v>
      </c>
      <c r="F1224" s="28" t="s">
        <v>14</v>
      </c>
      <c r="G1224" s="38"/>
      <c r="H1224" s="38"/>
      <c r="J1224" s="31">
        <f t="shared" si="3"/>
        <v>0</v>
      </c>
    </row>
    <row r="1225">
      <c r="A1225" s="28">
        <v>21.0</v>
      </c>
      <c r="B1225" s="28">
        <v>8.0</v>
      </c>
      <c r="C1225" s="28">
        <v>53.4947428963091</v>
      </c>
      <c r="D1225" s="28">
        <v>9.99120618115137</v>
      </c>
      <c r="E1225" s="28" t="s">
        <v>25</v>
      </c>
      <c r="F1225" s="28" t="s">
        <v>14</v>
      </c>
      <c r="G1225" s="38"/>
      <c r="H1225" s="38"/>
      <c r="J1225" s="31">
        <f t="shared" si="3"/>
        <v>0</v>
      </c>
    </row>
    <row r="1226">
      <c r="A1226" s="28">
        <v>21.0</v>
      </c>
      <c r="B1226" s="28">
        <v>9.0</v>
      </c>
      <c r="C1226" s="28">
        <v>53.4947303691336</v>
      </c>
      <c r="D1226" s="28">
        <v>9.99144686748172</v>
      </c>
      <c r="E1226" s="28" t="s">
        <v>25</v>
      </c>
      <c r="F1226" s="28" t="s">
        <v>14</v>
      </c>
      <c r="G1226" s="29" t="s">
        <v>164</v>
      </c>
      <c r="H1226" s="35" t="s">
        <v>483</v>
      </c>
      <c r="J1226" s="31">
        <f t="shared" si="3"/>
        <v>133</v>
      </c>
    </row>
    <row r="1227">
      <c r="A1227" s="28">
        <v>21.0</v>
      </c>
      <c r="B1227" s="28">
        <v>10.0</v>
      </c>
      <c r="C1227" s="28">
        <v>53.4947178419581</v>
      </c>
      <c r="D1227" s="28">
        <v>9.99168755374103</v>
      </c>
      <c r="E1227" s="28" t="s">
        <v>15</v>
      </c>
      <c r="F1227" s="28" t="s">
        <v>168</v>
      </c>
      <c r="G1227" s="29" t="s">
        <v>26</v>
      </c>
      <c r="H1227" s="30" t="s">
        <v>484</v>
      </c>
      <c r="J1227" s="31">
        <f t="shared" si="3"/>
        <v>143</v>
      </c>
    </row>
    <row r="1228">
      <c r="A1228" s="28">
        <v>21.0</v>
      </c>
      <c r="B1228" s="28">
        <v>11.0</v>
      </c>
      <c r="C1228" s="28">
        <v>53.4947053147826</v>
      </c>
      <c r="D1228" s="28">
        <v>9.99192823992916</v>
      </c>
      <c r="E1228" s="28" t="s">
        <v>15</v>
      </c>
      <c r="F1228" s="28" t="s">
        <v>168</v>
      </c>
      <c r="G1228" s="29" t="s">
        <v>448</v>
      </c>
      <c r="H1228" s="30" t="s">
        <v>485</v>
      </c>
      <c r="J1228" s="31">
        <f t="shared" si="3"/>
        <v>5</v>
      </c>
    </row>
    <row r="1229">
      <c r="A1229" s="28">
        <v>21.0</v>
      </c>
      <c r="B1229" s="28">
        <v>12.0</v>
      </c>
      <c r="C1229" s="28">
        <v>53.4946927876072</v>
      </c>
      <c r="D1229" s="28">
        <v>9.99216892604613</v>
      </c>
      <c r="E1229" s="28" t="s">
        <v>15</v>
      </c>
      <c r="F1229" s="28" t="s">
        <v>168</v>
      </c>
      <c r="G1229" s="29" t="s">
        <v>106</v>
      </c>
      <c r="H1229" s="36" t="s">
        <v>486</v>
      </c>
      <c r="J1229" s="31">
        <f t="shared" si="3"/>
        <v>9</v>
      </c>
    </row>
    <row r="1230">
      <c r="A1230" s="28">
        <v>21.0</v>
      </c>
      <c r="B1230" s="28">
        <v>13.0</v>
      </c>
      <c r="C1230" s="28">
        <v>53.4946802604317</v>
      </c>
      <c r="D1230" s="28">
        <v>9.99240961209204</v>
      </c>
      <c r="E1230" s="28" t="s">
        <v>15</v>
      </c>
      <c r="F1230" s="28" t="s">
        <v>168</v>
      </c>
      <c r="G1230" s="29" t="s">
        <v>26</v>
      </c>
      <c r="H1230" s="30" t="s">
        <v>487</v>
      </c>
      <c r="J1230" s="31">
        <f t="shared" si="3"/>
        <v>143</v>
      </c>
    </row>
    <row r="1231">
      <c r="A1231" s="28">
        <v>21.0</v>
      </c>
      <c r="B1231" s="28">
        <v>14.0</v>
      </c>
      <c r="C1231" s="28">
        <v>53.4946677332562</v>
      </c>
      <c r="D1231" s="28">
        <v>9.9926502980669</v>
      </c>
      <c r="E1231" s="28" t="s">
        <v>25</v>
      </c>
      <c r="F1231" s="28" t="s">
        <v>14</v>
      </c>
      <c r="G1231" s="29" t="s">
        <v>164</v>
      </c>
      <c r="H1231" s="35" t="s">
        <v>488</v>
      </c>
      <c r="J1231" s="31">
        <f t="shared" si="3"/>
        <v>133</v>
      </c>
    </row>
    <row r="1232">
      <c r="A1232" s="28">
        <v>21.0</v>
      </c>
      <c r="B1232" s="28">
        <v>15.0</v>
      </c>
      <c r="C1232" s="28">
        <v>53.4946552060807</v>
      </c>
      <c r="D1232" s="28">
        <v>9.99289098397059</v>
      </c>
      <c r="E1232" s="28" t="s">
        <v>25</v>
      </c>
      <c r="F1232" s="28" t="s">
        <v>14</v>
      </c>
      <c r="G1232" s="38"/>
      <c r="H1232" s="38"/>
      <c r="J1232" s="31">
        <f t="shared" si="3"/>
        <v>0</v>
      </c>
    </row>
    <row r="1233">
      <c r="A1233" s="28">
        <v>21.0</v>
      </c>
      <c r="B1233" s="28">
        <v>16.0</v>
      </c>
      <c r="C1233" s="28">
        <v>53.4946426789053</v>
      </c>
      <c r="D1233" s="28">
        <v>9.99313166980323</v>
      </c>
      <c r="E1233" s="28" t="s">
        <v>25</v>
      </c>
      <c r="F1233" s="28" t="s">
        <v>14</v>
      </c>
      <c r="G1233" s="38"/>
      <c r="H1233" s="38"/>
      <c r="J1233" s="31">
        <f t="shared" si="3"/>
        <v>0</v>
      </c>
    </row>
    <row r="1234">
      <c r="A1234" s="28">
        <v>21.0</v>
      </c>
      <c r="B1234" s="28">
        <v>17.0</v>
      </c>
      <c r="C1234" s="28">
        <v>53.4946301517298</v>
      </c>
      <c r="D1234" s="28">
        <v>9.99337235556481</v>
      </c>
      <c r="E1234" s="28" t="s">
        <v>25</v>
      </c>
      <c r="F1234" s="28" t="s">
        <v>14</v>
      </c>
      <c r="G1234" s="29" t="s">
        <v>164</v>
      </c>
      <c r="H1234" s="35" t="s">
        <v>489</v>
      </c>
      <c r="J1234" s="31">
        <f t="shared" si="3"/>
        <v>133</v>
      </c>
    </row>
    <row r="1235">
      <c r="A1235" s="28">
        <v>21.0</v>
      </c>
      <c r="B1235" s="28">
        <v>18.0</v>
      </c>
      <c r="C1235" s="28">
        <v>53.4946176245543</v>
      </c>
      <c r="D1235" s="28">
        <v>9.99361304125523</v>
      </c>
      <c r="E1235" s="28" t="s">
        <v>25</v>
      </c>
      <c r="F1235" s="28" t="s">
        <v>14</v>
      </c>
      <c r="G1235" s="38"/>
      <c r="H1235" s="38"/>
      <c r="J1235" s="31">
        <f t="shared" si="3"/>
        <v>0</v>
      </c>
    </row>
    <row r="1236">
      <c r="A1236" s="28">
        <v>21.0</v>
      </c>
      <c r="B1236" s="28">
        <v>19.0</v>
      </c>
      <c r="C1236" s="28">
        <v>53.4946050973788</v>
      </c>
      <c r="D1236" s="28">
        <v>9.99385372687447</v>
      </c>
      <c r="E1236" s="28" t="s">
        <v>25</v>
      </c>
      <c r="F1236" s="28" t="s">
        <v>14</v>
      </c>
      <c r="G1236" s="38"/>
      <c r="H1236" s="38"/>
      <c r="J1236" s="31">
        <f t="shared" si="3"/>
        <v>0</v>
      </c>
    </row>
    <row r="1237">
      <c r="A1237" s="28">
        <v>21.0</v>
      </c>
      <c r="B1237" s="28">
        <v>20.0</v>
      </c>
      <c r="C1237" s="28">
        <v>53.4945925702034</v>
      </c>
      <c r="D1237" s="28">
        <v>9.99409441242266</v>
      </c>
      <c r="E1237" s="28" t="s">
        <v>25</v>
      </c>
      <c r="F1237" s="28" t="s">
        <v>14</v>
      </c>
      <c r="G1237" s="29" t="s">
        <v>164</v>
      </c>
      <c r="H1237" s="35" t="s">
        <v>490</v>
      </c>
      <c r="J1237" s="31">
        <f t="shared" si="3"/>
        <v>133</v>
      </c>
    </row>
    <row r="1238">
      <c r="A1238" s="28">
        <v>21.0</v>
      </c>
      <c r="B1238" s="28">
        <v>21.0</v>
      </c>
      <c r="C1238" s="28">
        <v>53.4945800430279</v>
      </c>
      <c r="D1238" s="28">
        <v>9.9943350978998</v>
      </c>
      <c r="E1238" s="28" t="s">
        <v>25</v>
      </c>
      <c r="F1238" s="28" t="s">
        <v>14</v>
      </c>
      <c r="G1238" s="38"/>
      <c r="H1238" s="38"/>
      <c r="J1238" s="31">
        <f t="shared" si="3"/>
        <v>0</v>
      </c>
    </row>
    <row r="1239">
      <c r="A1239" s="28">
        <v>21.0</v>
      </c>
      <c r="B1239" s="28">
        <v>22.0</v>
      </c>
      <c r="C1239" s="28">
        <v>53.4945675158524</v>
      </c>
      <c r="D1239" s="28">
        <v>9.99457578330577</v>
      </c>
      <c r="E1239" s="28" t="s">
        <v>25</v>
      </c>
      <c r="F1239" s="28" t="s">
        <v>14</v>
      </c>
      <c r="G1239" s="38"/>
      <c r="H1239" s="38"/>
      <c r="J1239" s="31">
        <f t="shared" si="3"/>
        <v>0</v>
      </c>
    </row>
    <row r="1240">
      <c r="A1240" s="28">
        <v>21.0</v>
      </c>
      <c r="B1240" s="28">
        <v>23.0</v>
      </c>
      <c r="C1240" s="28">
        <v>53.494554988677</v>
      </c>
      <c r="D1240" s="28">
        <v>9.99481646864069</v>
      </c>
      <c r="E1240" s="28" t="s">
        <v>25</v>
      </c>
      <c r="F1240" s="28" t="s">
        <v>14</v>
      </c>
      <c r="G1240" s="29" t="s">
        <v>164</v>
      </c>
      <c r="H1240" s="35" t="s">
        <v>491</v>
      </c>
      <c r="J1240" s="31">
        <f t="shared" si="3"/>
        <v>133</v>
      </c>
    </row>
    <row r="1241">
      <c r="A1241" s="28">
        <v>21.0</v>
      </c>
      <c r="B1241" s="28">
        <v>24.0</v>
      </c>
      <c r="C1241" s="28">
        <v>53.4945424615015</v>
      </c>
      <c r="D1241" s="28">
        <v>9.99505715390455</v>
      </c>
      <c r="E1241" s="28" t="s">
        <v>15</v>
      </c>
      <c r="F1241" s="28" t="s">
        <v>168</v>
      </c>
      <c r="G1241" s="29" t="s">
        <v>26</v>
      </c>
      <c r="H1241" s="30" t="s">
        <v>492</v>
      </c>
      <c r="J1241" s="31">
        <f t="shared" si="3"/>
        <v>143</v>
      </c>
    </row>
    <row r="1242">
      <c r="A1242" s="28">
        <v>21.0</v>
      </c>
      <c r="B1242" s="28">
        <v>25.0</v>
      </c>
      <c r="C1242" s="28">
        <v>53.494529934326</v>
      </c>
      <c r="D1242" s="28">
        <v>9.99529783909724</v>
      </c>
      <c r="E1242" s="28" t="s">
        <v>15</v>
      </c>
      <c r="F1242" s="28" t="s">
        <v>168</v>
      </c>
      <c r="G1242" s="29" t="s">
        <v>141</v>
      </c>
      <c r="H1242" s="30" t="s">
        <v>493</v>
      </c>
      <c r="J1242" s="31">
        <f t="shared" si="3"/>
        <v>51</v>
      </c>
    </row>
    <row r="1243">
      <c r="A1243" s="28">
        <v>21.0</v>
      </c>
      <c r="B1243" s="28">
        <v>26.0</v>
      </c>
      <c r="C1243" s="28">
        <v>53.4945174071506</v>
      </c>
      <c r="D1243" s="28">
        <v>9.99553852421877</v>
      </c>
      <c r="E1243" s="28" t="s">
        <v>15</v>
      </c>
      <c r="F1243" s="28" t="s">
        <v>168</v>
      </c>
      <c r="G1243" s="29" t="s">
        <v>106</v>
      </c>
      <c r="H1243" s="36" t="s">
        <v>494</v>
      </c>
      <c r="J1243" s="31">
        <f t="shared" si="3"/>
        <v>9</v>
      </c>
    </row>
    <row r="1244">
      <c r="A1244" s="28">
        <v>21.0</v>
      </c>
      <c r="B1244" s="28">
        <v>27.0</v>
      </c>
      <c r="C1244" s="28">
        <v>53.4945048799751</v>
      </c>
      <c r="D1244" s="28">
        <v>9.99577920926924</v>
      </c>
      <c r="E1244" s="28" t="s">
        <v>15</v>
      </c>
      <c r="F1244" s="28" t="s">
        <v>168</v>
      </c>
      <c r="G1244" s="29" t="s">
        <v>315</v>
      </c>
      <c r="H1244" s="36" t="s">
        <v>495</v>
      </c>
      <c r="J1244" s="31">
        <f t="shared" si="3"/>
        <v>10</v>
      </c>
    </row>
    <row r="1245">
      <c r="A1245" s="28">
        <v>21.0</v>
      </c>
      <c r="B1245" s="28">
        <v>28.0</v>
      </c>
      <c r="C1245" s="28">
        <v>53.4944923527996</v>
      </c>
      <c r="D1245" s="28">
        <v>9.99601989424866</v>
      </c>
      <c r="E1245" s="28" t="s">
        <v>25</v>
      </c>
      <c r="F1245" s="28" t="s">
        <v>14</v>
      </c>
      <c r="G1245" s="38"/>
      <c r="H1245" s="38"/>
      <c r="J1245" s="31">
        <f t="shared" si="3"/>
        <v>0</v>
      </c>
    </row>
    <row r="1246">
      <c r="A1246" s="28">
        <v>21.0</v>
      </c>
      <c r="B1246" s="28">
        <v>29.0</v>
      </c>
      <c r="C1246" s="28">
        <v>53.4944798256242</v>
      </c>
      <c r="D1246" s="28">
        <v>9.99626057915691</v>
      </c>
      <c r="E1246" s="28" t="s">
        <v>25</v>
      </c>
      <c r="F1246" s="28" t="s">
        <v>14</v>
      </c>
      <c r="G1246" s="38"/>
      <c r="H1246" s="38"/>
      <c r="J1246" s="31">
        <f t="shared" si="3"/>
        <v>0</v>
      </c>
    </row>
    <row r="1247">
      <c r="A1247" s="28">
        <v>21.0</v>
      </c>
      <c r="B1247" s="28">
        <v>30.0</v>
      </c>
      <c r="C1247" s="28">
        <v>53.4944672984487</v>
      </c>
      <c r="D1247" s="28">
        <v>9.9965012639941</v>
      </c>
      <c r="E1247" s="28" t="s">
        <v>25</v>
      </c>
      <c r="F1247" s="28" t="s">
        <v>14</v>
      </c>
      <c r="G1247" s="38"/>
      <c r="H1247" s="38"/>
      <c r="J1247" s="31">
        <f t="shared" si="3"/>
        <v>0</v>
      </c>
    </row>
    <row r="1248">
      <c r="A1248" s="28">
        <v>21.0</v>
      </c>
      <c r="B1248" s="28">
        <v>31.0</v>
      </c>
      <c r="C1248" s="28">
        <v>53.4944547712733</v>
      </c>
      <c r="D1248" s="28">
        <v>9.99674194876024</v>
      </c>
      <c r="E1248" s="28" t="s">
        <v>25</v>
      </c>
      <c r="F1248" s="28" t="s">
        <v>14</v>
      </c>
      <c r="G1248" s="29" t="s">
        <v>164</v>
      </c>
      <c r="H1248" s="35" t="s">
        <v>496</v>
      </c>
      <c r="J1248" s="31">
        <f t="shared" si="3"/>
        <v>133</v>
      </c>
    </row>
    <row r="1249">
      <c r="A1249" s="28">
        <v>21.0</v>
      </c>
      <c r="B1249" s="28">
        <v>32.0</v>
      </c>
      <c r="C1249" s="28">
        <v>53.4944422440978</v>
      </c>
      <c r="D1249" s="28">
        <v>9.99698263345521</v>
      </c>
      <c r="E1249" s="28" t="s">
        <v>25</v>
      </c>
      <c r="F1249" s="28" t="s">
        <v>14</v>
      </c>
      <c r="G1249" s="38"/>
      <c r="H1249" s="38"/>
      <c r="J1249" s="31">
        <f t="shared" si="3"/>
        <v>0</v>
      </c>
    </row>
    <row r="1250">
      <c r="A1250" s="28">
        <v>21.0</v>
      </c>
      <c r="B1250" s="28">
        <v>33.0</v>
      </c>
      <c r="C1250" s="28">
        <v>53.4944297169223</v>
      </c>
      <c r="D1250" s="28">
        <v>9.99722331807913</v>
      </c>
      <c r="E1250" s="28" t="s">
        <v>25</v>
      </c>
      <c r="F1250" s="28" t="s">
        <v>14</v>
      </c>
      <c r="G1250" s="38"/>
      <c r="H1250" s="38"/>
      <c r="J1250" s="31">
        <f t="shared" si="3"/>
        <v>0</v>
      </c>
    </row>
    <row r="1251">
      <c r="A1251" s="28">
        <v>21.0</v>
      </c>
      <c r="B1251" s="28">
        <v>34.0</v>
      </c>
      <c r="C1251" s="28">
        <v>53.4944171897469</v>
      </c>
      <c r="D1251" s="28">
        <v>9.99746400263188</v>
      </c>
      <c r="E1251" s="28" t="s">
        <v>15</v>
      </c>
      <c r="F1251" s="28" t="s">
        <v>168</v>
      </c>
      <c r="G1251" s="29" t="s">
        <v>201</v>
      </c>
      <c r="H1251" s="30" t="str">
        <f>HYPERLINK("https://www.munzee.com/m/GrimyMitts/1216/", "GrimyMitts/1216")</f>
        <v>GrimyMitts/1216</v>
      </c>
      <c r="J1251" s="31">
        <f t="shared" si="3"/>
        <v>2</v>
      </c>
    </row>
    <row r="1252">
      <c r="A1252" s="28">
        <v>21.0</v>
      </c>
      <c r="B1252" s="28">
        <v>35.0</v>
      </c>
      <c r="C1252" s="28">
        <v>53.4944046625714</v>
      </c>
      <c r="D1252" s="28">
        <v>9.99770468711358</v>
      </c>
      <c r="E1252" s="28" t="s">
        <v>15</v>
      </c>
      <c r="F1252" s="28" t="s">
        <v>168</v>
      </c>
      <c r="G1252" s="29" t="s">
        <v>497</v>
      </c>
      <c r="H1252" s="30" t="str">
        <f>HYPERLINK("https://www.munzee.com/m/hulapalu/418", "hulapalu/418")</f>
        <v>hulapalu/418</v>
      </c>
      <c r="J1252" s="31">
        <f t="shared" si="3"/>
        <v>4</v>
      </c>
    </row>
    <row r="1253">
      <c r="A1253" s="28">
        <v>21.0</v>
      </c>
      <c r="B1253" s="28">
        <v>36.0</v>
      </c>
      <c r="C1253" s="28">
        <v>53.494392135396</v>
      </c>
      <c r="D1253" s="28">
        <v>9.99794537152411</v>
      </c>
      <c r="E1253" s="28" t="s">
        <v>15</v>
      </c>
      <c r="F1253" s="28" t="s">
        <v>168</v>
      </c>
      <c r="G1253" s="29" t="s">
        <v>285</v>
      </c>
      <c r="H1253" s="30" t="str">
        <f>HYPERLINK("https://www.munzee.com/m/fyrsel/1509/", "fyrsel/1509")</f>
        <v>fyrsel/1509</v>
      </c>
      <c r="J1253" s="31">
        <f t="shared" si="3"/>
        <v>3</v>
      </c>
    </row>
    <row r="1254">
      <c r="A1254" s="28">
        <v>21.0</v>
      </c>
      <c r="B1254" s="28">
        <v>37.0</v>
      </c>
      <c r="C1254" s="28">
        <v>53.4943796082205</v>
      </c>
      <c r="D1254" s="28">
        <v>9.99818605586358</v>
      </c>
      <c r="E1254" s="28" t="s">
        <v>15</v>
      </c>
      <c r="F1254" s="28" t="s">
        <v>168</v>
      </c>
      <c r="G1254" s="29" t="s">
        <v>141</v>
      </c>
      <c r="H1254" s="30" t="s">
        <v>498</v>
      </c>
      <c r="J1254" s="31">
        <f t="shared" si="3"/>
        <v>51</v>
      </c>
    </row>
    <row r="1255">
      <c r="A1255" s="28">
        <v>21.0</v>
      </c>
      <c r="B1255" s="28">
        <v>38.0</v>
      </c>
      <c r="C1255" s="28">
        <v>53.494367081045</v>
      </c>
      <c r="D1255" s="28">
        <v>9.99842674013189</v>
      </c>
      <c r="E1255" s="28" t="s">
        <v>25</v>
      </c>
      <c r="F1255" s="28" t="s">
        <v>14</v>
      </c>
      <c r="G1255" s="29" t="s">
        <v>164</v>
      </c>
      <c r="H1255" s="35" t="s">
        <v>499</v>
      </c>
      <c r="J1255" s="31">
        <f t="shared" si="3"/>
        <v>133</v>
      </c>
    </row>
    <row r="1256">
      <c r="A1256" s="28">
        <v>21.0</v>
      </c>
      <c r="B1256" s="28">
        <v>39.0</v>
      </c>
      <c r="C1256" s="28">
        <v>53.4943545538696</v>
      </c>
      <c r="D1256" s="28">
        <v>9.99866742432914</v>
      </c>
      <c r="E1256" s="28" t="s">
        <v>25</v>
      </c>
      <c r="F1256" s="28" t="s">
        <v>14</v>
      </c>
      <c r="G1256" s="38"/>
      <c r="H1256" s="38"/>
      <c r="J1256" s="31">
        <f t="shared" si="3"/>
        <v>0</v>
      </c>
    </row>
    <row r="1257">
      <c r="A1257" s="28">
        <v>21.0</v>
      </c>
      <c r="B1257" s="28">
        <v>40.0</v>
      </c>
      <c r="C1257" s="28">
        <v>53.4943420266941</v>
      </c>
      <c r="D1257" s="28">
        <v>9.99890810845533</v>
      </c>
      <c r="E1257" s="28" t="s">
        <v>25</v>
      </c>
      <c r="F1257" s="28" t="s">
        <v>14</v>
      </c>
      <c r="G1257" s="38"/>
      <c r="H1257" s="38"/>
      <c r="J1257" s="31">
        <f t="shared" si="3"/>
        <v>0</v>
      </c>
    </row>
    <row r="1258">
      <c r="A1258" s="28">
        <v>21.0</v>
      </c>
      <c r="B1258" s="28">
        <v>41.0</v>
      </c>
      <c r="C1258" s="28">
        <v>53.4943294995187</v>
      </c>
      <c r="D1258" s="28">
        <v>9.99914879251036</v>
      </c>
      <c r="E1258" s="28" t="s">
        <v>15</v>
      </c>
      <c r="F1258" s="28" t="s">
        <v>168</v>
      </c>
      <c r="G1258" s="29" t="s">
        <v>141</v>
      </c>
      <c r="H1258" s="30" t="s">
        <v>500</v>
      </c>
      <c r="J1258" s="31">
        <f t="shared" si="3"/>
        <v>51</v>
      </c>
    </row>
    <row r="1259">
      <c r="A1259" s="28">
        <v>21.0</v>
      </c>
      <c r="B1259" s="28">
        <v>42.0</v>
      </c>
      <c r="C1259" s="28">
        <v>53.4943169723432</v>
      </c>
      <c r="D1259" s="28">
        <v>9.99938947649434</v>
      </c>
      <c r="E1259" s="28" t="s">
        <v>25</v>
      </c>
      <c r="F1259" s="28" t="s">
        <v>14</v>
      </c>
      <c r="G1259" s="38"/>
      <c r="H1259" s="38"/>
      <c r="J1259" s="31">
        <f t="shared" si="3"/>
        <v>0</v>
      </c>
    </row>
    <row r="1260">
      <c r="A1260" s="28">
        <v>21.0</v>
      </c>
      <c r="B1260" s="28">
        <v>43.0</v>
      </c>
      <c r="C1260" s="28">
        <v>53.4943044451677</v>
      </c>
      <c r="D1260" s="28">
        <v>9.99963016040715</v>
      </c>
      <c r="E1260" s="28" t="s">
        <v>25</v>
      </c>
      <c r="F1260" s="28" t="s">
        <v>14</v>
      </c>
      <c r="G1260" s="38"/>
      <c r="H1260" s="38"/>
      <c r="J1260" s="31">
        <f t="shared" si="3"/>
        <v>0</v>
      </c>
    </row>
    <row r="1261">
      <c r="A1261" s="28">
        <v>21.0</v>
      </c>
      <c r="B1261" s="28">
        <v>44.0</v>
      </c>
      <c r="C1261" s="28">
        <v>53.4942919179923</v>
      </c>
      <c r="D1261" s="28">
        <v>9.9998708442489</v>
      </c>
      <c r="E1261" s="28" t="s">
        <v>25</v>
      </c>
      <c r="F1261" s="28" t="s">
        <v>14</v>
      </c>
      <c r="G1261" s="38"/>
      <c r="H1261" s="38"/>
      <c r="J1261" s="31">
        <f t="shared" si="3"/>
        <v>0</v>
      </c>
    </row>
    <row r="1262">
      <c r="A1262" s="28">
        <v>21.0</v>
      </c>
      <c r="B1262" s="28">
        <v>45.0</v>
      </c>
      <c r="C1262" s="28">
        <v>53.4942793908168</v>
      </c>
      <c r="D1262" s="28">
        <v>10.0001115280196</v>
      </c>
      <c r="E1262" s="28" t="s">
        <v>25</v>
      </c>
      <c r="F1262" s="28" t="s">
        <v>14</v>
      </c>
      <c r="G1262" s="38"/>
      <c r="H1262" s="38"/>
      <c r="J1262" s="31">
        <f t="shared" si="3"/>
        <v>0</v>
      </c>
    </row>
    <row r="1263">
      <c r="A1263" s="28">
        <v>21.0</v>
      </c>
      <c r="B1263" s="28">
        <v>46.0</v>
      </c>
      <c r="C1263" s="28">
        <v>53.4942668636414</v>
      </c>
      <c r="D1263" s="28">
        <v>10.0003522117191</v>
      </c>
      <c r="E1263" s="28" t="s">
        <v>25</v>
      </c>
      <c r="F1263" s="28" t="s">
        <v>14</v>
      </c>
      <c r="G1263" s="38"/>
      <c r="H1263" s="38"/>
      <c r="J1263" s="31">
        <f t="shared" si="3"/>
        <v>0</v>
      </c>
    </row>
    <row r="1264">
      <c r="A1264" s="28">
        <v>21.0</v>
      </c>
      <c r="B1264" s="28">
        <v>47.0</v>
      </c>
      <c r="C1264" s="28">
        <v>53.4942543364659</v>
      </c>
      <c r="D1264" s="28">
        <v>10.0005928953476</v>
      </c>
      <c r="E1264" s="28" t="s">
        <v>25</v>
      </c>
      <c r="F1264" s="28" t="s">
        <v>14</v>
      </c>
      <c r="G1264" s="38"/>
      <c r="H1264" s="38"/>
      <c r="J1264" s="31">
        <f t="shared" si="3"/>
        <v>0</v>
      </c>
    </row>
    <row r="1265">
      <c r="A1265" s="28">
        <v>21.0</v>
      </c>
      <c r="B1265" s="28">
        <v>48.0</v>
      </c>
      <c r="C1265" s="28">
        <v>53.4942418092904</v>
      </c>
      <c r="D1265" s="28">
        <v>10.000833578905</v>
      </c>
      <c r="E1265" s="28" t="s">
        <v>25</v>
      </c>
      <c r="F1265" s="28" t="s">
        <v>14</v>
      </c>
      <c r="G1265" s="38"/>
      <c r="H1265" s="38"/>
      <c r="J1265" s="31">
        <f t="shared" si="3"/>
        <v>0</v>
      </c>
    </row>
    <row r="1266">
      <c r="A1266" s="28">
        <v>21.0</v>
      </c>
      <c r="B1266" s="28">
        <v>49.0</v>
      </c>
      <c r="C1266" s="28">
        <v>53.494229282115</v>
      </c>
      <c r="D1266" s="28">
        <v>10.0010742623912</v>
      </c>
      <c r="E1266" s="28" t="s">
        <v>25</v>
      </c>
      <c r="F1266" s="28" t="s">
        <v>14</v>
      </c>
      <c r="G1266" s="38"/>
      <c r="H1266" s="38"/>
      <c r="J1266" s="31">
        <f t="shared" si="3"/>
        <v>0</v>
      </c>
    </row>
    <row r="1267">
      <c r="A1267" s="28">
        <v>21.0</v>
      </c>
      <c r="B1267" s="28">
        <v>50.0</v>
      </c>
      <c r="C1267" s="28">
        <v>53.4942167549395</v>
      </c>
      <c r="D1267" s="28">
        <v>10.0013149458063</v>
      </c>
      <c r="E1267" s="28" t="s">
        <v>25</v>
      </c>
      <c r="F1267" s="28" t="s">
        <v>14</v>
      </c>
      <c r="G1267" s="38"/>
      <c r="H1267" s="38"/>
      <c r="J1267" s="31">
        <f t="shared" si="3"/>
        <v>0</v>
      </c>
    </row>
    <row r="1268">
      <c r="A1268" s="28">
        <v>21.0</v>
      </c>
      <c r="B1268" s="28">
        <v>51.0</v>
      </c>
      <c r="C1268" s="28">
        <v>53.4942042277641</v>
      </c>
      <c r="D1268" s="28">
        <v>10.0015556291504</v>
      </c>
      <c r="E1268" s="28" t="s">
        <v>15</v>
      </c>
      <c r="F1268" s="28" t="s">
        <v>168</v>
      </c>
      <c r="G1268" s="29" t="s">
        <v>260</v>
      </c>
      <c r="H1268" s="33" t="s">
        <v>501</v>
      </c>
      <c r="J1268" s="31">
        <f t="shared" si="3"/>
        <v>10</v>
      </c>
    </row>
    <row r="1269">
      <c r="A1269" s="28">
        <v>21.0</v>
      </c>
      <c r="B1269" s="28">
        <v>52.0</v>
      </c>
      <c r="C1269" s="28">
        <v>53.4941917005886</v>
      </c>
      <c r="D1269" s="28">
        <v>10.0017963124233</v>
      </c>
      <c r="E1269" s="28" t="s">
        <v>15</v>
      </c>
      <c r="F1269" s="28" t="s">
        <v>168</v>
      </c>
      <c r="G1269" s="29" t="s">
        <v>261</v>
      </c>
      <c r="H1269" s="33" t="s">
        <v>502</v>
      </c>
      <c r="J1269" s="31">
        <f t="shared" si="3"/>
        <v>10</v>
      </c>
    </row>
    <row r="1270">
      <c r="A1270" s="28">
        <v>21.0</v>
      </c>
      <c r="B1270" s="28">
        <v>53.0</v>
      </c>
      <c r="C1270" s="28">
        <v>53.4941791734131</v>
      </c>
      <c r="D1270" s="28">
        <v>10.0020369956253</v>
      </c>
      <c r="E1270" s="28" t="s">
        <v>15</v>
      </c>
      <c r="F1270" s="28" t="s">
        <v>168</v>
      </c>
      <c r="G1270" s="29" t="s">
        <v>141</v>
      </c>
      <c r="H1270" s="30" t="s">
        <v>503</v>
      </c>
      <c r="J1270" s="31">
        <f t="shared" si="3"/>
        <v>51</v>
      </c>
    </row>
    <row r="1271">
      <c r="A1271" s="28">
        <v>21.0</v>
      </c>
      <c r="B1271" s="28">
        <v>54.0</v>
      </c>
      <c r="C1271" s="28">
        <v>53.4941666462377</v>
      </c>
      <c r="D1271" s="28">
        <v>10.002277678756</v>
      </c>
      <c r="E1271" s="28" t="s">
        <v>15</v>
      </c>
      <c r="F1271" s="28" t="s">
        <v>168</v>
      </c>
      <c r="G1271" s="29" t="s">
        <v>260</v>
      </c>
      <c r="H1271" s="33" t="s">
        <v>504</v>
      </c>
      <c r="J1271" s="31">
        <f t="shared" si="3"/>
        <v>10</v>
      </c>
    </row>
    <row r="1272">
      <c r="A1272" s="28">
        <v>21.0</v>
      </c>
      <c r="B1272" s="28">
        <v>55.0</v>
      </c>
      <c r="C1272" s="28">
        <v>53.4941541190622</v>
      </c>
      <c r="D1272" s="28">
        <v>10.0025183618156</v>
      </c>
      <c r="E1272" s="28" t="s">
        <v>15</v>
      </c>
      <c r="F1272" s="28" t="s">
        <v>168</v>
      </c>
      <c r="G1272" s="29" t="s">
        <v>261</v>
      </c>
      <c r="H1272" s="33" t="s">
        <v>505</v>
      </c>
      <c r="J1272" s="31">
        <f t="shared" si="3"/>
        <v>10</v>
      </c>
    </row>
    <row r="1273">
      <c r="A1273" s="28">
        <v>21.0</v>
      </c>
      <c r="B1273" s="28">
        <v>56.0</v>
      </c>
      <c r="C1273" s="28">
        <v>53.4941415918867</v>
      </c>
      <c r="D1273" s="28">
        <v>10.0027590448041</v>
      </c>
      <c r="E1273" s="28" t="s">
        <v>15</v>
      </c>
      <c r="F1273" s="28" t="s">
        <v>168</v>
      </c>
      <c r="G1273" s="29" t="s">
        <v>141</v>
      </c>
      <c r="H1273" s="30" t="s">
        <v>506</v>
      </c>
      <c r="J1273" s="31">
        <f t="shared" si="3"/>
        <v>51</v>
      </c>
    </row>
    <row r="1274">
      <c r="A1274" s="28">
        <v>21.0</v>
      </c>
      <c r="B1274" s="28">
        <v>57.0</v>
      </c>
      <c r="C1274" s="28">
        <v>53.4941290647113</v>
      </c>
      <c r="D1274" s="28">
        <v>10.0029997277216</v>
      </c>
      <c r="E1274" s="28" t="s">
        <v>15</v>
      </c>
      <c r="F1274" s="28" t="s">
        <v>168</v>
      </c>
      <c r="G1274" s="29" t="s">
        <v>260</v>
      </c>
      <c r="H1274" s="33" t="s">
        <v>507</v>
      </c>
      <c r="J1274" s="31">
        <f t="shared" si="3"/>
        <v>10</v>
      </c>
    </row>
    <row r="1275">
      <c r="A1275" s="28">
        <v>21.0</v>
      </c>
      <c r="B1275" s="28">
        <v>58.0</v>
      </c>
      <c r="C1275" s="28">
        <v>53.4941165375358</v>
      </c>
      <c r="D1275" s="28">
        <v>10.0032404105679</v>
      </c>
      <c r="E1275" s="28" t="s">
        <v>15</v>
      </c>
      <c r="F1275" s="28" t="s">
        <v>168</v>
      </c>
      <c r="G1275" s="29" t="s">
        <v>261</v>
      </c>
      <c r="H1275" s="33" t="s">
        <v>508</v>
      </c>
      <c r="J1275" s="31">
        <f t="shared" si="3"/>
        <v>10</v>
      </c>
    </row>
    <row r="1276">
      <c r="A1276" s="28">
        <v>21.0</v>
      </c>
      <c r="B1276" s="28">
        <v>59.0</v>
      </c>
      <c r="C1276" s="28">
        <v>53.4941040103604</v>
      </c>
      <c r="D1276" s="28">
        <v>10.0034810933432</v>
      </c>
      <c r="E1276" s="28" t="s">
        <v>15</v>
      </c>
      <c r="F1276" s="28" t="s">
        <v>168</v>
      </c>
      <c r="G1276" s="29" t="s">
        <v>56</v>
      </c>
      <c r="H1276" s="30" t="s">
        <v>509</v>
      </c>
      <c r="J1276" s="31">
        <f t="shared" si="3"/>
        <v>55</v>
      </c>
    </row>
    <row r="1277">
      <c r="A1277" s="28">
        <v>21.0</v>
      </c>
      <c r="B1277" s="28">
        <v>60.0</v>
      </c>
      <c r="C1277" s="28">
        <v>53.4940914831849</v>
      </c>
      <c r="D1277" s="28">
        <v>10.0037217760473</v>
      </c>
      <c r="E1277" s="28" t="s">
        <v>25</v>
      </c>
      <c r="F1277" s="28" t="s">
        <v>14</v>
      </c>
      <c r="G1277" s="29" t="s">
        <v>47</v>
      </c>
      <c r="H1277" s="33" t="s">
        <v>510</v>
      </c>
      <c r="J1277" s="31">
        <f t="shared" si="3"/>
        <v>44</v>
      </c>
    </row>
    <row r="1278">
      <c r="A1278" s="28">
        <v>22.0</v>
      </c>
      <c r="B1278" s="28">
        <v>1.0</v>
      </c>
      <c r="C1278" s="28">
        <v>53.4946874030278</v>
      </c>
      <c r="D1278" s="28">
        <v>9.98950031754418</v>
      </c>
      <c r="E1278" s="28" t="s">
        <v>25</v>
      </c>
      <c r="F1278" s="28" t="s">
        <v>14</v>
      </c>
      <c r="G1278" s="29" t="s">
        <v>27</v>
      </c>
      <c r="H1278" s="30" t="str">
        <f>HYPERLINK("https://www.munzee.com/m/DarkHaribo/12243", "DarkHaribo/12243")</f>
        <v>DarkHaribo/12243</v>
      </c>
      <c r="J1278" s="31">
        <f t="shared" si="3"/>
        <v>103</v>
      </c>
    </row>
    <row r="1279">
      <c r="A1279" s="28">
        <v>22.0</v>
      </c>
      <c r="B1279" s="28">
        <v>2.0</v>
      </c>
      <c r="C1279" s="28">
        <v>53.4946748758523</v>
      </c>
      <c r="D1279" s="28">
        <v>9.98974100355951</v>
      </c>
      <c r="E1279" s="28" t="s">
        <v>15</v>
      </c>
      <c r="F1279" s="28" t="s">
        <v>168</v>
      </c>
      <c r="G1279" s="29" t="s">
        <v>260</v>
      </c>
      <c r="H1279" s="33" t="s">
        <v>511</v>
      </c>
      <c r="J1279" s="31">
        <f t="shared" si="3"/>
        <v>10</v>
      </c>
    </row>
    <row r="1280">
      <c r="A1280" s="28">
        <v>22.0</v>
      </c>
      <c r="B1280" s="28">
        <v>3.0</v>
      </c>
      <c r="C1280" s="28">
        <v>53.4946623486768</v>
      </c>
      <c r="D1280" s="28">
        <v>9.98998168950379</v>
      </c>
      <c r="E1280" s="28" t="s">
        <v>15</v>
      </c>
      <c r="F1280" s="28" t="s">
        <v>168</v>
      </c>
      <c r="G1280" s="29" t="s">
        <v>261</v>
      </c>
      <c r="H1280" s="33" t="s">
        <v>512</v>
      </c>
      <c r="J1280" s="31">
        <f t="shared" si="3"/>
        <v>10</v>
      </c>
    </row>
    <row r="1281">
      <c r="A1281" s="28">
        <v>22.0</v>
      </c>
      <c r="B1281" s="28">
        <v>4.0</v>
      </c>
      <c r="C1281" s="28">
        <v>53.4946498215014</v>
      </c>
      <c r="D1281" s="28">
        <v>9.99022237537701</v>
      </c>
      <c r="E1281" s="28" t="s">
        <v>15</v>
      </c>
      <c r="F1281" s="28" t="s">
        <v>168</v>
      </c>
      <c r="G1281" s="29" t="s">
        <v>27</v>
      </c>
      <c r="H1281" s="30" t="str">
        <f>HYPERLINK("https://www.munzee.com/m/DarkHaribo/12433", "DarkHaribo/12433")</f>
        <v>DarkHaribo/12433</v>
      </c>
      <c r="J1281" s="31">
        <f t="shared" si="3"/>
        <v>103</v>
      </c>
    </row>
    <row r="1282">
      <c r="A1282" s="28">
        <v>22.0</v>
      </c>
      <c r="B1282" s="28">
        <v>5.0</v>
      </c>
      <c r="C1282" s="28">
        <v>53.4946372943259</v>
      </c>
      <c r="D1282" s="28">
        <v>9.99046306117907</v>
      </c>
      <c r="E1282" s="28" t="s">
        <v>15</v>
      </c>
      <c r="F1282" s="28" t="s">
        <v>168</v>
      </c>
      <c r="G1282" s="29" t="s">
        <v>260</v>
      </c>
      <c r="H1282" s="33" t="s">
        <v>513</v>
      </c>
      <c r="J1282" s="31">
        <f t="shared" si="3"/>
        <v>10</v>
      </c>
    </row>
    <row r="1283">
      <c r="A1283" s="28">
        <v>22.0</v>
      </c>
      <c r="B1283" s="28">
        <v>6.0</v>
      </c>
      <c r="C1283" s="28">
        <v>53.4946247671504</v>
      </c>
      <c r="D1283" s="28">
        <v>9.99070374690995</v>
      </c>
      <c r="E1283" s="28" t="s">
        <v>15</v>
      </c>
      <c r="F1283" s="28" t="s">
        <v>168</v>
      </c>
      <c r="G1283" s="29" t="s">
        <v>261</v>
      </c>
      <c r="H1283" s="33" t="s">
        <v>514</v>
      </c>
      <c r="J1283" s="31">
        <f t="shared" si="3"/>
        <v>10</v>
      </c>
    </row>
    <row r="1284">
      <c r="A1284" s="28">
        <v>22.0</v>
      </c>
      <c r="B1284" s="28">
        <v>7.0</v>
      </c>
      <c r="C1284" s="28">
        <v>53.4946122399749</v>
      </c>
      <c r="D1284" s="28">
        <v>9.99094443256979</v>
      </c>
      <c r="E1284" s="28" t="s">
        <v>25</v>
      </c>
      <c r="F1284" s="28" t="s">
        <v>14</v>
      </c>
      <c r="G1284" s="38"/>
      <c r="H1284" s="38"/>
      <c r="J1284" s="31">
        <f t="shared" si="3"/>
        <v>0</v>
      </c>
    </row>
    <row r="1285">
      <c r="A1285" s="28">
        <v>22.0</v>
      </c>
      <c r="B1285" s="28">
        <v>8.0</v>
      </c>
      <c r="C1285" s="28">
        <v>53.4945997127995</v>
      </c>
      <c r="D1285" s="28">
        <v>9.99118511815856</v>
      </c>
      <c r="E1285" s="28" t="s">
        <v>25</v>
      </c>
      <c r="F1285" s="28" t="s">
        <v>14</v>
      </c>
      <c r="G1285" s="38"/>
      <c r="H1285" s="38"/>
      <c r="J1285" s="31">
        <f t="shared" si="3"/>
        <v>0</v>
      </c>
    </row>
    <row r="1286">
      <c r="A1286" s="28">
        <v>22.0</v>
      </c>
      <c r="B1286" s="28">
        <v>9.0</v>
      </c>
      <c r="C1286" s="28">
        <v>53.494587185624</v>
      </c>
      <c r="D1286" s="28">
        <v>9.99142580367618</v>
      </c>
      <c r="E1286" s="28" t="s">
        <v>15</v>
      </c>
      <c r="F1286" s="28" t="s">
        <v>168</v>
      </c>
      <c r="G1286" s="29" t="s">
        <v>56</v>
      </c>
      <c r="H1286" s="30" t="s">
        <v>515</v>
      </c>
      <c r="J1286" s="31">
        <f t="shared" si="3"/>
        <v>55</v>
      </c>
    </row>
    <row r="1287">
      <c r="A1287" s="28">
        <v>22.0</v>
      </c>
      <c r="B1287" s="28">
        <v>10.0</v>
      </c>
      <c r="C1287" s="28">
        <v>53.4945746584485</v>
      </c>
      <c r="D1287" s="28">
        <v>9.99166648912273</v>
      </c>
      <c r="E1287" s="28" t="s">
        <v>15</v>
      </c>
      <c r="F1287" s="28" t="s">
        <v>168</v>
      </c>
      <c r="G1287" s="29" t="s">
        <v>27</v>
      </c>
      <c r="H1287" s="30" t="str">
        <f>HYPERLINK("https://www.munzee.com/m/DarkHaribo/12437", "DarkHaribo/12437")</f>
        <v>DarkHaribo/12437</v>
      </c>
      <c r="J1287" s="31">
        <f t="shared" si="3"/>
        <v>103</v>
      </c>
    </row>
    <row r="1288">
      <c r="A1288" s="28">
        <v>22.0</v>
      </c>
      <c r="B1288" s="28">
        <v>11.0</v>
      </c>
      <c r="C1288" s="28">
        <v>53.4945621312731</v>
      </c>
      <c r="D1288" s="28">
        <v>9.99190717449823</v>
      </c>
      <c r="E1288" s="28" t="s">
        <v>15</v>
      </c>
      <c r="F1288" s="28" t="s">
        <v>168</v>
      </c>
      <c r="G1288" s="29" t="s">
        <v>516</v>
      </c>
      <c r="H1288" s="33" t="s">
        <v>517</v>
      </c>
      <c r="J1288" s="31">
        <f t="shared" si="3"/>
        <v>1</v>
      </c>
    </row>
    <row r="1289">
      <c r="A1289" s="28">
        <v>22.0</v>
      </c>
      <c r="B1289" s="28">
        <v>12.0</v>
      </c>
      <c r="C1289" s="28">
        <v>53.4945496040976</v>
      </c>
      <c r="D1289" s="28">
        <v>9.99214785980257</v>
      </c>
      <c r="E1289" s="28" t="s">
        <v>15</v>
      </c>
      <c r="F1289" s="28" t="s">
        <v>168</v>
      </c>
      <c r="G1289" s="29" t="s">
        <v>56</v>
      </c>
      <c r="H1289" s="30" t="s">
        <v>518</v>
      </c>
      <c r="J1289" s="31">
        <f t="shared" si="3"/>
        <v>55</v>
      </c>
    </row>
    <row r="1290">
      <c r="A1290" s="28">
        <v>22.0</v>
      </c>
      <c r="B1290" s="28">
        <v>13.0</v>
      </c>
      <c r="C1290" s="28">
        <v>53.4945370769221</v>
      </c>
      <c r="D1290" s="28">
        <v>9.99238854503585</v>
      </c>
      <c r="E1290" s="28" t="s">
        <v>15</v>
      </c>
      <c r="F1290" s="28" t="s">
        <v>168</v>
      </c>
      <c r="G1290" s="29" t="s">
        <v>27</v>
      </c>
      <c r="H1290" s="30" t="str">
        <f>HYPERLINK("https://www.munzee.com/m/DarkHaribo/12439", "DarkHaribo/12439")</f>
        <v>DarkHaribo/12439</v>
      </c>
      <c r="J1290" s="31">
        <f t="shared" si="3"/>
        <v>103</v>
      </c>
    </row>
    <row r="1291">
      <c r="A1291" s="28">
        <v>22.0</v>
      </c>
      <c r="B1291" s="28">
        <v>14.0</v>
      </c>
      <c r="C1291" s="28">
        <v>53.4945245497467</v>
      </c>
      <c r="D1291" s="28">
        <v>9.99262923019796</v>
      </c>
      <c r="E1291" s="28" t="s">
        <v>15</v>
      </c>
      <c r="F1291" s="28" t="s">
        <v>168</v>
      </c>
      <c r="G1291" s="29" t="s">
        <v>189</v>
      </c>
      <c r="H1291" s="30" t="s">
        <v>519</v>
      </c>
      <c r="J1291" s="31">
        <f t="shared" si="3"/>
        <v>40</v>
      </c>
    </row>
    <row r="1292">
      <c r="A1292" s="28">
        <v>22.0</v>
      </c>
      <c r="B1292" s="28">
        <v>15.0</v>
      </c>
      <c r="C1292" s="28">
        <v>53.4945120225712</v>
      </c>
      <c r="D1292" s="28">
        <v>9.99286991528902</v>
      </c>
      <c r="E1292" s="28" t="s">
        <v>15</v>
      </c>
      <c r="F1292" s="28" t="s">
        <v>168</v>
      </c>
      <c r="G1292" s="29" t="s">
        <v>56</v>
      </c>
      <c r="H1292" s="30" t="s">
        <v>520</v>
      </c>
      <c r="J1292" s="31">
        <f t="shared" si="3"/>
        <v>55</v>
      </c>
    </row>
    <row r="1293">
      <c r="A1293" s="28">
        <v>22.0</v>
      </c>
      <c r="B1293" s="28">
        <v>16.0</v>
      </c>
      <c r="C1293" s="28">
        <v>53.4944994953957</v>
      </c>
      <c r="D1293" s="28">
        <v>9.99311060030891</v>
      </c>
      <c r="E1293" s="28" t="s">
        <v>25</v>
      </c>
      <c r="F1293" s="28" t="s">
        <v>14</v>
      </c>
      <c r="G1293" s="38"/>
      <c r="H1293" s="38"/>
      <c r="J1293" s="31">
        <f t="shared" si="3"/>
        <v>0</v>
      </c>
    </row>
    <row r="1294">
      <c r="A1294" s="28">
        <v>22.0</v>
      </c>
      <c r="B1294" s="28">
        <v>17.0</v>
      </c>
      <c r="C1294" s="28">
        <v>53.4944869682203</v>
      </c>
      <c r="D1294" s="28">
        <v>9.99335128525774</v>
      </c>
      <c r="E1294" s="28" t="s">
        <v>25</v>
      </c>
      <c r="F1294" s="28" t="s">
        <v>14</v>
      </c>
      <c r="G1294" s="38"/>
      <c r="H1294" s="38"/>
      <c r="J1294" s="31">
        <f t="shared" si="3"/>
        <v>0</v>
      </c>
    </row>
    <row r="1295">
      <c r="A1295" s="28">
        <v>22.0</v>
      </c>
      <c r="B1295" s="28">
        <v>18.0</v>
      </c>
      <c r="C1295" s="28">
        <v>53.4944744410448</v>
      </c>
      <c r="D1295" s="28">
        <v>9.99359197013541</v>
      </c>
      <c r="E1295" s="28" t="s">
        <v>25</v>
      </c>
      <c r="F1295" s="28" t="s">
        <v>14</v>
      </c>
      <c r="G1295" s="38"/>
      <c r="H1295" s="38"/>
      <c r="J1295" s="31">
        <f t="shared" si="3"/>
        <v>0</v>
      </c>
    </row>
    <row r="1296">
      <c r="A1296" s="28">
        <v>22.0</v>
      </c>
      <c r="B1296" s="28">
        <v>19.0</v>
      </c>
      <c r="C1296" s="28">
        <v>53.4944619138694</v>
      </c>
      <c r="D1296" s="28">
        <v>9.99383265494202</v>
      </c>
      <c r="E1296" s="28" t="s">
        <v>25</v>
      </c>
      <c r="F1296" s="28" t="s">
        <v>14</v>
      </c>
      <c r="G1296" s="38"/>
      <c r="H1296" s="38"/>
      <c r="J1296" s="31">
        <f t="shared" si="3"/>
        <v>0</v>
      </c>
    </row>
    <row r="1297">
      <c r="A1297" s="28">
        <v>22.0</v>
      </c>
      <c r="B1297" s="28">
        <v>20.0</v>
      </c>
      <c r="C1297" s="28">
        <v>53.4944493866939</v>
      </c>
      <c r="D1297" s="28">
        <v>9.99407333967758</v>
      </c>
      <c r="E1297" s="28" t="s">
        <v>25</v>
      </c>
      <c r="F1297" s="28" t="s">
        <v>14</v>
      </c>
      <c r="G1297" s="38"/>
      <c r="H1297" s="38"/>
      <c r="J1297" s="31">
        <f t="shared" si="3"/>
        <v>0</v>
      </c>
    </row>
    <row r="1298">
      <c r="A1298" s="28">
        <v>22.0</v>
      </c>
      <c r="B1298" s="28">
        <v>21.0</v>
      </c>
      <c r="C1298" s="28">
        <v>53.4944368595184</v>
      </c>
      <c r="D1298" s="28">
        <v>9.99431402434197</v>
      </c>
      <c r="E1298" s="28" t="s">
        <v>25</v>
      </c>
      <c r="F1298" s="28" t="s">
        <v>14</v>
      </c>
      <c r="G1298" s="38"/>
      <c r="H1298" s="38"/>
      <c r="J1298" s="31">
        <f t="shared" si="3"/>
        <v>0</v>
      </c>
    </row>
    <row r="1299">
      <c r="A1299" s="28">
        <v>22.0</v>
      </c>
      <c r="B1299" s="28">
        <v>22.0</v>
      </c>
      <c r="C1299" s="28">
        <v>53.494424332343</v>
      </c>
      <c r="D1299" s="28">
        <v>9.99455470893531</v>
      </c>
      <c r="E1299" s="28" t="s">
        <v>25</v>
      </c>
      <c r="F1299" s="28" t="s">
        <v>14</v>
      </c>
      <c r="G1299" s="38"/>
      <c r="H1299" s="38"/>
      <c r="J1299" s="31">
        <f t="shared" si="3"/>
        <v>0</v>
      </c>
    </row>
    <row r="1300">
      <c r="A1300" s="28">
        <v>22.0</v>
      </c>
      <c r="B1300" s="28">
        <v>23.0</v>
      </c>
      <c r="C1300" s="28">
        <v>53.4944118051675</v>
      </c>
      <c r="D1300" s="28">
        <v>9.99479539345748</v>
      </c>
      <c r="E1300" s="28" t="s">
        <v>15</v>
      </c>
      <c r="F1300" s="28" t="s">
        <v>168</v>
      </c>
      <c r="G1300" s="29" t="s">
        <v>189</v>
      </c>
      <c r="H1300" s="30" t="s">
        <v>521</v>
      </c>
      <c r="J1300" s="31">
        <f t="shared" si="3"/>
        <v>40</v>
      </c>
    </row>
    <row r="1301">
      <c r="A1301" s="28">
        <v>22.0</v>
      </c>
      <c r="B1301" s="28">
        <v>24.0</v>
      </c>
      <c r="C1301" s="28">
        <v>53.494399277992</v>
      </c>
      <c r="D1301" s="28">
        <v>9.99503607790859</v>
      </c>
      <c r="E1301" s="28" t="s">
        <v>15</v>
      </c>
      <c r="F1301" s="28" t="s">
        <v>168</v>
      </c>
      <c r="G1301" s="29" t="s">
        <v>522</v>
      </c>
      <c r="H1301" s="30" t="str">
        <f>HYPERLINK("https://www.munzee.com/m/Matiee/99/", "Matiee/99")</f>
        <v>Matiee/99</v>
      </c>
      <c r="J1301" s="31">
        <f t="shared" si="3"/>
        <v>1</v>
      </c>
    </row>
    <row r="1302">
      <c r="A1302" s="28">
        <v>22.0</v>
      </c>
      <c r="B1302" s="28">
        <v>25.0</v>
      </c>
      <c r="C1302" s="28">
        <v>53.4943867508166</v>
      </c>
      <c r="D1302" s="28">
        <v>9.99527676228854</v>
      </c>
      <c r="E1302" s="28" t="s">
        <v>15</v>
      </c>
      <c r="F1302" s="28" t="s">
        <v>168</v>
      </c>
      <c r="G1302" s="29" t="s">
        <v>27</v>
      </c>
      <c r="H1302" s="30" t="str">
        <f>HYPERLINK("https://www.munzee.com/m/DarkHaribo/12445", "DarkHaribo/12445")</f>
        <v>DarkHaribo/12445</v>
      </c>
      <c r="J1302" s="31">
        <f t="shared" si="3"/>
        <v>103</v>
      </c>
    </row>
    <row r="1303">
      <c r="A1303" s="28">
        <v>22.0</v>
      </c>
      <c r="B1303" s="28">
        <v>26.0</v>
      </c>
      <c r="C1303" s="28">
        <v>53.4943742236411</v>
      </c>
      <c r="D1303" s="28">
        <v>9.99551744659743</v>
      </c>
      <c r="E1303" s="28" t="s">
        <v>15</v>
      </c>
      <c r="F1303" s="28" t="s">
        <v>168</v>
      </c>
      <c r="G1303" s="29" t="s">
        <v>189</v>
      </c>
      <c r="H1303" s="30" t="s">
        <v>523</v>
      </c>
      <c r="J1303" s="31">
        <f t="shared" si="3"/>
        <v>40</v>
      </c>
    </row>
    <row r="1304">
      <c r="A1304" s="28">
        <v>22.0</v>
      </c>
      <c r="B1304" s="28">
        <v>27.0</v>
      </c>
      <c r="C1304" s="28">
        <v>53.4943616964657</v>
      </c>
      <c r="D1304" s="28">
        <v>9.99575813083527</v>
      </c>
      <c r="E1304" s="28" t="s">
        <v>15</v>
      </c>
      <c r="F1304" s="28" t="s">
        <v>168</v>
      </c>
      <c r="G1304" s="29" t="s">
        <v>92</v>
      </c>
      <c r="H1304" s="30" t="s">
        <v>524</v>
      </c>
      <c r="J1304" s="31">
        <f t="shared" si="3"/>
        <v>9</v>
      </c>
    </row>
    <row r="1305">
      <c r="A1305" s="28">
        <v>22.0</v>
      </c>
      <c r="B1305" s="28">
        <v>28.0</v>
      </c>
      <c r="C1305" s="28">
        <v>53.4943491692902</v>
      </c>
      <c r="D1305" s="28">
        <v>9.99599881500194</v>
      </c>
      <c r="E1305" s="28" t="s">
        <v>15</v>
      </c>
      <c r="F1305" s="28" t="s">
        <v>168</v>
      </c>
      <c r="G1305" s="29" t="s">
        <v>27</v>
      </c>
      <c r="H1305" s="30" t="str">
        <f>HYPERLINK("https://www.munzee.com/m/DarkHaribo/12697", "DarkHaribo/12697")</f>
        <v>DarkHaribo/12697</v>
      </c>
      <c r="J1305" s="31">
        <f t="shared" si="3"/>
        <v>103</v>
      </c>
    </row>
    <row r="1306">
      <c r="A1306" s="28">
        <v>22.0</v>
      </c>
      <c r="B1306" s="28">
        <v>29.0</v>
      </c>
      <c r="C1306" s="28">
        <v>53.4943366421148</v>
      </c>
      <c r="D1306" s="28">
        <v>9.99623949909755</v>
      </c>
      <c r="E1306" s="28" t="s">
        <v>25</v>
      </c>
      <c r="F1306" s="28" t="s">
        <v>14</v>
      </c>
      <c r="G1306" s="38"/>
      <c r="H1306" s="38"/>
      <c r="J1306" s="31">
        <f t="shared" si="3"/>
        <v>0</v>
      </c>
    </row>
    <row r="1307">
      <c r="A1307" s="28">
        <v>22.0</v>
      </c>
      <c r="B1307" s="28">
        <v>30.0</v>
      </c>
      <c r="C1307" s="28">
        <v>53.4943241149393</v>
      </c>
      <c r="D1307" s="28">
        <v>9.996480183122</v>
      </c>
      <c r="E1307" s="28" t="s">
        <v>25</v>
      </c>
      <c r="F1307" s="28" t="s">
        <v>14</v>
      </c>
      <c r="G1307" s="38"/>
      <c r="H1307" s="38"/>
      <c r="J1307" s="31">
        <f t="shared" si="3"/>
        <v>0</v>
      </c>
    </row>
    <row r="1308">
      <c r="A1308" s="28">
        <v>22.0</v>
      </c>
      <c r="B1308" s="28">
        <v>31.0</v>
      </c>
      <c r="C1308" s="28">
        <v>53.4943115877638</v>
      </c>
      <c r="D1308" s="28">
        <v>9.99672086707539</v>
      </c>
      <c r="E1308" s="28" t="s">
        <v>25</v>
      </c>
      <c r="F1308" s="28" t="s">
        <v>14</v>
      </c>
      <c r="G1308" s="38"/>
      <c r="H1308" s="38"/>
      <c r="J1308" s="31">
        <f t="shared" si="3"/>
        <v>0</v>
      </c>
    </row>
    <row r="1309">
      <c r="A1309" s="28">
        <v>22.0</v>
      </c>
      <c r="B1309" s="28">
        <v>32.0</v>
      </c>
      <c r="C1309" s="28">
        <v>53.4942990605884</v>
      </c>
      <c r="D1309" s="28">
        <v>9.99696155095773</v>
      </c>
      <c r="E1309" s="28" t="s">
        <v>25</v>
      </c>
      <c r="F1309" s="28" t="s">
        <v>14</v>
      </c>
      <c r="G1309" s="38"/>
      <c r="H1309" s="38"/>
      <c r="J1309" s="31">
        <f t="shared" si="3"/>
        <v>0</v>
      </c>
    </row>
    <row r="1310">
      <c r="A1310" s="28">
        <v>22.0</v>
      </c>
      <c r="B1310" s="28">
        <v>33.0</v>
      </c>
      <c r="C1310" s="28">
        <v>53.4942865334129</v>
      </c>
      <c r="D1310" s="28">
        <v>9.9972022347689</v>
      </c>
      <c r="E1310" s="28" t="s">
        <v>15</v>
      </c>
      <c r="F1310" s="28" t="s">
        <v>168</v>
      </c>
      <c r="G1310" s="29" t="s">
        <v>189</v>
      </c>
      <c r="H1310" s="30" t="s">
        <v>525</v>
      </c>
      <c r="J1310" s="31">
        <f t="shared" si="3"/>
        <v>40</v>
      </c>
    </row>
    <row r="1311">
      <c r="A1311" s="28">
        <v>22.0</v>
      </c>
      <c r="B1311" s="28">
        <v>34.0</v>
      </c>
      <c r="C1311" s="28">
        <v>53.4942740062375</v>
      </c>
      <c r="D1311" s="28">
        <v>9.99744291850902</v>
      </c>
      <c r="E1311" s="28" t="s">
        <v>15</v>
      </c>
      <c r="F1311" s="28" t="s">
        <v>168</v>
      </c>
      <c r="G1311" s="29" t="s">
        <v>526</v>
      </c>
      <c r="H1311" s="30" t="str">
        <f>HYPERLINK("https://www.munzee.com/m/5Star/5338/", "5Star/5338")</f>
        <v>5Star/5338</v>
      </c>
      <c r="J1311" s="31">
        <f t="shared" si="3"/>
        <v>1</v>
      </c>
    </row>
    <row r="1312">
      <c r="A1312" s="28">
        <v>22.0</v>
      </c>
      <c r="B1312" s="28">
        <v>35.0</v>
      </c>
      <c r="C1312" s="28">
        <v>53.494261479062</v>
      </c>
      <c r="D1312" s="28">
        <v>9.99768360217808</v>
      </c>
      <c r="E1312" s="28" t="s">
        <v>15</v>
      </c>
      <c r="F1312" s="28" t="s">
        <v>168</v>
      </c>
      <c r="G1312" s="29" t="s">
        <v>246</v>
      </c>
      <c r="H1312" s="30" t="str">
        <f>HYPERLINK("https://www.munzee.com/m/Muskratmarie/4810", "Muskratmarie/4810")</f>
        <v>Muskratmarie/4810</v>
      </c>
      <c r="J1312" s="31">
        <f t="shared" si="3"/>
        <v>3</v>
      </c>
    </row>
    <row r="1313">
      <c r="A1313" s="28">
        <v>22.0</v>
      </c>
      <c r="B1313" s="28">
        <v>36.0</v>
      </c>
      <c r="C1313" s="28">
        <v>53.4942489518866</v>
      </c>
      <c r="D1313" s="28">
        <v>9.99792428577598</v>
      </c>
      <c r="E1313" s="28" t="s">
        <v>15</v>
      </c>
      <c r="F1313" s="28" t="s">
        <v>168</v>
      </c>
      <c r="G1313" s="29" t="s">
        <v>106</v>
      </c>
      <c r="H1313" s="36" t="s">
        <v>527</v>
      </c>
      <c r="J1313" s="31">
        <f t="shared" si="3"/>
        <v>9</v>
      </c>
    </row>
    <row r="1314">
      <c r="A1314" s="28">
        <v>22.0</v>
      </c>
      <c r="B1314" s="28">
        <v>37.0</v>
      </c>
      <c r="C1314" s="28">
        <v>53.4942364247111</v>
      </c>
      <c r="D1314" s="28">
        <v>9.9981649693027</v>
      </c>
      <c r="E1314" s="28" t="s">
        <v>15</v>
      </c>
      <c r="F1314" s="28" t="s">
        <v>168</v>
      </c>
      <c r="G1314" s="29" t="s">
        <v>189</v>
      </c>
      <c r="H1314" s="30" t="s">
        <v>528</v>
      </c>
      <c r="J1314" s="31">
        <f t="shared" si="3"/>
        <v>40</v>
      </c>
    </row>
    <row r="1315">
      <c r="A1315" s="28">
        <v>22.0</v>
      </c>
      <c r="B1315" s="28">
        <v>38.0</v>
      </c>
      <c r="C1315" s="28">
        <v>53.4942238975356</v>
      </c>
      <c r="D1315" s="28">
        <v>9.99840565275837</v>
      </c>
      <c r="E1315" s="28" t="s">
        <v>15</v>
      </c>
      <c r="F1315" s="28" t="s">
        <v>168</v>
      </c>
      <c r="G1315" s="29" t="s">
        <v>92</v>
      </c>
      <c r="H1315" s="30" t="s">
        <v>529</v>
      </c>
      <c r="J1315" s="31">
        <f t="shared" si="3"/>
        <v>9</v>
      </c>
    </row>
    <row r="1316">
      <c r="A1316" s="28">
        <v>22.0</v>
      </c>
      <c r="B1316" s="28">
        <v>39.0</v>
      </c>
      <c r="C1316" s="28">
        <v>53.4942113703602</v>
      </c>
      <c r="D1316" s="28">
        <v>9.99864633614299</v>
      </c>
      <c r="E1316" s="28" t="s">
        <v>25</v>
      </c>
      <c r="F1316" s="28" t="s">
        <v>14</v>
      </c>
      <c r="G1316" s="38"/>
      <c r="H1316" s="38"/>
      <c r="J1316" s="31">
        <f t="shared" si="3"/>
        <v>0</v>
      </c>
    </row>
    <row r="1317">
      <c r="A1317" s="28">
        <v>22.0</v>
      </c>
      <c r="B1317" s="28">
        <v>40.0</v>
      </c>
      <c r="C1317" s="28">
        <v>53.4941988431847</v>
      </c>
      <c r="D1317" s="28">
        <v>9.99888701945656</v>
      </c>
      <c r="E1317" s="28" t="s">
        <v>25</v>
      </c>
      <c r="F1317" s="28" t="s">
        <v>14</v>
      </c>
      <c r="G1317" s="38"/>
      <c r="H1317" s="38"/>
      <c r="J1317" s="31">
        <f t="shared" si="3"/>
        <v>0</v>
      </c>
    </row>
    <row r="1318">
      <c r="A1318" s="28">
        <v>22.0</v>
      </c>
      <c r="B1318" s="28">
        <v>41.0</v>
      </c>
      <c r="C1318" s="28">
        <v>53.4941863160093</v>
      </c>
      <c r="D1318" s="28">
        <v>9.99912770269895</v>
      </c>
      <c r="E1318" s="28" t="s">
        <v>25</v>
      </c>
      <c r="F1318" s="28" t="s">
        <v>14</v>
      </c>
      <c r="G1318" s="29" t="s">
        <v>92</v>
      </c>
      <c r="H1318" s="30" t="s">
        <v>530</v>
      </c>
      <c r="J1318" s="31">
        <f t="shared" si="3"/>
        <v>9</v>
      </c>
    </row>
    <row r="1319">
      <c r="A1319" s="28">
        <v>22.0</v>
      </c>
      <c r="B1319" s="28">
        <v>42.0</v>
      </c>
      <c r="C1319" s="28">
        <v>53.4941737888338</v>
      </c>
      <c r="D1319" s="28">
        <v>9.99936838587018</v>
      </c>
      <c r="E1319" s="28" t="s">
        <v>25</v>
      </c>
      <c r="F1319" s="28" t="s">
        <v>14</v>
      </c>
      <c r="G1319" s="38"/>
      <c r="H1319" s="38"/>
      <c r="J1319" s="31">
        <f t="shared" si="3"/>
        <v>0</v>
      </c>
    </row>
    <row r="1320">
      <c r="A1320" s="28">
        <v>22.0</v>
      </c>
      <c r="B1320" s="28">
        <v>43.0</v>
      </c>
      <c r="C1320" s="28">
        <v>53.4941612616584</v>
      </c>
      <c r="D1320" s="28">
        <v>9.99960906897035</v>
      </c>
      <c r="E1320" s="28" t="s">
        <v>25</v>
      </c>
      <c r="F1320" s="28" t="s">
        <v>14</v>
      </c>
      <c r="G1320" s="38"/>
      <c r="H1320" s="38"/>
      <c r="J1320" s="31">
        <f t="shared" si="3"/>
        <v>0</v>
      </c>
    </row>
    <row r="1321">
      <c r="A1321" s="28">
        <v>22.0</v>
      </c>
      <c r="B1321" s="28">
        <v>44.0</v>
      </c>
      <c r="C1321" s="28">
        <v>53.4941487344829</v>
      </c>
      <c r="D1321" s="28">
        <v>9.99984975199947</v>
      </c>
      <c r="E1321" s="28" t="s">
        <v>25</v>
      </c>
      <c r="F1321" s="28" t="s">
        <v>14</v>
      </c>
      <c r="G1321" s="38"/>
      <c r="H1321" s="38"/>
      <c r="J1321" s="31">
        <f t="shared" si="3"/>
        <v>0</v>
      </c>
    </row>
    <row r="1322">
      <c r="A1322" s="28">
        <v>22.0</v>
      </c>
      <c r="B1322" s="28">
        <v>45.0</v>
      </c>
      <c r="C1322" s="28">
        <v>53.4941362073074</v>
      </c>
      <c r="D1322" s="28">
        <v>10.0000904349574</v>
      </c>
      <c r="E1322" s="28" t="s">
        <v>25</v>
      </c>
      <c r="F1322" s="28" t="s">
        <v>14</v>
      </c>
      <c r="G1322" s="38"/>
      <c r="H1322" s="38"/>
      <c r="J1322" s="31">
        <f t="shared" si="3"/>
        <v>0</v>
      </c>
    </row>
    <row r="1323">
      <c r="A1323" s="28">
        <v>22.0</v>
      </c>
      <c r="B1323" s="28">
        <v>46.0</v>
      </c>
      <c r="C1323" s="28">
        <v>53.494123680132</v>
      </c>
      <c r="D1323" s="28">
        <v>10.0003311178443</v>
      </c>
      <c r="E1323" s="28" t="s">
        <v>25</v>
      </c>
      <c r="F1323" s="28" t="s">
        <v>14</v>
      </c>
      <c r="G1323" s="38"/>
      <c r="H1323" s="38"/>
      <c r="J1323" s="31">
        <f t="shared" si="3"/>
        <v>0</v>
      </c>
    </row>
    <row r="1324">
      <c r="A1324" s="28">
        <v>22.0</v>
      </c>
      <c r="B1324" s="28">
        <v>47.0</v>
      </c>
      <c r="C1324" s="28">
        <v>53.4941111529565</v>
      </c>
      <c r="D1324" s="28">
        <v>10.00057180066</v>
      </c>
      <c r="E1324" s="28" t="s">
        <v>25</v>
      </c>
      <c r="F1324" s="28" t="s">
        <v>14</v>
      </c>
      <c r="G1324" s="38"/>
      <c r="H1324" s="38"/>
      <c r="J1324" s="31">
        <f t="shared" si="3"/>
        <v>0</v>
      </c>
    </row>
    <row r="1325">
      <c r="A1325" s="28">
        <v>22.0</v>
      </c>
      <c r="B1325" s="28">
        <v>48.0</v>
      </c>
      <c r="C1325" s="28">
        <v>53.4940986257811</v>
      </c>
      <c r="D1325" s="28">
        <v>10.0008124834047</v>
      </c>
      <c r="E1325" s="28" t="s">
        <v>15</v>
      </c>
      <c r="F1325" s="28" t="s">
        <v>168</v>
      </c>
      <c r="G1325" s="29" t="s">
        <v>189</v>
      </c>
      <c r="H1325" s="30" t="s">
        <v>531</v>
      </c>
      <c r="J1325" s="31">
        <f t="shared" si="3"/>
        <v>40</v>
      </c>
    </row>
    <row r="1326">
      <c r="A1326" s="28">
        <v>22.0</v>
      </c>
      <c r="B1326" s="28">
        <v>49.0</v>
      </c>
      <c r="C1326" s="28">
        <v>53.4940860986056</v>
      </c>
      <c r="D1326" s="28">
        <v>10.0010531660783</v>
      </c>
      <c r="E1326" s="28" t="s">
        <v>15</v>
      </c>
      <c r="F1326" s="28" t="s">
        <v>168</v>
      </c>
      <c r="G1326" s="29" t="s">
        <v>532</v>
      </c>
      <c r="H1326" s="33" t="s">
        <v>533</v>
      </c>
      <c r="J1326" s="31">
        <f t="shared" si="3"/>
        <v>4</v>
      </c>
    </row>
    <row r="1327">
      <c r="A1327" s="28">
        <v>22.0</v>
      </c>
      <c r="B1327" s="28">
        <v>50.0</v>
      </c>
      <c r="C1327" s="28">
        <v>53.4940735714302</v>
      </c>
      <c r="D1327" s="28">
        <v>10.0012938486808</v>
      </c>
      <c r="E1327" s="28" t="s">
        <v>15</v>
      </c>
      <c r="F1327" s="28" t="s">
        <v>168</v>
      </c>
      <c r="G1327" s="29" t="s">
        <v>534</v>
      </c>
      <c r="H1327" s="30" t="s">
        <v>535</v>
      </c>
      <c r="J1327" s="31">
        <f t="shared" si="3"/>
        <v>1</v>
      </c>
    </row>
    <row r="1328">
      <c r="A1328" s="28">
        <v>22.0</v>
      </c>
      <c r="B1328" s="28">
        <v>51.0</v>
      </c>
      <c r="C1328" s="28">
        <v>53.4940610442547</v>
      </c>
      <c r="D1328" s="28">
        <v>10.0015345312122</v>
      </c>
      <c r="E1328" s="28" t="s">
        <v>15</v>
      </c>
      <c r="F1328" s="28" t="s">
        <v>168</v>
      </c>
      <c r="G1328" s="29" t="s">
        <v>189</v>
      </c>
      <c r="H1328" s="30" t="s">
        <v>536</v>
      </c>
      <c r="J1328" s="31">
        <f t="shared" si="3"/>
        <v>40</v>
      </c>
    </row>
    <row r="1329">
      <c r="A1329" s="28">
        <v>22.0</v>
      </c>
      <c r="B1329" s="28">
        <v>52.0</v>
      </c>
      <c r="C1329" s="28">
        <v>53.4940485170792</v>
      </c>
      <c r="D1329" s="28">
        <v>10.0017752136725</v>
      </c>
      <c r="E1329" s="28" t="s">
        <v>15</v>
      </c>
      <c r="F1329" s="28" t="s">
        <v>168</v>
      </c>
      <c r="G1329" s="29" t="s">
        <v>532</v>
      </c>
      <c r="H1329" s="33" t="s">
        <v>537</v>
      </c>
      <c r="J1329" s="31">
        <f t="shared" si="3"/>
        <v>4</v>
      </c>
    </row>
    <row r="1330">
      <c r="A1330" s="28">
        <v>22.0</v>
      </c>
      <c r="B1330" s="28">
        <v>53.0</v>
      </c>
      <c r="C1330" s="28">
        <v>53.4940359899038</v>
      </c>
      <c r="D1330" s="28">
        <v>10.0020158960617</v>
      </c>
      <c r="E1330" s="28" t="s">
        <v>15</v>
      </c>
      <c r="F1330" s="28" t="s">
        <v>168</v>
      </c>
      <c r="G1330" s="29" t="s">
        <v>92</v>
      </c>
      <c r="H1330" s="30" t="s">
        <v>538</v>
      </c>
      <c r="J1330" s="31">
        <f t="shared" si="3"/>
        <v>9</v>
      </c>
    </row>
    <row r="1331">
      <c r="A1331" s="28">
        <v>22.0</v>
      </c>
      <c r="B1331" s="28">
        <v>54.0</v>
      </c>
      <c r="C1331" s="28">
        <v>53.4940234627283</v>
      </c>
      <c r="D1331" s="28">
        <v>10.0022565783798</v>
      </c>
      <c r="E1331" s="28" t="s">
        <v>15</v>
      </c>
      <c r="F1331" s="28" t="s">
        <v>168</v>
      </c>
      <c r="G1331" s="29" t="s">
        <v>189</v>
      </c>
      <c r="H1331" s="30" t="s">
        <v>539</v>
      </c>
      <c r="J1331" s="31">
        <f t="shared" si="3"/>
        <v>40</v>
      </c>
    </row>
    <row r="1332">
      <c r="A1332" s="28">
        <v>22.0</v>
      </c>
      <c r="B1332" s="28">
        <v>55.0</v>
      </c>
      <c r="C1332" s="28">
        <v>53.4940109355529</v>
      </c>
      <c r="D1332" s="28">
        <v>10.0024972606267</v>
      </c>
      <c r="E1332" s="28" t="s">
        <v>15</v>
      </c>
      <c r="F1332" s="28" t="s">
        <v>168</v>
      </c>
      <c r="G1332" s="29" t="s">
        <v>532</v>
      </c>
      <c r="H1332" s="33" t="s">
        <v>540</v>
      </c>
      <c r="J1332" s="31">
        <f t="shared" si="3"/>
        <v>4</v>
      </c>
    </row>
    <row r="1333">
      <c r="A1333" s="28">
        <v>22.0</v>
      </c>
      <c r="B1333" s="28">
        <v>56.0</v>
      </c>
      <c r="C1333" s="28">
        <v>53.4939984083774</v>
      </c>
      <c r="D1333" s="28">
        <v>10.0027379428026</v>
      </c>
      <c r="E1333" s="28" t="s">
        <v>15</v>
      </c>
      <c r="F1333" s="28" t="s">
        <v>168</v>
      </c>
      <c r="G1333" s="29" t="s">
        <v>92</v>
      </c>
      <c r="H1333" s="30" t="s">
        <v>541</v>
      </c>
      <c r="J1333" s="31">
        <f t="shared" si="3"/>
        <v>9</v>
      </c>
    </row>
    <row r="1334">
      <c r="A1334" s="28">
        <v>22.0</v>
      </c>
      <c r="B1334" s="28">
        <v>57.0</v>
      </c>
      <c r="C1334" s="28">
        <v>53.4939858812019</v>
      </c>
      <c r="D1334" s="28">
        <v>10.0029786249074</v>
      </c>
      <c r="E1334" s="28" t="s">
        <v>15</v>
      </c>
      <c r="F1334" s="28" t="s">
        <v>168</v>
      </c>
      <c r="G1334" s="29" t="s">
        <v>189</v>
      </c>
      <c r="H1334" s="30" t="s">
        <v>542</v>
      </c>
      <c r="J1334" s="31">
        <f t="shared" si="3"/>
        <v>40</v>
      </c>
    </row>
    <row r="1335">
      <c r="A1335" s="28">
        <v>22.0</v>
      </c>
      <c r="B1335" s="28">
        <v>58.0</v>
      </c>
      <c r="C1335" s="28">
        <v>53.4939733540265</v>
      </c>
      <c r="D1335" s="28">
        <v>10.0032193069411</v>
      </c>
      <c r="E1335" s="28" t="s">
        <v>15</v>
      </c>
      <c r="F1335" s="28" t="s">
        <v>168</v>
      </c>
      <c r="G1335" s="29" t="s">
        <v>532</v>
      </c>
      <c r="H1335" s="33" t="s">
        <v>543</v>
      </c>
      <c r="J1335" s="31">
        <f t="shared" si="3"/>
        <v>4</v>
      </c>
    </row>
    <row r="1336">
      <c r="A1336" s="28">
        <v>22.0</v>
      </c>
      <c r="B1336" s="28">
        <v>59.0</v>
      </c>
      <c r="C1336" s="28">
        <v>53.4939608268511</v>
      </c>
      <c r="D1336" s="28">
        <v>10.0034599889037</v>
      </c>
      <c r="E1336" s="28" t="s">
        <v>15</v>
      </c>
      <c r="F1336" s="28" t="s">
        <v>168</v>
      </c>
      <c r="G1336" s="29" t="s">
        <v>92</v>
      </c>
      <c r="H1336" s="30" t="s">
        <v>544</v>
      </c>
      <c r="J1336" s="31">
        <f t="shared" si="3"/>
        <v>9</v>
      </c>
    </row>
    <row r="1337">
      <c r="A1337" s="28">
        <v>22.0</v>
      </c>
      <c r="B1337" s="28">
        <v>60.0</v>
      </c>
      <c r="C1337" s="28">
        <v>53.4939482996756</v>
      </c>
      <c r="D1337" s="28">
        <v>10.0037006707951</v>
      </c>
      <c r="E1337" s="28" t="s">
        <v>25</v>
      </c>
      <c r="F1337" s="28" t="s">
        <v>14</v>
      </c>
      <c r="G1337" s="29" t="s">
        <v>27</v>
      </c>
      <c r="H1337" s="30" t="str">
        <f>HYPERLINK("https://www.munzee.com/m/DarkHaribo/12625", "DarkHaribo/12625")</f>
        <v>DarkHaribo/12625</v>
      </c>
      <c r="J1337" s="31">
        <f t="shared" si="3"/>
        <v>103</v>
      </c>
    </row>
    <row r="1338">
      <c r="A1338" s="28">
        <v>23.0</v>
      </c>
      <c r="B1338" s="28">
        <v>1.0</v>
      </c>
      <c r="C1338" s="28">
        <v>53.4945442195182</v>
      </c>
      <c r="D1338" s="28">
        <v>9.98947926031121</v>
      </c>
      <c r="E1338" s="28" t="s">
        <v>25</v>
      </c>
      <c r="F1338" s="28" t="s">
        <v>14</v>
      </c>
      <c r="G1338" s="29" t="s">
        <v>545</v>
      </c>
      <c r="H1338" s="33" t="s">
        <v>546</v>
      </c>
      <c r="J1338" s="31">
        <f t="shared" si="3"/>
        <v>12</v>
      </c>
    </row>
    <row r="1339">
      <c r="A1339" s="28">
        <v>23.0</v>
      </c>
      <c r="B1339" s="28">
        <v>2.0</v>
      </c>
      <c r="C1339" s="28">
        <v>53.4945316923427</v>
      </c>
      <c r="D1339" s="28">
        <v>9.98971994551391</v>
      </c>
      <c r="E1339" s="28" t="s">
        <v>15</v>
      </c>
      <c r="F1339" s="28" t="s">
        <v>168</v>
      </c>
      <c r="G1339" s="29" t="s">
        <v>189</v>
      </c>
      <c r="H1339" s="30" t="s">
        <v>547</v>
      </c>
      <c r="J1339" s="31">
        <f t="shared" si="3"/>
        <v>40</v>
      </c>
    </row>
    <row r="1340">
      <c r="A1340" s="28">
        <v>23.0</v>
      </c>
      <c r="B1340" s="28">
        <v>3.0</v>
      </c>
      <c r="C1340" s="28">
        <v>53.4945191651673</v>
      </c>
      <c r="D1340" s="28">
        <v>9.98996063064555</v>
      </c>
      <c r="E1340" s="28" t="s">
        <v>15</v>
      </c>
      <c r="F1340" s="28" t="s">
        <v>168</v>
      </c>
      <c r="G1340" s="29" t="s">
        <v>320</v>
      </c>
      <c r="H1340" s="33" t="s">
        <v>548</v>
      </c>
      <c r="J1340" s="31">
        <f t="shared" si="3"/>
        <v>2</v>
      </c>
    </row>
    <row r="1341">
      <c r="A1341" s="28">
        <v>23.0</v>
      </c>
      <c r="B1341" s="28">
        <v>4.0</v>
      </c>
      <c r="C1341" s="28">
        <v>53.4945066379918</v>
      </c>
      <c r="D1341" s="28">
        <v>9.99020131570603</v>
      </c>
      <c r="E1341" s="28" t="s">
        <v>15</v>
      </c>
      <c r="F1341" s="28" t="s">
        <v>168</v>
      </c>
      <c r="G1341" s="29" t="s">
        <v>94</v>
      </c>
      <c r="H1341" s="33" t="s">
        <v>549</v>
      </c>
      <c r="J1341" s="31">
        <f t="shared" si="3"/>
        <v>42</v>
      </c>
    </row>
    <row r="1342">
      <c r="A1342" s="28">
        <v>23.0</v>
      </c>
      <c r="B1342" s="28">
        <v>5.0</v>
      </c>
      <c r="C1342" s="28">
        <v>53.4944941108163</v>
      </c>
      <c r="D1342" s="28">
        <v>9.99044200069533</v>
      </c>
      <c r="E1342" s="28" t="s">
        <v>15</v>
      </c>
      <c r="F1342" s="28" t="s">
        <v>168</v>
      </c>
      <c r="G1342" s="29" t="s">
        <v>189</v>
      </c>
      <c r="H1342" s="30" t="s">
        <v>550</v>
      </c>
      <c r="J1342" s="31">
        <f t="shared" si="3"/>
        <v>40</v>
      </c>
    </row>
    <row r="1343">
      <c r="A1343" s="28">
        <v>23.0</v>
      </c>
      <c r="B1343" s="28">
        <v>6.0</v>
      </c>
      <c r="C1343" s="28">
        <v>53.4944815836409</v>
      </c>
      <c r="D1343" s="28">
        <v>9.99068268561359</v>
      </c>
      <c r="E1343" s="28" t="s">
        <v>15</v>
      </c>
      <c r="F1343" s="28" t="s">
        <v>168</v>
      </c>
      <c r="G1343" s="29" t="s">
        <v>551</v>
      </c>
      <c r="H1343" s="33" t="s">
        <v>552</v>
      </c>
      <c r="J1343" s="31">
        <f t="shared" si="3"/>
        <v>2</v>
      </c>
    </row>
    <row r="1344">
      <c r="A1344" s="28">
        <v>23.0</v>
      </c>
      <c r="B1344" s="28">
        <v>7.0</v>
      </c>
      <c r="C1344" s="28">
        <v>53.4944690564654</v>
      </c>
      <c r="D1344" s="28">
        <v>9.99092337046079</v>
      </c>
      <c r="E1344" s="28" t="s">
        <v>15</v>
      </c>
      <c r="F1344" s="28" t="s">
        <v>168</v>
      </c>
      <c r="G1344" s="29" t="s">
        <v>94</v>
      </c>
      <c r="H1344" s="33" t="s">
        <v>553</v>
      </c>
      <c r="J1344" s="31">
        <f t="shared" si="3"/>
        <v>42</v>
      </c>
    </row>
    <row r="1345">
      <c r="A1345" s="28">
        <v>23.0</v>
      </c>
      <c r="B1345" s="28">
        <v>8.0</v>
      </c>
      <c r="C1345" s="28">
        <v>53.49445652929</v>
      </c>
      <c r="D1345" s="28">
        <v>9.99116405523682</v>
      </c>
      <c r="E1345" s="28" t="s">
        <v>15</v>
      </c>
      <c r="F1345" s="28" t="s">
        <v>168</v>
      </c>
      <c r="G1345" s="29" t="s">
        <v>189</v>
      </c>
      <c r="H1345" s="30" t="s">
        <v>554</v>
      </c>
      <c r="J1345" s="31">
        <f t="shared" si="3"/>
        <v>40</v>
      </c>
    </row>
    <row r="1346">
      <c r="A1346" s="28">
        <v>23.0</v>
      </c>
      <c r="B1346" s="28">
        <v>9.0</v>
      </c>
      <c r="C1346" s="28">
        <v>53.4944440021146</v>
      </c>
      <c r="D1346" s="28">
        <v>9.9914047399418</v>
      </c>
      <c r="E1346" s="28" t="s">
        <v>15</v>
      </c>
      <c r="F1346" s="28" t="s">
        <v>168</v>
      </c>
      <c r="G1346" s="29" t="s">
        <v>545</v>
      </c>
      <c r="H1346" s="33" t="s">
        <v>555</v>
      </c>
      <c r="J1346" s="31">
        <f t="shared" si="3"/>
        <v>12</v>
      </c>
    </row>
    <row r="1347">
      <c r="A1347" s="28">
        <v>23.0</v>
      </c>
      <c r="B1347" s="28">
        <v>10.0</v>
      </c>
      <c r="C1347" s="28">
        <v>53.4944314749391</v>
      </c>
      <c r="D1347" s="28">
        <v>9.9916454245756</v>
      </c>
      <c r="E1347" s="28" t="s">
        <v>15</v>
      </c>
      <c r="F1347" s="28" t="s">
        <v>168</v>
      </c>
      <c r="G1347" s="29" t="s">
        <v>94</v>
      </c>
      <c r="H1347" s="33" t="s">
        <v>556</v>
      </c>
      <c r="J1347" s="31">
        <f t="shared" si="3"/>
        <v>42</v>
      </c>
    </row>
    <row r="1348">
      <c r="A1348" s="28">
        <v>23.0</v>
      </c>
      <c r="B1348" s="28">
        <v>11.0</v>
      </c>
      <c r="C1348" s="28">
        <v>53.4944189477636</v>
      </c>
      <c r="D1348" s="28">
        <v>9.99188610913836</v>
      </c>
      <c r="E1348" s="28" t="s">
        <v>15</v>
      </c>
      <c r="F1348" s="28" t="s">
        <v>168</v>
      </c>
      <c r="G1348" s="29" t="s">
        <v>189</v>
      </c>
      <c r="H1348" s="30" t="s">
        <v>557</v>
      </c>
      <c r="J1348" s="31">
        <f t="shared" si="3"/>
        <v>40</v>
      </c>
    </row>
    <row r="1349">
      <c r="A1349" s="28">
        <v>23.0</v>
      </c>
      <c r="B1349" s="28">
        <v>12.0</v>
      </c>
      <c r="C1349" s="28">
        <v>53.4944064205882</v>
      </c>
      <c r="D1349" s="28">
        <v>9.99212679362995</v>
      </c>
      <c r="E1349" s="28" t="s">
        <v>15</v>
      </c>
      <c r="F1349" s="28" t="s">
        <v>168</v>
      </c>
      <c r="G1349" s="29" t="s">
        <v>545</v>
      </c>
      <c r="H1349" s="33" t="s">
        <v>558</v>
      </c>
      <c r="J1349" s="31">
        <f t="shared" si="3"/>
        <v>12</v>
      </c>
    </row>
    <row r="1350">
      <c r="A1350" s="28">
        <v>23.0</v>
      </c>
      <c r="B1350" s="28">
        <v>13.0</v>
      </c>
      <c r="C1350" s="28">
        <v>53.4943938934127</v>
      </c>
      <c r="D1350" s="28">
        <v>9.99236747805048</v>
      </c>
      <c r="E1350" s="28" t="s">
        <v>15</v>
      </c>
      <c r="F1350" s="28" t="s">
        <v>168</v>
      </c>
      <c r="G1350" s="29" t="s">
        <v>94</v>
      </c>
      <c r="H1350" s="33" t="s">
        <v>559</v>
      </c>
      <c r="J1350" s="31">
        <f t="shared" si="3"/>
        <v>42</v>
      </c>
    </row>
    <row r="1351">
      <c r="A1351" s="28">
        <v>23.0</v>
      </c>
      <c r="B1351" s="28">
        <v>14.0</v>
      </c>
      <c r="C1351" s="28">
        <v>53.4943813662373</v>
      </c>
      <c r="D1351" s="28">
        <v>9.99260816239996</v>
      </c>
      <c r="E1351" s="28" t="s">
        <v>15</v>
      </c>
      <c r="F1351" s="28" t="s">
        <v>168</v>
      </c>
      <c r="G1351" s="29" t="s">
        <v>560</v>
      </c>
      <c r="H1351" s="30" t="s">
        <v>561</v>
      </c>
      <c r="J1351" s="31">
        <f t="shared" si="3"/>
        <v>1</v>
      </c>
    </row>
    <row r="1352">
      <c r="A1352" s="28">
        <v>23.0</v>
      </c>
      <c r="B1352" s="28">
        <v>15.0</v>
      </c>
      <c r="C1352" s="28">
        <v>53.4943688390618</v>
      </c>
      <c r="D1352" s="28">
        <v>9.99284884667827</v>
      </c>
      <c r="E1352" s="28" t="s">
        <v>15</v>
      </c>
      <c r="F1352" s="28" t="s">
        <v>168</v>
      </c>
      <c r="G1352" s="29" t="s">
        <v>545</v>
      </c>
      <c r="H1352" s="33" t="s">
        <v>562</v>
      </c>
      <c r="J1352" s="31">
        <f t="shared" si="3"/>
        <v>12</v>
      </c>
    </row>
    <row r="1353">
      <c r="A1353" s="28">
        <v>23.0</v>
      </c>
      <c r="B1353" s="28">
        <v>16.0</v>
      </c>
      <c r="C1353" s="28">
        <v>53.4943563118863</v>
      </c>
      <c r="D1353" s="28">
        <v>9.99308953088552</v>
      </c>
      <c r="E1353" s="28" t="s">
        <v>15</v>
      </c>
      <c r="F1353" s="28" t="s">
        <v>168</v>
      </c>
      <c r="G1353" s="29" t="s">
        <v>94</v>
      </c>
      <c r="H1353" s="33" t="s">
        <v>563</v>
      </c>
      <c r="J1353" s="31">
        <f t="shared" si="3"/>
        <v>42</v>
      </c>
    </row>
    <row r="1354">
      <c r="A1354" s="28">
        <v>23.0</v>
      </c>
      <c r="B1354" s="28">
        <v>17.0</v>
      </c>
      <c r="C1354" s="28">
        <v>53.4943437847109</v>
      </c>
      <c r="D1354" s="28">
        <v>9.99333021502161</v>
      </c>
      <c r="E1354" s="28" t="s">
        <v>25</v>
      </c>
      <c r="F1354" s="28" t="s">
        <v>14</v>
      </c>
      <c r="G1354" s="38"/>
      <c r="H1354" s="38"/>
      <c r="J1354" s="31">
        <f t="shared" si="3"/>
        <v>0</v>
      </c>
    </row>
    <row r="1355">
      <c r="A1355" s="28">
        <v>23.0</v>
      </c>
      <c r="B1355" s="28">
        <v>18.0</v>
      </c>
      <c r="C1355" s="28">
        <v>53.4943312575354</v>
      </c>
      <c r="D1355" s="28">
        <v>9.99357089908664</v>
      </c>
      <c r="E1355" s="28" t="s">
        <v>25</v>
      </c>
      <c r="F1355" s="28" t="s">
        <v>14</v>
      </c>
      <c r="G1355" s="29" t="s">
        <v>545</v>
      </c>
      <c r="H1355" s="33" t="s">
        <v>564</v>
      </c>
      <c r="J1355" s="31">
        <f t="shared" si="3"/>
        <v>12</v>
      </c>
    </row>
    <row r="1356">
      <c r="A1356" s="28">
        <v>23.0</v>
      </c>
      <c r="B1356" s="28">
        <v>19.0</v>
      </c>
      <c r="C1356" s="28">
        <v>53.49431873036</v>
      </c>
      <c r="D1356" s="28">
        <v>9.99381158308062</v>
      </c>
      <c r="E1356" s="28" t="s">
        <v>25</v>
      </c>
      <c r="F1356" s="28" t="s">
        <v>14</v>
      </c>
      <c r="G1356" s="38"/>
      <c r="H1356" s="38"/>
      <c r="J1356" s="31">
        <f t="shared" si="3"/>
        <v>0</v>
      </c>
    </row>
    <row r="1357">
      <c r="A1357" s="28">
        <v>23.0</v>
      </c>
      <c r="B1357" s="28">
        <v>20.0</v>
      </c>
      <c r="C1357" s="28">
        <v>53.4943062031845</v>
      </c>
      <c r="D1357" s="28">
        <v>9.99405226700344</v>
      </c>
      <c r="E1357" s="28" t="s">
        <v>25</v>
      </c>
      <c r="F1357" s="28" t="s">
        <v>14</v>
      </c>
      <c r="G1357" s="38"/>
      <c r="H1357" s="38"/>
      <c r="J1357" s="31">
        <f t="shared" si="3"/>
        <v>0</v>
      </c>
    </row>
    <row r="1358">
      <c r="A1358" s="28">
        <v>23.0</v>
      </c>
      <c r="B1358" s="28">
        <v>21.0</v>
      </c>
      <c r="C1358" s="28">
        <v>53.4942936760091</v>
      </c>
      <c r="D1358" s="28">
        <v>9.99429295085519</v>
      </c>
      <c r="E1358" s="28" t="s">
        <v>25</v>
      </c>
      <c r="F1358" s="28" t="s">
        <v>14</v>
      </c>
      <c r="G1358" s="29" t="s">
        <v>545</v>
      </c>
      <c r="H1358" s="33" t="s">
        <v>565</v>
      </c>
      <c r="J1358" s="31">
        <f t="shared" si="3"/>
        <v>12</v>
      </c>
    </row>
    <row r="1359">
      <c r="A1359" s="28">
        <v>23.0</v>
      </c>
      <c r="B1359" s="28">
        <v>22.0</v>
      </c>
      <c r="C1359" s="28">
        <v>53.4942811488336</v>
      </c>
      <c r="D1359" s="28">
        <v>9.9945336346359</v>
      </c>
      <c r="E1359" s="28" t="s">
        <v>25</v>
      </c>
      <c r="F1359" s="28" t="s">
        <v>14</v>
      </c>
      <c r="G1359" s="38"/>
      <c r="H1359" s="38"/>
      <c r="J1359" s="31">
        <f t="shared" si="3"/>
        <v>0</v>
      </c>
    </row>
    <row r="1360">
      <c r="A1360" s="28">
        <v>23.0</v>
      </c>
      <c r="B1360" s="28">
        <v>23.0</v>
      </c>
      <c r="C1360" s="28">
        <v>53.4942686216582</v>
      </c>
      <c r="D1360" s="28">
        <v>9.99477431834543</v>
      </c>
      <c r="E1360" s="28" t="s">
        <v>15</v>
      </c>
      <c r="F1360" s="28" t="s">
        <v>168</v>
      </c>
      <c r="G1360" s="29" t="s">
        <v>94</v>
      </c>
      <c r="H1360" s="33" t="s">
        <v>566</v>
      </c>
      <c r="J1360" s="31">
        <f t="shared" si="3"/>
        <v>42</v>
      </c>
    </row>
    <row r="1361">
      <c r="A1361" s="28">
        <v>23.0</v>
      </c>
      <c r="B1361" s="28">
        <v>24.0</v>
      </c>
      <c r="C1361" s="28">
        <v>53.4942560944827</v>
      </c>
      <c r="D1361" s="28">
        <v>9.9950150019838</v>
      </c>
      <c r="E1361" s="28" t="s">
        <v>15</v>
      </c>
      <c r="F1361" s="28" t="s">
        <v>168</v>
      </c>
      <c r="G1361" s="29" t="s">
        <v>545</v>
      </c>
      <c r="H1361" s="33" t="s">
        <v>567</v>
      </c>
      <c r="J1361" s="31">
        <f t="shared" si="3"/>
        <v>12</v>
      </c>
    </row>
    <row r="1362">
      <c r="A1362" s="28">
        <v>23.0</v>
      </c>
      <c r="B1362" s="28">
        <v>25.0</v>
      </c>
      <c r="C1362" s="28">
        <v>53.4942435673072</v>
      </c>
      <c r="D1362" s="28">
        <v>9.99525568555111</v>
      </c>
      <c r="E1362" s="28" t="s">
        <v>15</v>
      </c>
      <c r="F1362" s="28" t="s">
        <v>168</v>
      </c>
      <c r="G1362" s="29" t="s">
        <v>568</v>
      </c>
      <c r="H1362" s="30" t="s">
        <v>569</v>
      </c>
      <c r="J1362" s="31">
        <f t="shared" si="3"/>
        <v>4</v>
      </c>
    </row>
    <row r="1363">
      <c r="A1363" s="28">
        <v>23.0</v>
      </c>
      <c r="B1363" s="28">
        <v>26.0</v>
      </c>
      <c r="C1363" s="28">
        <v>53.4942310401318</v>
      </c>
      <c r="D1363" s="28">
        <v>9.99549636904737</v>
      </c>
      <c r="E1363" s="28" t="s">
        <v>15</v>
      </c>
      <c r="F1363" s="28" t="s">
        <v>168</v>
      </c>
      <c r="G1363" s="29" t="s">
        <v>94</v>
      </c>
      <c r="H1363" s="33" t="s">
        <v>570</v>
      </c>
      <c r="J1363" s="31">
        <f t="shared" si="3"/>
        <v>42</v>
      </c>
    </row>
    <row r="1364">
      <c r="A1364" s="28">
        <v>23.0</v>
      </c>
      <c r="B1364" s="28">
        <v>27.0</v>
      </c>
      <c r="C1364" s="28">
        <v>53.4942185129563</v>
      </c>
      <c r="D1364" s="28">
        <v>9.99573705247257</v>
      </c>
      <c r="E1364" s="28" t="s">
        <v>15</v>
      </c>
      <c r="F1364" s="28" t="s">
        <v>168</v>
      </c>
      <c r="G1364" s="29" t="s">
        <v>545</v>
      </c>
      <c r="H1364" s="33" t="s">
        <v>571</v>
      </c>
      <c r="J1364" s="31">
        <f t="shared" si="3"/>
        <v>12</v>
      </c>
    </row>
    <row r="1365">
      <c r="A1365" s="28">
        <v>23.0</v>
      </c>
      <c r="B1365" s="28">
        <v>28.0</v>
      </c>
      <c r="C1365" s="28">
        <v>53.4942059857809</v>
      </c>
      <c r="D1365" s="28">
        <v>9.99597773582661</v>
      </c>
      <c r="E1365" s="28" t="s">
        <v>15</v>
      </c>
      <c r="F1365" s="28" t="s">
        <v>168</v>
      </c>
      <c r="G1365" s="29" t="s">
        <v>164</v>
      </c>
      <c r="H1365" s="35" t="s">
        <v>572</v>
      </c>
      <c r="J1365" s="31">
        <f t="shared" si="3"/>
        <v>133</v>
      </c>
    </row>
    <row r="1366">
      <c r="A1366" s="28">
        <v>23.0</v>
      </c>
      <c r="B1366" s="28">
        <v>29.0</v>
      </c>
      <c r="C1366" s="28">
        <v>53.4941934586054</v>
      </c>
      <c r="D1366" s="28">
        <v>9.99621841910948</v>
      </c>
      <c r="E1366" s="28" t="s">
        <v>25</v>
      </c>
      <c r="F1366" s="28" t="s">
        <v>14</v>
      </c>
      <c r="G1366" s="38"/>
      <c r="H1366" s="38"/>
      <c r="J1366" s="31">
        <f t="shared" si="3"/>
        <v>0</v>
      </c>
    </row>
    <row r="1367">
      <c r="A1367" s="28">
        <v>23.0</v>
      </c>
      <c r="B1367" s="28">
        <v>30.0</v>
      </c>
      <c r="C1367" s="28">
        <v>53.49418093143</v>
      </c>
      <c r="D1367" s="28">
        <v>9.99645910232129</v>
      </c>
      <c r="E1367" s="28" t="s">
        <v>25</v>
      </c>
      <c r="F1367" s="28" t="s">
        <v>14</v>
      </c>
      <c r="G1367" s="38"/>
      <c r="H1367" s="38"/>
      <c r="J1367" s="31">
        <f t="shared" si="3"/>
        <v>0</v>
      </c>
    </row>
    <row r="1368">
      <c r="A1368" s="28">
        <v>23.0</v>
      </c>
      <c r="B1368" s="28">
        <v>31.0</v>
      </c>
      <c r="C1368" s="28">
        <v>53.4941684042545</v>
      </c>
      <c r="D1368" s="28">
        <v>9.99669978546205</v>
      </c>
      <c r="E1368" s="28" t="s">
        <v>25</v>
      </c>
      <c r="F1368" s="28" t="s">
        <v>14</v>
      </c>
      <c r="G1368" s="38"/>
      <c r="H1368" s="38"/>
      <c r="J1368" s="31">
        <f t="shared" si="3"/>
        <v>0</v>
      </c>
    </row>
    <row r="1369">
      <c r="A1369" s="28">
        <v>23.0</v>
      </c>
      <c r="B1369" s="28">
        <v>32.0</v>
      </c>
      <c r="C1369" s="28">
        <v>53.494155877079</v>
      </c>
      <c r="D1369" s="28">
        <v>9.99694046853164</v>
      </c>
      <c r="E1369" s="28" t="s">
        <v>25</v>
      </c>
      <c r="F1369" s="28" t="s">
        <v>14</v>
      </c>
      <c r="G1369" s="29" t="s">
        <v>545</v>
      </c>
      <c r="H1369" s="33" t="s">
        <v>573</v>
      </c>
      <c r="J1369" s="31">
        <f t="shared" si="3"/>
        <v>12</v>
      </c>
    </row>
    <row r="1370">
      <c r="A1370" s="28">
        <v>23.0</v>
      </c>
      <c r="B1370" s="28">
        <v>33.0</v>
      </c>
      <c r="C1370" s="28">
        <v>53.4941433499036</v>
      </c>
      <c r="D1370" s="28">
        <v>9.99718115153018</v>
      </c>
      <c r="E1370" s="28" t="s">
        <v>15</v>
      </c>
      <c r="F1370" s="28" t="s">
        <v>168</v>
      </c>
      <c r="G1370" s="29" t="s">
        <v>418</v>
      </c>
      <c r="H1370" s="33" t="s">
        <v>574</v>
      </c>
      <c r="J1370" s="31">
        <f t="shared" si="3"/>
        <v>7</v>
      </c>
    </row>
    <row r="1371">
      <c r="A1371" s="28">
        <v>23.0</v>
      </c>
      <c r="B1371" s="28">
        <v>34.0</v>
      </c>
      <c r="C1371" s="28">
        <v>53.4941308227281</v>
      </c>
      <c r="D1371" s="28">
        <v>9.99742183445755</v>
      </c>
      <c r="E1371" s="28" t="s">
        <v>15</v>
      </c>
      <c r="F1371" s="28" t="s">
        <v>168</v>
      </c>
      <c r="G1371" s="29" t="s">
        <v>179</v>
      </c>
      <c r="H1371" s="30" t="str">
        <f>HYPERLINK("https://www.munzee.com/m/123xilef/4627/", "123xilef/4627")</f>
        <v>123xilef/4627</v>
      </c>
      <c r="J1371" s="31">
        <f t="shared" si="3"/>
        <v>8</v>
      </c>
    </row>
    <row r="1372">
      <c r="A1372" s="28">
        <v>23.0</v>
      </c>
      <c r="B1372" s="28">
        <v>35.0</v>
      </c>
      <c r="C1372" s="28">
        <v>53.4941182955527</v>
      </c>
      <c r="D1372" s="28">
        <v>9.99766251731387</v>
      </c>
      <c r="E1372" s="28" t="s">
        <v>15</v>
      </c>
      <c r="F1372" s="28" t="s">
        <v>168</v>
      </c>
      <c r="G1372" s="29" t="s">
        <v>94</v>
      </c>
      <c r="H1372" s="33" t="s">
        <v>575</v>
      </c>
      <c r="J1372" s="31">
        <f t="shared" si="3"/>
        <v>42</v>
      </c>
    </row>
    <row r="1373">
      <c r="A1373" s="28">
        <v>23.0</v>
      </c>
      <c r="B1373" s="28">
        <v>36.0</v>
      </c>
      <c r="C1373" s="28">
        <v>53.4941057683772</v>
      </c>
      <c r="D1373" s="28">
        <v>9.99790320009913</v>
      </c>
      <c r="E1373" s="28" t="s">
        <v>15</v>
      </c>
      <c r="F1373" s="28" t="s">
        <v>168</v>
      </c>
      <c r="G1373" s="29" t="s">
        <v>418</v>
      </c>
      <c r="H1373" s="33" t="s">
        <v>576</v>
      </c>
      <c r="J1373" s="31">
        <f t="shared" si="3"/>
        <v>7</v>
      </c>
    </row>
    <row r="1374">
      <c r="A1374" s="28">
        <v>23.0</v>
      </c>
      <c r="B1374" s="28">
        <v>37.0</v>
      </c>
      <c r="C1374" s="28">
        <v>53.4940932412018</v>
      </c>
      <c r="D1374" s="28">
        <v>9.99814388281322</v>
      </c>
      <c r="E1374" s="28" t="s">
        <v>15</v>
      </c>
      <c r="F1374" s="28" t="s">
        <v>168</v>
      </c>
      <c r="G1374" s="29" t="s">
        <v>179</v>
      </c>
      <c r="H1374" s="30" t="str">
        <f>HYPERLINK("https://www.munzee.com/m/123xilef/4626/", "123xilef/4626")</f>
        <v>123xilef/4626</v>
      </c>
      <c r="J1374" s="31">
        <f t="shared" si="3"/>
        <v>8</v>
      </c>
    </row>
    <row r="1375">
      <c r="A1375" s="28">
        <v>23.0</v>
      </c>
      <c r="B1375" s="28">
        <v>38.0</v>
      </c>
      <c r="C1375" s="28">
        <v>53.4940807140263</v>
      </c>
      <c r="D1375" s="28">
        <v>9.99838456545626</v>
      </c>
      <c r="E1375" s="28" t="s">
        <v>15</v>
      </c>
      <c r="F1375" s="28" t="s">
        <v>168</v>
      </c>
      <c r="G1375" s="29" t="s">
        <v>94</v>
      </c>
      <c r="H1375" s="33" t="s">
        <v>577</v>
      </c>
      <c r="J1375" s="31">
        <f t="shared" si="3"/>
        <v>42</v>
      </c>
    </row>
    <row r="1376">
      <c r="A1376" s="28">
        <v>23.0</v>
      </c>
      <c r="B1376" s="28">
        <v>39.0</v>
      </c>
      <c r="C1376" s="28">
        <v>53.4940681868509</v>
      </c>
      <c r="D1376" s="28">
        <v>9.99862524802824</v>
      </c>
      <c r="E1376" s="28" t="s">
        <v>25</v>
      </c>
      <c r="F1376" s="28" t="s">
        <v>14</v>
      </c>
      <c r="G1376" s="29" t="s">
        <v>545</v>
      </c>
      <c r="H1376" s="33" t="s">
        <v>578</v>
      </c>
      <c r="J1376" s="31">
        <f t="shared" si="3"/>
        <v>12</v>
      </c>
    </row>
    <row r="1377">
      <c r="A1377" s="28">
        <v>23.0</v>
      </c>
      <c r="B1377" s="28">
        <v>40.0</v>
      </c>
      <c r="C1377" s="28">
        <v>53.4940556596754</v>
      </c>
      <c r="D1377" s="28">
        <v>9.99886593052906</v>
      </c>
      <c r="E1377" s="28" t="s">
        <v>25</v>
      </c>
      <c r="F1377" s="28" t="s">
        <v>14</v>
      </c>
      <c r="G1377" s="38"/>
      <c r="H1377" s="38"/>
      <c r="J1377" s="31">
        <f t="shared" si="3"/>
        <v>0</v>
      </c>
    </row>
    <row r="1378">
      <c r="A1378" s="28">
        <v>23.0</v>
      </c>
      <c r="B1378" s="28">
        <v>41.0</v>
      </c>
      <c r="C1378" s="28">
        <v>53.4940431325</v>
      </c>
      <c r="D1378" s="28">
        <v>9.99910661295882</v>
      </c>
      <c r="E1378" s="28" t="s">
        <v>25</v>
      </c>
      <c r="F1378" s="28" t="s">
        <v>14</v>
      </c>
      <c r="G1378" s="38"/>
      <c r="H1378" s="38"/>
      <c r="J1378" s="31">
        <f t="shared" si="3"/>
        <v>0</v>
      </c>
    </row>
    <row r="1379">
      <c r="A1379" s="28">
        <v>23.0</v>
      </c>
      <c r="B1379" s="28">
        <v>42.0</v>
      </c>
      <c r="C1379" s="28">
        <v>53.4940306053245</v>
      </c>
      <c r="D1379" s="28">
        <v>9.99934729531742</v>
      </c>
      <c r="E1379" s="28" t="s">
        <v>25</v>
      </c>
      <c r="F1379" s="28" t="s">
        <v>14</v>
      </c>
      <c r="G1379" s="38"/>
      <c r="H1379" s="38"/>
      <c r="J1379" s="31">
        <f t="shared" si="3"/>
        <v>0</v>
      </c>
    </row>
    <row r="1380">
      <c r="A1380" s="28">
        <v>23.0</v>
      </c>
      <c r="B1380" s="28">
        <v>43.0</v>
      </c>
      <c r="C1380" s="28">
        <v>53.4940180781491</v>
      </c>
      <c r="D1380" s="28">
        <v>9.99958797760496</v>
      </c>
      <c r="E1380" s="28" t="s">
        <v>25</v>
      </c>
      <c r="F1380" s="28" t="s">
        <v>14</v>
      </c>
      <c r="G1380" s="38"/>
      <c r="H1380" s="38"/>
      <c r="J1380" s="31">
        <f t="shared" si="3"/>
        <v>0</v>
      </c>
    </row>
    <row r="1381">
      <c r="A1381" s="28">
        <v>23.0</v>
      </c>
      <c r="B1381" s="28">
        <v>44.0</v>
      </c>
      <c r="C1381" s="28">
        <v>53.4940055509736</v>
      </c>
      <c r="D1381" s="28">
        <v>9.99982865982133</v>
      </c>
      <c r="E1381" s="28" t="s">
        <v>25</v>
      </c>
      <c r="F1381" s="28" t="s">
        <v>14</v>
      </c>
      <c r="G1381" s="38"/>
      <c r="H1381" s="38"/>
      <c r="J1381" s="31">
        <f t="shared" si="3"/>
        <v>0</v>
      </c>
    </row>
    <row r="1382">
      <c r="A1382" s="28">
        <v>23.0</v>
      </c>
      <c r="B1382" s="28">
        <v>45.0</v>
      </c>
      <c r="C1382" s="28">
        <v>53.4939930237982</v>
      </c>
      <c r="D1382" s="28">
        <v>10.0000693419666</v>
      </c>
      <c r="E1382" s="28" t="s">
        <v>25</v>
      </c>
      <c r="F1382" s="28" t="s">
        <v>14</v>
      </c>
      <c r="G1382" s="38"/>
      <c r="H1382" s="38"/>
      <c r="J1382" s="31">
        <f t="shared" si="3"/>
        <v>0</v>
      </c>
    </row>
    <row r="1383">
      <c r="A1383" s="28">
        <v>23.0</v>
      </c>
      <c r="B1383" s="28">
        <v>46.0</v>
      </c>
      <c r="C1383" s="28">
        <v>53.4939804966227</v>
      </c>
      <c r="D1383" s="28">
        <v>10.0003100240409</v>
      </c>
      <c r="E1383" s="28" t="s">
        <v>25</v>
      </c>
      <c r="F1383" s="28" t="s">
        <v>14</v>
      </c>
      <c r="G1383" s="38"/>
      <c r="H1383" s="38"/>
      <c r="J1383" s="31">
        <f t="shared" si="3"/>
        <v>0</v>
      </c>
    </row>
    <row r="1384">
      <c r="A1384" s="28">
        <v>23.0</v>
      </c>
      <c r="B1384" s="28">
        <v>47.0</v>
      </c>
      <c r="C1384" s="28">
        <v>53.4939679694472</v>
      </c>
      <c r="D1384" s="28">
        <v>10.000550706044</v>
      </c>
      <c r="E1384" s="28" t="s">
        <v>15</v>
      </c>
      <c r="F1384" s="28" t="s">
        <v>168</v>
      </c>
      <c r="G1384" s="29" t="s">
        <v>94</v>
      </c>
      <c r="H1384" s="34" t="s">
        <v>579</v>
      </c>
      <c r="J1384" s="31">
        <f t="shared" si="3"/>
        <v>42</v>
      </c>
    </row>
    <row r="1385">
      <c r="A1385" s="28">
        <v>23.0</v>
      </c>
      <c r="B1385" s="28">
        <v>48.0</v>
      </c>
      <c r="C1385" s="28">
        <v>53.4939554422718</v>
      </c>
      <c r="D1385" s="28">
        <v>10.000791387976</v>
      </c>
      <c r="E1385" s="28" t="s">
        <v>15</v>
      </c>
      <c r="F1385" s="28" t="s">
        <v>168</v>
      </c>
      <c r="G1385" s="29" t="s">
        <v>545</v>
      </c>
      <c r="H1385" s="33" t="s">
        <v>580</v>
      </c>
      <c r="J1385" s="31">
        <f t="shared" si="3"/>
        <v>12</v>
      </c>
    </row>
    <row r="1386">
      <c r="A1386" s="28">
        <v>23.0</v>
      </c>
      <c r="B1386" s="28">
        <v>49.0</v>
      </c>
      <c r="C1386" s="28">
        <v>53.4939429150963</v>
      </c>
      <c r="D1386" s="28">
        <v>10.001032069837</v>
      </c>
      <c r="E1386" s="28" t="s">
        <v>15</v>
      </c>
      <c r="F1386" s="28" t="s">
        <v>168</v>
      </c>
      <c r="G1386" s="29" t="s">
        <v>56</v>
      </c>
      <c r="H1386" s="30" t="s">
        <v>581</v>
      </c>
      <c r="J1386" s="31">
        <f t="shared" si="3"/>
        <v>55</v>
      </c>
    </row>
    <row r="1387">
      <c r="A1387" s="28">
        <v>23.0</v>
      </c>
      <c r="B1387" s="28">
        <v>50.0</v>
      </c>
      <c r="C1387" s="28">
        <v>53.4939303879209</v>
      </c>
      <c r="D1387" s="28">
        <v>10.0012727516268</v>
      </c>
      <c r="E1387" s="28" t="s">
        <v>15</v>
      </c>
      <c r="F1387" s="28" t="s">
        <v>168</v>
      </c>
      <c r="G1387" s="29" t="s">
        <v>94</v>
      </c>
      <c r="H1387" s="33" t="s">
        <v>582</v>
      </c>
      <c r="J1387" s="31">
        <f t="shared" si="3"/>
        <v>42</v>
      </c>
    </row>
    <row r="1388">
      <c r="A1388" s="28">
        <v>23.0</v>
      </c>
      <c r="B1388" s="28">
        <v>51.0</v>
      </c>
      <c r="C1388" s="28">
        <v>53.4939178607454</v>
      </c>
      <c r="D1388" s="28">
        <v>10.0015134333455</v>
      </c>
      <c r="E1388" s="28" t="s">
        <v>15</v>
      </c>
      <c r="F1388" s="28" t="s">
        <v>168</v>
      </c>
      <c r="G1388" s="29" t="s">
        <v>545</v>
      </c>
      <c r="H1388" s="34" t="s">
        <v>583</v>
      </c>
      <c r="J1388" s="31">
        <f t="shared" si="3"/>
        <v>12</v>
      </c>
    </row>
    <row r="1389">
      <c r="A1389" s="28">
        <v>23.0</v>
      </c>
      <c r="B1389" s="28">
        <v>52.0</v>
      </c>
      <c r="C1389" s="28">
        <v>53.49390533357</v>
      </c>
      <c r="D1389" s="28">
        <v>10.0017541149931</v>
      </c>
      <c r="E1389" s="28" t="s">
        <v>15</v>
      </c>
      <c r="F1389" s="28" t="s">
        <v>168</v>
      </c>
      <c r="G1389" s="29" t="s">
        <v>56</v>
      </c>
      <c r="H1389" s="30" t="s">
        <v>584</v>
      </c>
      <c r="J1389" s="31">
        <f t="shared" si="3"/>
        <v>55</v>
      </c>
    </row>
    <row r="1390">
      <c r="A1390" s="28">
        <v>23.0</v>
      </c>
      <c r="B1390" s="28">
        <v>53.0</v>
      </c>
      <c r="C1390" s="28">
        <v>53.4938928063945</v>
      </c>
      <c r="D1390" s="28">
        <v>10.0019947965696</v>
      </c>
      <c r="E1390" s="28" t="s">
        <v>15</v>
      </c>
      <c r="F1390" s="28" t="s">
        <v>168</v>
      </c>
      <c r="G1390" s="29" t="s">
        <v>94</v>
      </c>
      <c r="H1390" s="33" t="s">
        <v>585</v>
      </c>
      <c r="J1390" s="31">
        <f t="shared" si="3"/>
        <v>42</v>
      </c>
    </row>
    <row r="1391">
      <c r="A1391" s="28">
        <v>23.0</v>
      </c>
      <c r="B1391" s="28">
        <v>54.0</v>
      </c>
      <c r="C1391" s="28">
        <v>53.493880279219</v>
      </c>
      <c r="D1391" s="28">
        <v>10.0022354780751</v>
      </c>
      <c r="E1391" s="28" t="s">
        <v>15</v>
      </c>
      <c r="F1391" s="28" t="s">
        <v>168</v>
      </c>
      <c r="G1391" s="29" t="s">
        <v>568</v>
      </c>
      <c r="H1391" s="30" t="s">
        <v>586</v>
      </c>
      <c r="J1391" s="31">
        <f t="shared" si="3"/>
        <v>4</v>
      </c>
    </row>
    <row r="1392">
      <c r="A1392" s="28">
        <v>23.0</v>
      </c>
      <c r="B1392" s="28">
        <v>55.0</v>
      </c>
      <c r="C1392" s="28">
        <v>53.4938677520436</v>
      </c>
      <c r="D1392" s="28">
        <v>10.0024761595094</v>
      </c>
      <c r="E1392" s="28" t="s">
        <v>15</v>
      </c>
      <c r="F1392" s="28" t="s">
        <v>168</v>
      </c>
      <c r="G1392" s="29" t="s">
        <v>56</v>
      </c>
      <c r="H1392" s="30" t="s">
        <v>587</v>
      </c>
      <c r="J1392" s="31">
        <f t="shared" si="3"/>
        <v>55</v>
      </c>
    </row>
    <row r="1393">
      <c r="A1393" s="28">
        <v>23.0</v>
      </c>
      <c r="B1393" s="28">
        <v>56.0</v>
      </c>
      <c r="C1393" s="28">
        <v>53.4938552248681</v>
      </c>
      <c r="D1393" s="28">
        <v>10.0027168408726</v>
      </c>
      <c r="E1393" s="28" t="s">
        <v>15</v>
      </c>
      <c r="F1393" s="28" t="s">
        <v>168</v>
      </c>
      <c r="G1393" s="29" t="s">
        <v>94</v>
      </c>
      <c r="H1393" s="33" t="s">
        <v>588</v>
      </c>
      <c r="J1393" s="31">
        <f t="shared" si="3"/>
        <v>42</v>
      </c>
    </row>
    <row r="1394">
      <c r="A1394" s="28">
        <v>23.0</v>
      </c>
      <c r="B1394" s="28">
        <v>57.0</v>
      </c>
      <c r="C1394" s="28">
        <v>53.4938426976927</v>
      </c>
      <c r="D1394" s="28">
        <v>10.0029575221647</v>
      </c>
      <c r="E1394" s="28" t="s">
        <v>15</v>
      </c>
      <c r="F1394" s="28" t="s">
        <v>168</v>
      </c>
      <c r="G1394" s="29" t="s">
        <v>589</v>
      </c>
      <c r="H1394" s="30" t="s">
        <v>590</v>
      </c>
      <c r="J1394" s="31">
        <f t="shared" si="3"/>
        <v>1</v>
      </c>
    </row>
    <row r="1395">
      <c r="A1395" s="28">
        <v>23.0</v>
      </c>
      <c r="B1395" s="28">
        <v>58.0</v>
      </c>
      <c r="C1395" s="28">
        <v>53.4938301705172</v>
      </c>
      <c r="D1395" s="28">
        <v>10.0031982033857</v>
      </c>
      <c r="E1395" s="28" t="s">
        <v>15</v>
      </c>
      <c r="F1395" s="28" t="s">
        <v>168</v>
      </c>
      <c r="G1395" s="29" t="s">
        <v>591</v>
      </c>
      <c r="H1395" s="30" t="s">
        <v>592</v>
      </c>
      <c r="J1395" s="31">
        <f t="shared" si="3"/>
        <v>1</v>
      </c>
    </row>
    <row r="1396">
      <c r="A1396" s="28">
        <v>23.0</v>
      </c>
      <c r="B1396" s="28">
        <v>59.0</v>
      </c>
      <c r="C1396" s="28">
        <v>53.4938176433417</v>
      </c>
      <c r="D1396" s="28">
        <v>10.0034388845356</v>
      </c>
      <c r="E1396" s="28" t="s">
        <v>15</v>
      </c>
      <c r="F1396" s="28" t="s">
        <v>168</v>
      </c>
      <c r="G1396" s="29" t="s">
        <v>94</v>
      </c>
      <c r="H1396" s="33" t="s">
        <v>593</v>
      </c>
      <c r="J1396" s="31">
        <f t="shared" si="3"/>
        <v>42</v>
      </c>
    </row>
    <row r="1397">
      <c r="A1397" s="28">
        <v>23.0</v>
      </c>
      <c r="B1397" s="28">
        <v>60.0</v>
      </c>
      <c r="C1397" s="28">
        <v>53.4938051161663</v>
      </c>
      <c r="D1397" s="28">
        <v>10.0036795656144</v>
      </c>
      <c r="E1397" s="28" t="s">
        <v>25</v>
      </c>
      <c r="F1397" s="28" t="s">
        <v>14</v>
      </c>
      <c r="G1397" s="29" t="s">
        <v>164</v>
      </c>
      <c r="H1397" s="35" t="s">
        <v>594</v>
      </c>
      <c r="J1397" s="31">
        <f t="shared" si="3"/>
        <v>133</v>
      </c>
    </row>
    <row r="1398">
      <c r="A1398" s="28">
        <v>24.0</v>
      </c>
      <c r="B1398" s="28">
        <v>1.0</v>
      </c>
      <c r="C1398" s="28">
        <v>53.4944010360086</v>
      </c>
      <c r="D1398" s="28">
        <v>9.98945820314941</v>
      </c>
      <c r="E1398" s="28" t="s">
        <v>25</v>
      </c>
      <c r="F1398" s="28" t="s">
        <v>14</v>
      </c>
      <c r="G1398" s="29" t="s">
        <v>30</v>
      </c>
      <c r="H1398" s="30" t="str">
        <f>HYPERLINK("https://www.munzee.com/m/SachensucherHB/1496/", "SachensucherHB/1496")</f>
        <v>SachensucherHB/1496</v>
      </c>
      <c r="J1398" s="31">
        <f t="shared" si="3"/>
        <v>62</v>
      </c>
    </row>
    <row r="1399">
      <c r="A1399" s="28">
        <v>24.0</v>
      </c>
      <c r="B1399" s="28">
        <v>2.0</v>
      </c>
      <c r="C1399" s="28">
        <v>53.4943885088332</v>
      </c>
      <c r="D1399" s="28">
        <v>9.98969888753936</v>
      </c>
      <c r="E1399" s="28" t="s">
        <v>15</v>
      </c>
      <c r="F1399" s="28" t="s">
        <v>168</v>
      </c>
      <c r="G1399" s="29" t="s">
        <v>56</v>
      </c>
      <c r="H1399" s="36" t="s">
        <v>595</v>
      </c>
      <c r="J1399" s="31">
        <f t="shared" si="3"/>
        <v>55</v>
      </c>
    </row>
    <row r="1400">
      <c r="A1400" s="28">
        <v>24.0</v>
      </c>
      <c r="B1400" s="28">
        <v>3.0</v>
      </c>
      <c r="C1400" s="28">
        <v>53.4943759816577</v>
      </c>
      <c r="D1400" s="28">
        <v>9.98993957185825</v>
      </c>
      <c r="E1400" s="28" t="s">
        <v>15</v>
      </c>
      <c r="F1400" s="28" t="s">
        <v>168</v>
      </c>
      <c r="G1400" s="29" t="s">
        <v>362</v>
      </c>
      <c r="H1400" s="33" t="s">
        <v>596</v>
      </c>
      <c r="J1400" s="31">
        <f t="shared" si="3"/>
        <v>13</v>
      </c>
    </row>
    <row r="1401">
      <c r="A1401" s="28">
        <v>24.0</v>
      </c>
      <c r="B1401" s="28">
        <v>4.0</v>
      </c>
      <c r="C1401" s="28">
        <v>53.4943634544822</v>
      </c>
      <c r="D1401" s="28">
        <v>9.99018025610598</v>
      </c>
      <c r="E1401" s="28" t="s">
        <v>15</v>
      </c>
      <c r="F1401" s="28" t="s">
        <v>168</v>
      </c>
      <c r="G1401" s="29" t="s">
        <v>568</v>
      </c>
      <c r="H1401" s="30" t="s">
        <v>597</v>
      </c>
      <c r="J1401" s="31">
        <f t="shared" si="3"/>
        <v>4</v>
      </c>
    </row>
    <row r="1402">
      <c r="A1402" s="28">
        <v>24.0</v>
      </c>
      <c r="B1402" s="28">
        <v>5.0</v>
      </c>
      <c r="C1402" s="28">
        <v>53.4943509273068</v>
      </c>
      <c r="D1402" s="28">
        <v>9.99042094028266</v>
      </c>
      <c r="E1402" s="28" t="s">
        <v>15</v>
      </c>
      <c r="F1402" s="28" t="s">
        <v>168</v>
      </c>
      <c r="G1402" s="29" t="s">
        <v>598</v>
      </c>
      <c r="H1402" s="33" t="s">
        <v>599</v>
      </c>
      <c r="J1402" s="31">
        <f t="shared" si="3"/>
        <v>1</v>
      </c>
    </row>
    <row r="1403">
      <c r="A1403" s="28">
        <v>24.0</v>
      </c>
      <c r="B1403" s="28">
        <v>6.0</v>
      </c>
      <c r="C1403" s="28">
        <v>53.4943384001313</v>
      </c>
      <c r="D1403" s="28">
        <v>9.99066162438828</v>
      </c>
      <c r="E1403" s="28" t="s">
        <v>15</v>
      </c>
      <c r="F1403" s="28" t="s">
        <v>168</v>
      </c>
      <c r="G1403" s="29" t="s">
        <v>318</v>
      </c>
      <c r="H1403" s="30" t="str">
        <f>HYPERLINK("https://www.munzee.com/m/paupau/8694", "paupau/8694")</f>
        <v>paupau/8694</v>
      </c>
      <c r="J1403" s="31">
        <f t="shared" si="3"/>
        <v>2</v>
      </c>
    </row>
    <row r="1404">
      <c r="A1404" s="28">
        <v>24.0</v>
      </c>
      <c r="B1404" s="28">
        <v>7.0</v>
      </c>
      <c r="C1404" s="28">
        <v>53.4943258729558</v>
      </c>
      <c r="D1404" s="28">
        <v>9.99090230842273</v>
      </c>
      <c r="E1404" s="28" t="s">
        <v>15</v>
      </c>
      <c r="F1404" s="28" t="s">
        <v>168</v>
      </c>
      <c r="G1404" s="29" t="s">
        <v>62</v>
      </c>
      <c r="H1404" s="34" t="s">
        <v>600</v>
      </c>
      <c r="J1404" s="31">
        <f t="shared" si="3"/>
        <v>2</v>
      </c>
    </row>
    <row r="1405">
      <c r="A1405" s="28">
        <v>24.0</v>
      </c>
      <c r="B1405" s="28">
        <v>8.0</v>
      </c>
      <c r="C1405" s="28">
        <v>53.4943133457804</v>
      </c>
      <c r="D1405" s="28">
        <v>9.99114299238613</v>
      </c>
      <c r="E1405" s="28" t="s">
        <v>15</v>
      </c>
      <c r="F1405" s="28" t="s">
        <v>168</v>
      </c>
      <c r="G1405" s="29" t="s">
        <v>141</v>
      </c>
      <c r="H1405" s="30" t="s">
        <v>601</v>
      </c>
      <c r="J1405" s="31">
        <f t="shared" si="3"/>
        <v>51</v>
      </c>
    </row>
    <row r="1406">
      <c r="A1406" s="28">
        <v>24.0</v>
      </c>
      <c r="B1406" s="28">
        <v>9.0</v>
      </c>
      <c r="C1406" s="28">
        <v>53.4943008186049</v>
      </c>
      <c r="D1406" s="28">
        <v>9.99138367627847</v>
      </c>
      <c r="E1406" s="28" t="s">
        <v>15</v>
      </c>
      <c r="F1406" s="28" t="s">
        <v>168</v>
      </c>
      <c r="G1406" s="29" t="s">
        <v>362</v>
      </c>
      <c r="H1406" s="30" t="s">
        <v>602</v>
      </c>
      <c r="J1406" s="31">
        <f t="shared" si="3"/>
        <v>13</v>
      </c>
    </row>
    <row r="1407">
      <c r="A1407" s="28">
        <v>24.0</v>
      </c>
      <c r="B1407" s="28">
        <v>10.0</v>
      </c>
      <c r="C1407" s="28">
        <v>53.4942882914295</v>
      </c>
      <c r="D1407" s="28">
        <v>9.99162436009965</v>
      </c>
      <c r="E1407" s="28" t="s">
        <v>15</v>
      </c>
      <c r="F1407" s="28" t="s">
        <v>168</v>
      </c>
      <c r="G1407" s="29" t="s">
        <v>268</v>
      </c>
      <c r="H1407" s="33" t="s">
        <v>603</v>
      </c>
      <c r="J1407" s="31">
        <f t="shared" si="3"/>
        <v>4</v>
      </c>
    </row>
    <row r="1408">
      <c r="A1408" s="28">
        <v>24.0</v>
      </c>
      <c r="B1408" s="28">
        <v>11.0</v>
      </c>
      <c r="C1408" s="28">
        <v>53.494275764254</v>
      </c>
      <c r="D1408" s="28">
        <v>9.99186504384965</v>
      </c>
      <c r="E1408" s="28" t="s">
        <v>15</v>
      </c>
      <c r="F1408" s="28" t="s">
        <v>168</v>
      </c>
      <c r="G1408" s="29" t="s">
        <v>141</v>
      </c>
      <c r="H1408" s="30" t="s">
        <v>604</v>
      </c>
      <c r="J1408" s="31">
        <f t="shared" si="3"/>
        <v>51</v>
      </c>
    </row>
    <row r="1409">
      <c r="A1409" s="28">
        <v>24.0</v>
      </c>
      <c r="B1409" s="28">
        <v>12.0</v>
      </c>
      <c r="C1409" s="28">
        <v>53.4942632370786</v>
      </c>
      <c r="D1409" s="28">
        <v>9.99210572752861</v>
      </c>
      <c r="E1409" s="28" t="s">
        <v>15</v>
      </c>
      <c r="F1409" s="28" t="s">
        <v>168</v>
      </c>
      <c r="G1409" s="29" t="s">
        <v>362</v>
      </c>
      <c r="H1409" s="30" t="s">
        <v>605</v>
      </c>
      <c r="J1409" s="31">
        <f t="shared" si="3"/>
        <v>13</v>
      </c>
    </row>
    <row r="1410">
      <c r="A1410" s="28">
        <v>24.0</v>
      </c>
      <c r="B1410" s="28">
        <v>13.0</v>
      </c>
      <c r="C1410" s="28">
        <v>53.4942507099031</v>
      </c>
      <c r="D1410" s="28">
        <v>9.99234641113651</v>
      </c>
      <c r="E1410" s="28" t="s">
        <v>15</v>
      </c>
      <c r="F1410" s="28" t="s">
        <v>168</v>
      </c>
      <c r="G1410" s="29" t="s">
        <v>393</v>
      </c>
      <c r="H1410" s="30" t="s">
        <v>606</v>
      </c>
      <c r="J1410" s="31">
        <f t="shared" si="3"/>
        <v>2</v>
      </c>
    </row>
    <row r="1411">
      <c r="A1411" s="28">
        <v>24.0</v>
      </c>
      <c r="B1411" s="28">
        <v>14.0</v>
      </c>
      <c r="C1411" s="28">
        <v>53.4942381827277</v>
      </c>
      <c r="D1411" s="28">
        <v>9.99258709467335</v>
      </c>
      <c r="E1411" s="28" t="s">
        <v>15</v>
      </c>
      <c r="F1411" s="28" t="s">
        <v>168</v>
      </c>
      <c r="G1411" s="29" t="s">
        <v>141</v>
      </c>
      <c r="H1411" s="30" t="s">
        <v>607</v>
      </c>
      <c r="J1411" s="31">
        <f t="shared" si="3"/>
        <v>51</v>
      </c>
    </row>
    <row r="1412">
      <c r="A1412" s="28">
        <v>24.0</v>
      </c>
      <c r="B1412" s="28">
        <v>15.0</v>
      </c>
      <c r="C1412" s="28">
        <v>53.4942256555522</v>
      </c>
      <c r="D1412" s="28">
        <v>9.99282777813903</v>
      </c>
      <c r="E1412" s="28" t="s">
        <v>15</v>
      </c>
      <c r="F1412" s="28" t="s">
        <v>168</v>
      </c>
      <c r="G1412" s="29" t="s">
        <v>362</v>
      </c>
      <c r="H1412" s="30" t="s">
        <v>608</v>
      </c>
      <c r="J1412" s="31">
        <f t="shared" si="3"/>
        <v>13</v>
      </c>
    </row>
    <row r="1413">
      <c r="A1413" s="28">
        <v>24.0</v>
      </c>
      <c r="B1413" s="28">
        <v>16.0</v>
      </c>
      <c r="C1413" s="28">
        <v>53.4942131283767</v>
      </c>
      <c r="D1413" s="28">
        <v>9.99306846153354</v>
      </c>
      <c r="E1413" s="28" t="s">
        <v>15</v>
      </c>
      <c r="F1413" s="28" t="s">
        <v>168</v>
      </c>
      <c r="G1413" s="29" t="s">
        <v>568</v>
      </c>
      <c r="H1413" s="30" t="s">
        <v>609</v>
      </c>
      <c r="J1413" s="31">
        <f t="shared" si="3"/>
        <v>4</v>
      </c>
    </row>
    <row r="1414">
      <c r="A1414" s="28">
        <v>24.0</v>
      </c>
      <c r="B1414" s="28">
        <v>17.0</v>
      </c>
      <c r="C1414" s="28">
        <v>53.4942006012013</v>
      </c>
      <c r="D1414" s="28">
        <v>9.99330914485699</v>
      </c>
      <c r="E1414" s="28" t="s">
        <v>15</v>
      </c>
      <c r="F1414" s="28" t="s">
        <v>168</v>
      </c>
      <c r="G1414" s="29" t="s">
        <v>141</v>
      </c>
      <c r="H1414" s="30" t="s">
        <v>610</v>
      </c>
      <c r="J1414" s="31">
        <f t="shared" si="3"/>
        <v>51</v>
      </c>
    </row>
    <row r="1415">
      <c r="A1415" s="28">
        <v>24.0</v>
      </c>
      <c r="B1415" s="28">
        <v>18.0</v>
      </c>
      <c r="C1415" s="28">
        <v>53.4941880740258</v>
      </c>
      <c r="D1415" s="28">
        <v>9.99354982810939</v>
      </c>
      <c r="E1415" s="28" t="s">
        <v>15</v>
      </c>
      <c r="F1415" s="28" t="s">
        <v>168</v>
      </c>
      <c r="G1415" s="29" t="s">
        <v>362</v>
      </c>
      <c r="H1415" s="30" t="s">
        <v>611</v>
      </c>
      <c r="J1415" s="31">
        <f t="shared" si="3"/>
        <v>13</v>
      </c>
    </row>
    <row r="1416">
      <c r="A1416" s="28">
        <v>24.0</v>
      </c>
      <c r="B1416" s="28">
        <v>19.0</v>
      </c>
      <c r="C1416" s="28">
        <v>53.4941755468504</v>
      </c>
      <c r="D1416" s="28">
        <v>9.99379051129062</v>
      </c>
      <c r="E1416" s="28" t="s">
        <v>25</v>
      </c>
      <c r="F1416" s="28" t="s">
        <v>14</v>
      </c>
      <c r="G1416" s="38"/>
      <c r="H1416" s="38"/>
      <c r="J1416" s="31">
        <f t="shared" si="3"/>
        <v>0</v>
      </c>
    </row>
    <row r="1417">
      <c r="A1417" s="28">
        <v>24.0</v>
      </c>
      <c r="B1417" s="28">
        <v>20.0</v>
      </c>
      <c r="C1417" s="28">
        <v>53.4941630196749</v>
      </c>
      <c r="D1417" s="28">
        <v>9.9940311944008</v>
      </c>
      <c r="E1417" s="28" t="s">
        <v>25</v>
      </c>
      <c r="F1417" s="28" t="s">
        <v>14</v>
      </c>
      <c r="G1417" s="38"/>
      <c r="H1417" s="38"/>
      <c r="J1417" s="31">
        <f t="shared" si="3"/>
        <v>0</v>
      </c>
    </row>
    <row r="1418">
      <c r="A1418" s="28">
        <v>24.0</v>
      </c>
      <c r="B1418" s="28">
        <v>21.0</v>
      </c>
      <c r="C1418" s="28">
        <v>53.4941504924994</v>
      </c>
      <c r="D1418" s="28">
        <v>9.99427187743981</v>
      </c>
      <c r="E1418" s="28" t="s">
        <v>25</v>
      </c>
      <c r="F1418" s="28" t="s">
        <v>14</v>
      </c>
      <c r="G1418" s="38"/>
      <c r="H1418" s="38"/>
      <c r="J1418" s="31">
        <f t="shared" si="3"/>
        <v>0</v>
      </c>
    </row>
    <row r="1419">
      <c r="A1419" s="28">
        <v>24.0</v>
      </c>
      <c r="B1419" s="28">
        <v>22.0</v>
      </c>
      <c r="C1419" s="28">
        <v>53.494137965324</v>
      </c>
      <c r="D1419" s="28">
        <v>9.99451256040777</v>
      </c>
      <c r="E1419" s="28" t="s">
        <v>25</v>
      </c>
      <c r="F1419" s="28" t="s">
        <v>14</v>
      </c>
      <c r="G1419" s="38"/>
      <c r="H1419" s="38"/>
      <c r="J1419" s="31">
        <f t="shared" si="3"/>
        <v>0</v>
      </c>
    </row>
    <row r="1420">
      <c r="A1420" s="28">
        <v>24.0</v>
      </c>
      <c r="B1420" s="28">
        <v>23.0</v>
      </c>
      <c r="C1420" s="28">
        <v>53.4941254381485</v>
      </c>
      <c r="D1420" s="28">
        <v>9.99475324330467</v>
      </c>
      <c r="E1420" s="28" t="s">
        <v>25</v>
      </c>
      <c r="F1420" s="28" t="s">
        <v>14</v>
      </c>
      <c r="G1420" s="38"/>
      <c r="H1420" s="38"/>
      <c r="J1420" s="31">
        <f t="shared" si="3"/>
        <v>0</v>
      </c>
    </row>
    <row r="1421">
      <c r="A1421" s="28">
        <v>24.0</v>
      </c>
      <c r="B1421" s="28">
        <v>24.0</v>
      </c>
      <c r="C1421" s="28">
        <v>53.4941129109731</v>
      </c>
      <c r="D1421" s="28">
        <v>9.9949939261304</v>
      </c>
      <c r="E1421" s="28" t="s">
        <v>15</v>
      </c>
      <c r="F1421" s="28" t="s">
        <v>168</v>
      </c>
      <c r="G1421" s="29" t="s">
        <v>56</v>
      </c>
      <c r="H1421" s="30" t="s">
        <v>612</v>
      </c>
      <c r="J1421" s="31">
        <f t="shared" si="3"/>
        <v>55</v>
      </c>
    </row>
    <row r="1422">
      <c r="A1422" s="28">
        <v>24.0</v>
      </c>
      <c r="B1422" s="28">
        <v>25.0</v>
      </c>
      <c r="C1422" s="28">
        <v>53.4941003837976</v>
      </c>
      <c r="D1422" s="28">
        <v>9.99523460888508</v>
      </c>
      <c r="E1422" s="28" t="s">
        <v>15</v>
      </c>
      <c r="F1422" s="28" t="s">
        <v>168</v>
      </c>
      <c r="G1422" s="37" t="s">
        <v>130</v>
      </c>
      <c r="H1422" s="46" t="s">
        <v>613</v>
      </c>
      <c r="J1422" s="31">
        <f>COUNTIF($G$18:$G$3617,G1423)</f>
        <v>20</v>
      </c>
    </row>
    <row r="1423">
      <c r="A1423" s="28">
        <v>24.0</v>
      </c>
      <c r="B1423" s="28">
        <v>26.0</v>
      </c>
      <c r="C1423" s="28">
        <v>53.4940878566222</v>
      </c>
      <c r="D1423" s="28">
        <v>9.99547529156871</v>
      </c>
      <c r="E1423" s="28" t="s">
        <v>15</v>
      </c>
      <c r="F1423" s="28" t="s">
        <v>168</v>
      </c>
      <c r="G1423" s="29" t="s">
        <v>614</v>
      </c>
      <c r="H1423" s="33" t="s">
        <v>615</v>
      </c>
      <c r="J1423" s="31">
        <f>COUNTIF($G$18:$G$3617,#REF!)</f>
        <v>0</v>
      </c>
    </row>
    <row r="1424">
      <c r="A1424" s="28">
        <v>24.0</v>
      </c>
      <c r="B1424" s="28">
        <v>27.0</v>
      </c>
      <c r="C1424" s="28">
        <v>53.4940753294467</v>
      </c>
      <c r="D1424" s="28">
        <v>9.99571597418116</v>
      </c>
      <c r="E1424" s="28" t="s">
        <v>25</v>
      </c>
      <c r="F1424" s="28" t="s">
        <v>14</v>
      </c>
      <c r="G1424" s="38"/>
      <c r="H1424" s="38"/>
      <c r="J1424" s="31">
        <f t="shared" ref="J1424:J1449" si="4">COUNTIF($G$18:$G$3617,G1424)</f>
        <v>0</v>
      </c>
    </row>
    <row r="1425">
      <c r="A1425" s="28">
        <v>24.0</v>
      </c>
      <c r="B1425" s="28">
        <v>28.0</v>
      </c>
      <c r="C1425" s="28">
        <v>53.4940628022713</v>
      </c>
      <c r="D1425" s="28">
        <v>9.99595665672257</v>
      </c>
      <c r="E1425" s="28" t="s">
        <v>25</v>
      </c>
      <c r="F1425" s="28" t="s">
        <v>14</v>
      </c>
      <c r="G1425" s="38"/>
      <c r="H1425" s="38"/>
      <c r="J1425" s="31">
        <f t="shared" si="4"/>
        <v>0</v>
      </c>
    </row>
    <row r="1426">
      <c r="A1426" s="28">
        <v>24.0</v>
      </c>
      <c r="B1426" s="28">
        <v>29.0</v>
      </c>
      <c r="C1426" s="28">
        <v>53.4940502750958</v>
      </c>
      <c r="D1426" s="28">
        <v>9.9961973391928</v>
      </c>
      <c r="E1426" s="28" t="s">
        <v>25</v>
      </c>
      <c r="F1426" s="28" t="s">
        <v>14</v>
      </c>
      <c r="G1426" s="38"/>
      <c r="H1426" s="38"/>
      <c r="J1426" s="31">
        <f t="shared" si="4"/>
        <v>0</v>
      </c>
    </row>
    <row r="1427">
      <c r="A1427" s="28">
        <v>24.0</v>
      </c>
      <c r="B1427" s="28">
        <v>30.0</v>
      </c>
      <c r="C1427" s="28">
        <v>53.4940377479204</v>
      </c>
      <c r="D1427" s="28">
        <v>9.99643802159198</v>
      </c>
      <c r="E1427" s="28" t="s">
        <v>15</v>
      </c>
      <c r="F1427" s="28" t="s">
        <v>168</v>
      </c>
      <c r="G1427" s="29" t="s">
        <v>56</v>
      </c>
      <c r="H1427" s="36" t="s">
        <v>616</v>
      </c>
      <c r="J1427" s="31">
        <f t="shared" si="4"/>
        <v>55</v>
      </c>
    </row>
    <row r="1428">
      <c r="A1428" s="28">
        <v>24.0</v>
      </c>
      <c r="B1428" s="28">
        <v>31.0</v>
      </c>
      <c r="C1428" s="28">
        <v>53.4940252207449</v>
      </c>
      <c r="D1428" s="28">
        <v>9.99667870391999</v>
      </c>
      <c r="E1428" s="28" t="s">
        <v>25</v>
      </c>
      <c r="F1428" s="28" t="s">
        <v>14</v>
      </c>
      <c r="G1428" s="38"/>
      <c r="H1428" s="38"/>
      <c r="J1428" s="31">
        <f t="shared" si="4"/>
        <v>0</v>
      </c>
    </row>
    <row r="1429">
      <c r="A1429" s="28">
        <v>24.0</v>
      </c>
      <c r="B1429" s="28">
        <v>32.0</v>
      </c>
      <c r="C1429" s="28">
        <v>53.4940126935695</v>
      </c>
      <c r="D1429" s="28">
        <v>9.99691938617695</v>
      </c>
      <c r="E1429" s="28" t="s">
        <v>25</v>
      </c>
      <c r="F1429" s="28" t="s">
        <v>14</v>
      </c>
      <c r="G1429" s="38"/>
      <c r="H1429" s="38"/>
      <c r="J1429" s="31">
        <f t="shared" si="4"/>
        <v>0</v>
      </c>
    </row>
    <row r="1430">
      <c r="A1430" s="28">
        <v>24.0</v>
      </c>
      <c r="B1430" s="28">
        <v>33.0</v>
      </c>
      <c r="C1430" s="28">
        <v>53.494000166394</v>
      </c>
      <c r="D1430" s="28">
        <v>9.99716006836274</v>
      </c>
      <c r="E1430" s="28" t="s">
        <v>25</v>
      </c>
      <c r="F1430" s="28" t="s">
        <v>14</v>
      </c>
      <c r="G1430" s="38"/>
      <c r="H1430" s="38"/>
      <c r="J1430" s="31">
        <f t="shared" si="4"/>
        <v>0</v>
      </c>
    </row>
    <row r="1431">
      <c r="A1431" s="28">
        <v>24.0</v>
      </c>
      <c r="B1431" s="28">
        <v>34.0</v>
      </c>
      <c r="C1431" s="28">
        <v>53.4939876392186</v>
      </c>
      <c r="D1431" s="28">
        <v>9.99740075047748</v>
      </c>
      <c r="E1431" s="28" t="s">
        <v>15</v>
      </c>
      <c r="F1431" s="28" t="s">
        <v>168</v>
      </c>
      <c r="G1431" s="29" t="s">
        <v>497</v>
      </c>
      <c r="H1431" s="30" t="str">
        <f>HYPERLINK("https://www.munzee.com/m/hulapalu/420", "hulapalu/420")</f>
        <v>hulapalu/420</v>
      </c>
      <c r="J1431" s="31">
        <f t="shared" si="4"/>
        <v>4</v>
      </c>
    </row>
    <row r="1432">
      <c r="A1432" s="28">
        <v>24.0</v>
      </c>
      <c r="B1432" s="28">
        <v>35.0</v>
      </c>
      <c r="C1432" s="28">
        <v>53.4939751120431</v>
      </c>
      <c r="D1432" s="28">
        <v>9.99764143252116</v>
      </c>
      <c r="E1432" s="28" t="s">
        <v>15</v>
      </c>
      <c r="F1432" s="28" t="s">
        <v>168</v>
      </c>
      <c r="G1432" s="29" t="s">
        <v>56</v>
      </c>
      <c r="H1432" s="30" t="s">
        <v>617</v>
      </c>
      <c r="J1432" s="31">
        <f t="shared" si="4"/>
        <v>55</v>
      </c>
    </row>
    <row r="1433">
      <c r="A1433" s="28">
        <v>24.0</v>
      </c>
      <c r="B1433" s="28">
        <v>36.0</v>
      </c>
      <c r="C1433" s="28">
        <v>53.4939625848677</v>
      </c>
      <c r="D1433" s="28">
        <v>9.99788211449367</v>
      </c>
      <c r="E1433" s="28" t="s">
        <v>15</v>
      </c>
      <c r="F1433" s="28" t="s">
        <v>168</v>
      </c>
      <c r="G1433" s="29" t="s">
        <v>141</v>
      </c>
      <c r="H1433" s="30" t="s">
        <v>618</v>
      </c>
      <c r="J1433" s="31">
        <f t="shared" si="4"/>
        <v>51</v>
      </c>
    </row>
    <row r="1434">
      <c r="A1434" s="28">
        <v>24.0</v>
      </c>
      <c r="B1434" s="28">
        <v>37.0</v>
      </c>
      <c r="C1434" s="28">
        <v>53.4939500576922</v>
      </c>
      <c r="D1434" s="28">
        <v>9.99812279639513</v>
      </c>
      <c r="E1434" s="28" t="s">
        <v>25</v>
      </c>
      <c r="F1434" s="28" t="s">
        <v>14</v>
      </c>
      <c r="G1434" s="38"/>
      <c r="H1434" s="38"/>
      <c r="J1434" s="31">
        <f t="shared" si="4"/>
        <v>0</v>
      </c>
    </row>
    <row r="1435">
      <c r="A1435" s="28">
        <v>24.0</v>
      </c>
      <c r="B1435" s="28">
        <v>38.0</v>
      </c>
      <c r="C1435" s="28">
        <v>53.4939375305167</v>
      </c>
      <c r="D1435" s="28">
        <v>9.99836347822542</v>
      </c>
      <c r="E1435" s="28" t="s">
        <v>25</v>
      </c>
      <c r="F1435" s="28" t="s">
        <v>14</v>
      </c>
      <c r="G1435" s="38"/>
      <c r="H1435" s="38"/>
      <c r="J1435" s="31">
        <f t="shared" si="4"/>
        <v>0</v>
      </c>
    </row>
    <row r="1436">
      <c r="A1436" s="28">
        <v>24.0</v>
      </c>
      <c r="B1436" s="28">
        <v>39.0</v>
      </c>
      <c r="C1436" s="28">
        <v>53.4939250033413</v>
      </c>
      <c r="D1436" s="28">
        <v>9.99860415998466</v>
      </c>
      <c r="E1436" s="28" t="s">
        <v>25</v>
      </c>
      <c r="F1436" s="28" t="s">
        <v>14</v>
      </c>
      <c r="G1436" s="38"/>
      <c r="H1436" s="38"/>
      <c r="J1436" s="31">
        <f t="shared" si="4"/>
        <v>0</v>
      </c>
    </row>
    <row r="1437">
      <c r="A1437" s="28">
        <v>24.0</v>
      </c>
      <c r="B1437" s="28">
        <v>40.0</v>
      </c>
      <c r="C1437" s="28">
        <v>53.4939124761658</v>
      </c>
      <c r="D1437" s="28">
        <v>9.99884484167284</v>
      </c>
      <c r="E1437" s="28" t="s">
        <v>25</v>
      </c>
      <c r="F1437" s="28" t="s">
        <v>14</v>
      </c>
      <c r="G1437" s="38"/>
      <c r="H1437" s="38"/>
      <c r="J1437" s="31">
        <f t="shared" si="4"/>
        <v>0</v>
      </c>
    </row>
    <row r="1438">
      <c r="A1438" s="28">
        <v>24.0</v>
      </c>
      <c r="B1438" s="28">
        <v>41.0</v>
      </c>
      <c r="C1438" s="28">
        <v>53.4938999489904</v>
      </c>
      <c r="D1438" s="28">
        <v>9.99908552328997</v>
      </c>
      <c r="E1438" s="28" t="s">
        <v>25</v>
      </c>
      <c r="F1438" s="28" t="s">
        <v>14</v>
      </c>
      <c r="G1438" s="38"/>
      <c r="H1438" s="38"/>
      <c r="J1438" s="31">
        <f t="shared" si="4"/>
        <v>0</v>
      </c>
    </row>
    <row r="1439">
      <c r="A1439" s="28">
        <v>24.0</v>
      </c>
      <c r="B1439" s="28">
        <v>42.0</v>
      </c>
      <c r="C1439" s="28">
        <v>53.4938874218149</v>
      </c>
      <c r="D1439" s="28">
        <v>9.99932620483593</v>
      </c>
      <c r="E1439" s="28" t="s">
        <v>25</v>
      </c>
      <c r="F1439" s="28" t="s">
        <v>14</v>
      </c>
      <c r="G1439" s="38"/>
      <c r="H1439" s="38"/>
      <c r="J1439" s="31">
        <f t="shared" si="4"/>
        <v>0</v>
      </c>
    </row>
    <row r="1440">
      <c r="A1440" s="28">
        <v>24.0</v>
      </c>
      <c r="B1440" s="28">
        <v>43.0</v>
      </c>
      <c r="C1440" s="28">
        <v>53.4938748946395</v>
      </c>
      <c r="D1440" s="28">
        <v>9.99956688631073</v>
      </c>
      <c r="E1440" s="28" t="s">
        <v>25</v>
      </c>
      <c r="F1440" s="28" t="s">
        <v>14</v>
      </c>
      <c r="G1440" s="38"/>
      <c r="H1440" s="38"/>
      <c r="J1440" s="31">
        <f t="shared" si="4"/>
        <v>0</v>
      </c>
    </row>
    <row r="1441">
      <c r="A1441" s="28">
        <v>24.0</v>
      </c>
      <c r="B1441" s="28">
        <v>44.0</v>
      </c>
      <c r="C1441" s="28">
        <v>53.493862367464</v>
      </c>
      <c r="D1441" s="28">
        <v>9.99980756771447</v>
      </c>
      <c r="E1441" s="28" t="s">
        <v>25</v>
      </c>
      <c r="F1441" s="28" t="s">
        <v>14</v>
      </c>
      <c r="G1441" s="29" t="s">
        <v>619</v>
      </c>
      <c r="H1441" s="30" t="s">
        <v>620</v>
      </c>
      <c r="J1441" s="31">
        <f t="shared" si="4"/>
        <v>4</v>
      </c>
    </row>
    <row r="1442">
      <c r="A1442" s="28">
        <v>24.0</v>
      </c>
      <c r="B1442" s="28">
        <v>45.0</v>
      </c>
      <c r="C1442" s="28">
        <v>53.4938498402886</v>
      </c>
      <c r="D1442" s="28">
        <v>10.0000482490471</v>
      </c>
      <c r="E1442" s="28" t="s">
        <v>15</v>
      </c>
      <c r="F1442" s="28" t="s">
        <v>168</v>
      </c>
      <c r="G1442" s="29" t="s">
        <v>56</v>
      </c>
      <c r="H1442" s="30" t="s">
        <v>621</v>
      </c>
      <c r="J1442" s="31">
        <f t="shared" si="4"/>
        <v>55</v>
      </c>
    </row>
    <row r="1443">
      <c r="A1443" s="28">
        <v>24.0</v>
      </c>
      <c r="B1443" s="28">
        <v>46.0</v>
      </c>
      <c r="C1443" s="28">
        <v>53.4938373131131</v>
      </c>
      <c r="D1443" s="28">
        <v>10.0002889303086</v>
      </c>
      <c r="E1443" s="28" t="s">
        <v>15</v>
      </c>
      <c r="F1443" s="28" t="s">
        <v>168</v>
      </c>
      <c r="G1443" s="29" t="s">
        <v>141</v>
      </c>
      <c r="H1443" s="30" t="s">
        <v>622</v>
      </c>
      <c r="J1443" s="31">
        <f t="shared" si="4"/>
        <v>51</v>
      </c>
    </row>
    <row r="1444">
      <c r="A1444" s="28">
        <v>24.0</v>
      </c>
      <c r="B1444" s="28">
        <v>47.0</v>
      </c>
      <c r="C1444" s="28">
        <v>53.4938247859377</v>
      </c>
      <c r="D1444" s="28">
        <v>10.0005296114991</v>
      </c>
      <c r="E1444" s="28" t="s">
        <v>15</v>
      </c>
      <c r="F1444" s="28" t="s">
        <v>168</v>
      </c>
      <c r="G1444" s="29" t="s">
        <v>30</v>
      </c>
      <c r="H1444" s="33" t="s">
        <v>623</v>
      </c>
      <c r="J1444" s="31">
        <f t="shared" si="4"/>
        <v>62</v>
      </c>
    </row>
    <row r="1445">
      <c r="A1445" s="28">
        <v>24.0</v>
      </c>
      <c r="B1445" s="28">
        <v>48.0</v>
      </c>
      <c r="C1445" s="28">
        <v>53.4938122587622</v>
      </c>
      <c r="D1445" s="28">
        <v>10.0007702926184</v>
      </c>
      <c r="E1445" s="28" t="s">
        <v>15</v>
      </c>
      <c r="F1445" s="28" t="s">
        <v>168</v>
      </c>
      <c r="G1445" s="29" t="s">
        <v>624</v>
      </c>
      <c r="H1445" s="30" t="s">
        <v>625</v>
      </c>
      <c r="J1445" s="31">
        <f t="shared" si="4"/>
        <v>1</v>
      </c>
    </row>
    <row r="1446">
      <c r="A1446" s="28">
        <v>24.0</v>
      </c>
      <c r="B1446" s="28">
        <v>49.0</v>
      </c>
      <c r="C1446" s="28">
        <v>53.4937997315867</v>
      </c>
      <c r="D1446" s="28">
        <v>10.0010109736666</v>
      </c>
      <c r="E1446" s="28" t="s">
        <v>15</v>
      </c>
      <c r="F1446" s="28" t="s">
        <v>168</v>
      </c>
      <c r="G1446" s="29" t="s">
        <v>626</v>
      </c>
      <c r="H1446" s="30" t="s">
        <v>627</v>
      </c>
      <c r="J1446" s="31">
        <f t="shared" si="4"/>
        <v>2</v>
      </c>
    </row>
    <row r="1447">
      <c r="A1447" s="28">
        <v>24.0</v>
      </c>
      <c r="B1447" s="28">
        <v>50.0</v>
      </c>
      <c r="C1447" s="28">
        <v>53.4937872044113</v>
      </c>
      <c r="D1447" s="28">
        <v>10.0012516546438</v>
      </c>
      <c r="E1447" s="28" t="s">
        <v>15</v>
      </c>
      <c r="F1447" s="28" t="s">
        <v>168</v>
      </c>
      <c r="G1447" s="29" t="s">
        <v>30</v>
      </c>
      <c r="H1447" s="33" t="s">
        <v>628</v>
      </c>
      <c r="J1447" s="31">
        <f t="shared" si="4"/>
        <v>62</v>
      </c>
    </row>
    <row r="1448">
      <c r="A1448" s="28">
        <v>24.0</v>
      </c>
      <c r="B1448" s="28">
        <v>51.0</v>
      </c>
      <c r="C1448" s="28">
        <v>53.4937746772358</v>
      </c>
      <c r="D1448" s="28">
        <v>10.0014923355499</v>
      </c>
      <c r="E1448" s="28" t="s">
        <v>15</v>
      </c>
      <c r="F1448" s="28" t="s">
        <v>168</v>
      </c>
      <c r="G1448" s="29" t="s">
        <v>629</v>
      </c>
      <c r="H1448" s="30" t="s">
        <v>630</v>
      </c>
      <c r="J1448" s="31">
        <f t="shared" si="4"/>
        <v>5</v>
      </c>
    </row>
    <row r="1449">
      <c r="A1449" s="28">
        <v>24.0</v>
      </c>
      <c r="B1449" s="28">
        <v>52.0</v>
      </c>
      <c r="C1449" s="28">
        <v>53.4937621500604</v>
      </c>
      <c r="D1449" s="28">
        <v>10.0017330163849</v>
      </c>
      <c r="E1449" s="28" t="s">
        <v>15</v>
      </c>
      <c r="F1449" s="28" t="s">
        <v>168</v>
      </c>
      <c r="G1449" s="29" t="s">
        <v>631</v>
      </c>
      <c r="H1449" s="30" t="s">
        <v>632</v>
      </c>
      <c r="J1449" s="31">
        <f t="shared" si="4"/>
        <v>3</v>
      </c>
    </row>
    <row r="1450">
      <c r="A1450" s="28">
        <v>24.0</v>
      </c>
      <c r="B1450" s="28">
        <v>53.0</v>
      </c>
      <c r="C1450" s="28">
        <v>53.4937496228849</v>
      </c>
      <c r="D1450" s="28">
        <v>10.0019736971488</v>
      </c>
      <c r="E1450" s="28" t="s">
        <v>15</v>
      </c>
      <c r="F1450" s="28" t="s">
        <v>168</v>
      </c>
      <c r="G1450" s="37" t="s">
        <v>130</v>
      </c>
      <c r="H1450" s="46" t="s">
        <v>633</v>
      </c>
      <c r="J1450" s="31">
        <f>COUNTIF($G$18:$G$3617,G1452)</f>
        <v>2</v>
      </c>
    </row>
    <row r="1451">
      <c r="A1451" s="28">
        <v>24.0</v>
      </c>
      <c r="B1451" s="28">
        <v>54.0</v>
      </c>
      <c r="C1451" s="28">
        <v>53.4937370957095</v>
      </c>
      <c r="D1451" s="28">
        <v>10.0022143778415</v>
      </c>
      <c r="E1451" s="28" t="s">
        <v>15</v>
      </c>
      <c r="F1451" s="28" t="s">
        <v>168</v>
      </c>
      <c r="G1451" s="29" t="s">
        <v>268</v>
      </c>
      <c r="H1451" s="33" t="s">
        <v>634</v>
      </c>
      <c r="J1451" s="31">
        <f>COUNTIF($G$18:$G$3617,G1451)</f>
        <v>4</v>
      </c>
    </row>
    <row r="1452">
      <c r="A1452" s="28">
        <v>24.0</v>
      </c>
      <c r="B1452" s="28">
        <v>55.0</v>
      </c>
      <c r="C1452" s="28">
        <v>53.493724568534</v>
      </c>
      <c r="D1452" s="28">
        <v>10.0024550584632</v>
      </c>
      <c r="E1452" s="28" t="s">
        <v>15</v>
      </c>
      <c r="F1452" s="28" t="s">
        <v>168</v>
      </c>
      <c r="G1452" s="29" t="s">
        <v>626</v>
      </c>
      <c r="H1452" s="30" t="s">
        <v>635</v>
      </c>
      <c r="J1452" s="31">
        <f>COUNTIF($G$18:$G$3617,#REF!)</f>
        <v>0</v>
      </c>
    </row>
    <row r="1453">
      <c r="A1453" s="28">
        <v>24.0</v>
      </c>
      <c r="B1453" s="28">
        <v>56.0</v>
      </c>
      <c r="C1453" s="28">
        <v>53.4937120413585</v>
      </c>
      <c r="D1453" s="28">
        <v>10.0026957390139</v>
      </c>
      <c r="E1453" s="28" t="s">
        <v>15</v>
      </c>
      <c r="F1453" s="28" t="s">
        <v>168</v>
      </c>
      <c r="G1453" s="29" t="s">
        <v>636</v>
      </c>
      <c r="H1453" s="30" t="s">
        <v>637</v>
      </c>
      <c r="J1453" s="31">
        <f t="shared" ref="J1453:J1770" si="5">COUNTIF($G$18:$G$3617,G1453)</f>
        <v>1</v>
      </c>
    </row>
    <row r="1454">
      <c r="A1454" s="28">
        <v>24.0</v>
      </c>
      <c r="B1454" s="28">
        <v>57.0</v>
      </c>
      <c r="C1454" s="28">
        <v>53.4936995141831</v>
      </c>
      <c r="D1454" s="28">
        <v>10.0029364194933</v>
      </c>
      <c r="E1454" s="28" t="s">
        <v>15</v>
      </c>
      <c r="F1454" s="28" t="s">
        <v>168</v>
      </c>
      <c r="G1454" s="29" t="s">
        <v>224</v>
      </c>
      <c r="H1454" s="30" t="s">
        <v>638</v>
      </c>
      <c r="J1454" s="31">
        <f t="shared" si="5"/>
        <v>3</v>
      </c>
    </row>
    <row r="1455">
      <c r="A1455" s="28">
        <v>24.0</v>
      </c>
      <c r="B1455" s="28">
        <v>58.0</v>
      </c>
      <c r="C1455" s="28">
        <v>53.4936869870076</v>
      </c>
      <c r="D1455" s="28">
        <v>10.0031770999017</v>
      </c>
      <c r="E1455" s="28" t="s">
        <v>15</v>
      </c>
      <c r="F1455" s="28" t="s">
        <v>168</v>
      </c>
      <c r="G1455" s="29" t="s">
        <v>192</v>
      </c>
      <c r="H1455" s="33" t="s">
        <v>639</v>
      </c>
      <c r="J1455" s="31">
        <f t="shared" si="5"/>
        <v>3</v>
      </c>
    </row>
    <row r="1456">
      <c r="A1456" s="28">
        <v>24.0</v>
      </c>
      <c r="B1456" s="28">
        <v>59.0</v>
      </c>
      <c r="C1456" s="28">
        <v>53.4936744598322</v>
      </c>
      <c r="D1456" s="28">
        <v>10.003417780239</v>
      </c>
      <c r="E1456" s="28" t="s">
        <v>15</v>
      </c>
      <c r="F1456" s="28" t="s">
        <v>168</v>
      </c>
      <c r="G1456" s="29" t="s">
        <v>225</v>
      </c>
      <c r="H1456" s="30" t="s">
        <v>640</v>
      </c>
      <c r="J1456" s="31">
        <f t="shared" si="5"/>
        <v>2</v>
      </c>
    </row>
    <row r="1457">
      <c r="A1457" s="28">
        <v>24.0</v>
      </c>
      <c r="B1457" s="28">
        <v>60.0</v>
      </c>
      <c r="C1457" s="28">
        <v>53.4936619326567</v>
      </c>
      <c r="D1457" s="28">
        <v>10.0036584605052</v>
      </c>
      <c r="E1457" s="28" t="s">
        <v>25</v>
      </c>
      <c r="F1457" s="28" t="s">
        <v>14</v>
      </c>
      <c r="G1457" s="29" t="s">
        <v>118</v>
      </c>
      <c r="H1457" s="30" t="s">
        <v>641</v>
      </c>
      <c r="J1457" s="31">
        <f t="shared" si="5"/>
        <v>13</v>
      </c>
    </row>
    <row r="1458">
      <c r="A1458" s="28">
        <v>25.0</v>
      </c>
      <c r="B1458" s="28">
        <v>1.0</v>
      </c>
      <c r="C1458" s="28">
        <v>53.494257852499</v>
      </c>
      <c r="D1458" s="28">
        <v>9.98943714605866</v>
      </c>
      <c r="E1458" s="28" t="s">
        <v>25</v>
      </c>
      <c r="F1458" s="28" t="s">
        <v>14</v>
      </c>
      <c r="G1458" s="29" t="s">
        <v>27</v>
      </c>
      <c r="H1458" s="30" t="str">
        <f>HYPERLINK("https://www.munzee.com/m/DarkHaribo/12281/", "DarkHaribo/12281")</f>
        <v>DarkHaribo/12281</v>
      </c>
      <c r="J1458" s="31">
        <f t="shared" si="5"/>
        <v>103</v>
      </c>
    </row>
    <row r="1459">
      <c r="A1459" s="28">
        <v>25.0</v>
      </c>
      <c r="B1459" s="28">
        <v>2.0</v>
      </c>
      <c r="C1459" s="28">
        <v>53.4942453253236</v>
      </c>
      <c r="D1459" s="28">
        <v>9.98967782963598</v>
      </c>
      <c r="E1459" s="28" t="s">
        <v>15</v>
      </c>
      <c r="F1459" s="28" t="s">
        <v>168</v>
      </c>
      <c r="G1459" s="29" t="s">
        <v>118</v>
      </c>
      <c r="H1459" s="30" t="s">
        <v>642</v>
      </c>
      <c r="J1459" s="31">
        <f t="shared" si="5"/>
        <v>13</v>
      </c>
    </row>
    <row r="1460">
      <c r="A1460" s="28">
        <v>25.0</v>
      </c>
      <c r="B1460" s="28">
        <v>3.0</v>
      </c>
      <c r="C1460" s="28">
        <v>53.4942327981481</v>
      </c>
      <c r="D1460" s="28">
        <v>9.98991851314212</v>
      </c>
      <c r="E1460" s="28" t="s">
        <v>15</v>
      </c>
      <c r="F1460" s="28" t="s">
        <v>168</v>
      </c>
      <c r="G1460" s="29" t="s">
        <v>643</v>
      </c>
      <c r="H1460" s="30" t="s">
        <v>644</v>
      </c>
      <c r="J1460" s="31">
        <f t="shared" si="5"/>
        <v>3</v>
      </c>
    </row>
    <row r="1461">
      <c r="A1461" s="28">
        <v>25.0</v>
      </c>
      <c r="B1461" s="28">
        <v>4.0</v>
      </c>
      <c r="C1461" s="28">
        <v>53.4942202709727</v>
      </c>
      <c r="D1461" s="28">
        <v>9.99015919657722</v>
      </c>
      <c r="E1461" s="28" t="s">
        <v>15</v>
      </c>
      <c r="F1461" s="28" t="s">
        <v>168</v>
      </c>
      <c r="G1461" s="29" t="s">
        <v>30</v>
      </c>
      <c r="H1461" s="33" t="s">
        <v>645</v>
      </c>
      <c r="J1461" s="31">
        <f t="shared" si="5"/>
        <v>62</v>
      </c>
    </row>
    <row r="1462">
      <c r="A1462" s="28">
        <v>25.0</v>
      </c>
      <c r="B1462" s="28">
        <v>5.0</v>
      </c>
      <c r="C1462" s="28">
        <v>53.4942077437972</v>
      </c>
      <c r="D1462" s="28">
        <v>9.99039987994126</v>
      </c>
      <c r="E1462" s="28" t="s">
        <v>15</v>
      </c>
      <c r="F1462" s="28" t="s">
        <v>168</v>
      </c>
      <c r="G1462" s="29" t="s">
        <v>629</v>
      </c>
      <c r="H1462" s="30" t="s">
        <v>646</v>
      </c>
      <c r="J1462" s="31">
        <f t="shared" si="5"/>
        <v>5</v>
      </c>
    </row>
    <row r="1463">
      <c r="A1463" s="28">
        <v>25.0</v>
      </c>
      <c r="B1463" s="28">
        <v>6.0</v>
      </c>
      <c r="C1463" s="28">
        <v>53.4941952166218</v>
      </c>
      <c r="D1463" s="28">
        <v>9.99064056323413</v>
      </c>
      <c r="E1463" s="28" t="s">
        <v>15</v>
      </c>
      <c r="F1463" s="28" t="s">
        <v>168</v>
      </c>
      <c r="G1463" s="29" t="s">
        <v>647</v>
      </c>
      <c r="H1463" s="30" t="s">
        <v>648</v>
      </c>
      <c r="J1463" s="31">
        <f t="shared" si="5"/>
        <v>4</v>
      </c>
    </row>
    <row r="1464">
      <c r="A1464" s="28">
        <v>25.0</v>
      </c>
      <c r="B1464" s="28">
        <v>7.0</v>
      </c>
      <c r="C1464" s="28">
        <v>53.4941826894463</v>
      </c>
      <c r="D1464" s="28">
        <v>9.99088124645595</v>
      </c>
      <c r="E1464" s="28" t="s">
        <v>15</v>
      </c>
      <c r="F1464" s="28" t="s">
        <v>168</v>
      </c>
      <c r="G1464" s="29" t="s">
        <v>56</v>
      </c>
      <c r="H1464" s="30" t="s">
        <v>649</v>
      </c>
      <c r="J1464" s="31">
        <f t="shared" si="5"/>
        <v>55</v>
      </c>
    </row>
    <row r="1465">
      <c r="A1465" s="28">
        <v>25.0</v>
      </c>
      <c r="B1465" s="28">
        <v>8.0</v>
      </c>
      <c r="C1465" s="28">
        <v>53.4941701622709</v>
      </c>
      <c r="D1465" s="28">
        <v>9.9911219296066</v>
      </c>
      <c r="E1465" s="28" t="s">
        <v>15</v>
      </c>
      <c r="F1465" s="28" t="s">
        <v>168</v>
      </c>
      <c r="G1465" s="29" t="s">
        <v>47</v>
      </c>
      <c r="H1465" s="35" t="s">
        <v>650</v>
      </c>
      <c r="J1465" s="31">
        <f t="shared" si="5"/>
        <v>44</v>
      </c>
    </row>
    <row r="1466">
      <c r="A1466" s="28">
        <v>25.0</v>
      </c>
      <c r="B1466" s="28">
        <v>9.0</v>
      </c>
      <c r="C1466" s="28">
        <v>53.4941576350954</v>
      </c>
      <c r="D1466" s="28">
        <v>9.9913626126862</v>
      </c>
      <c r="E1466" s="28" t="s">
        <v>15</v>
      </c>
      <c r="F1466" s="28" t="s">
        <v>168</v>
      </c>
      <c r="G1466" s="29" t="s">
        <v>647</v>
      </c>
      <c r="H1466" s="30" t="s">
        <v>651</v>
      </c>
      <c r="J1466" s="31">
        <f t="shared" si="5"/>
        <v>4</v>
      </c>
    </row>
    <row r="1467">
      <c r="A1467" s="28">
        <v>25.0</v>
      </c>
      <c r="B1467" s="28">
        <v>10.0</v>
      </c>
      <c r="C1467" s="28">
        <v>53.4941451079199</v>
      </c>
      <c r="D1467" s="28">
        <v>9.99160329569474</v>
      </c>
      <c r="E1467" s="28" t="s">
        <v>15</v>
      </c>
      <c r="F1467" s="28" t="s">
        <v>168</v>
      </c>
      <c r="G1467" s="29" t="s">
        <v>631</v>
      </c>
      <c r="H1467" s="30" t="s">
        <v>652</v>
      </c>
      <c r="J1467" s="31">
        <f t="shared" si="5"/>
        <v>3</v>
      </c>
    </row>
    <row r="1468">
      <c r="A1468" s="28">
        <v>25.0</v>
      </c>
      <c r="B1468" s="28">
        <v>11.0</v>
      </c>
      <c r="C1468" s="28">
        <v>53.4941325807445</v>
      </c>
      <c r="D1468" s="28">
        <v>9.99184397863211</v>
      </c>
      <c r="E1468" s="28" t="s">
        <v>15</v>
      </c>
      <c r="F1468" s="28" t="s">
        <v>168</v>
      </c>
      <c r="G1468" s="37" t="s">
        <v>47</v>
      </c>
      <c r="H1468" s="35" t="s">
        <v>653</v>
      </c>
      <c r="J1468" s="31">
        <f t="shared" si="5"/>
        <v>44</v>
      </c>
    </row>
    <row r="1469">
      <c r="A1469" s="28">
        <v>25.0</v>
      </c>
      <c r="B1469" s="28">
        <v>12.0</v>
      </c>
      <c r="C1469" s="28">
        <v>53.4941200535691</v>
      </c>
      <c r="D1469" s="28">
        <v>9.99208466149843</v>
      </c>
      <c r="E1469" s="28" t="s">
        <v>15</v>
      </c>
      <c r="F1469" s="28" t="s">
        <v>168</v>
      </c>
      <c r="G1469" s="29" t="s">
        <v>647</v>
      </c>
      <c r="H1469" s="30" t="s">
        <v>654</v>
      </c>
      <c r="J1469" s="31">
        <f t="shared" si="5"/>
        <v>4</v>
      </c>
    </row>
    <row r="1470">
      <c r="A1470" s="28">
        <v>25.0</v>
      </c>
      <c r="B1470" s="28">
        <v>13.0</v>
      </c>
      <c r="C1470" s="28">
        <v>53.4941075263936</v>
      </c>
      <c r="D1470" s="28">
        <v>9.9923253442937</v>
      </c>
      <c r="E1470" s="28" t="s">
        <v>15</v>
      </c>
      <c r="F1470" s="28" t="s">
        <v>168</v>
      </c>
      <c r="G1470" s="29" t="s">
        <v>629</v>
      </c>
      <c r="H1470" s="30" t="s">
        <v>655</v>
      </c>
      <c r="J1470" s="31">
        <f t="shared" si="5"/>
        <v>5</v>
      </c>
    </row>
    <row r="1471">
      <c r="A1471" s="28">
        <v>25.0</v>
      </c>
      <c r="B1471" s="28">
        <v>14.0</v>
      </c>
      <c r="C1471" s="28">
        <v>53.4940949992182</v>
      </c>
      <c r="D1471" s="28">
        <v>9.9925660270178</v>
      </c>
      <c r="E1471" s="28" t="s">
        <v>15</v>
      </c>
      <c r="F1471" s="28" t="s">
        <v>168</v>
      </c>
      <c r="G1471" s="29" t="s">
        <v>47</v>
      </c>
      <c r="H1471" s="35" t="s">
        <v>656</v>
      </c>
      <c r="J1471" s="31">
        <f t="shared" si="5"/>
        <v>44</v>
      </c>
    </row>
    <row r="1472">
      <c r="A1472" s="28">
        <v>25.0</v>
      </c>
      <c r="B1472" s="28">
        <v>15.0</v>
      </c>
      <c r="C1472" s="28">
        <v>53.4940824720427</v>
      </c>
      <c r="D1472" s="28">
        <v>9.99280670967084</v>
      </c>
      <c r="E1472" s="28" t="s">
        <v>15</v>
      </c>
      <c r="F1472" s="28" t="s">
        <v>168</v>
      </c>
      <c r="G1472" s="29" t="s">
        <v>647</v>
      </c>
      <c r="H1472" s="30" t="s">
        <v>657</v>
      </c>
      <c r="J1472" s="31">
        <f t="shared" si="5"/>
        <v>4</v>
      </c>
    </row>
    <row r="1473">
      <c r="A1473" s="28">
        <v>25.0</v>
      </c>
      <c r="B1473" s="28">
        <v>16.0</v>
      </c>
      <c r="C1473" s="28">
        <v>53.4940699448672</v>
      </c>
      <c r="D1473" s="28">
        <v>9.99304739225272</v>
      </c>
      <c r="E1473" s="28" t="s">
        <v>15</v>
      </c>
      <c r="F1473" s="28" t="s">
        <v>168</v>
      </c>
      <c r="G1473" s="29" t="s">
        <v>631</v>
      </c>
      <c r="H1473" s="38"/>
      <c r="J1473" s="31">
        <f t="shared" si="5"/>
        <v>3</v>
      </c>
    </row>
    <row r="1474">
      <c r="A1474" s="28">
        <v>25.0</v>
      </c>
      <c r="B1474" s="28">
        <v>17.0</v>
      </c>
      <c r="C1474" s="28">
        <v>53.4940574176918</v>
      </c>
      <c r="D1474" s="28">
        <v>9.99328807476354</v>
      </c>
      <c r="E1474" s="28" t="s">
        <v>15</v>
      </c>
      <c r="F1474" s="28" t="s">
        <v>168</v>
      </c>
      <c r="G1474" s="29" t="s">
        <v>643</v>
      </c>
      <c r="H1474" s="30" t="s">
        <v>658</v>
      </c>
      <c r="J1474" s="31">
        <f t="shared" si="5"/>
        <v>3</v>
      </c>
    </row>
    <row r="1475">
      <c r="A1475" s="28">
        <v>25.0</v>
      </c>
      <c r="B1475" s="28">
        <v>18.0</v>
      </c>
      <c r="C1475" s="28">
        <v>53.4940448905163</v>
      </c>
      <c r="D1475" s="28">
        <v>9.99352875720319</v>
      </c>
      <c r="E1475" s="28" t="s">
        <v>15</v>
      </c>
      <c r="F1475" s="28" t="s">
        <v>168</v>
      </c>
      <c r="G1475" s="29" t="s">
        <v>47</v>
      </c>
      <c r="H1475" s="35" t="s">
        <v>659</v>
      </c>
      <c r="J1475" s="31">
        <f t="shared" si="5"/>
        <v>44</v>
      </c>
    </row>
    <row r="1476">
      <c r="A1476" s="28">
        <v>25.0</v>
      </c>
      <c r="B1476" s="28">
        <v>19.0</v>
      </c>
      <c r="C1476" s="28">
        <v>53.4940323633409</v>
      </c>
      <c r="D1476" s="28">
        <v>9.99376943957179</v>
      </c>
      <c r="E1476" s="28" t="s">
        <v>15</v>
      </c>
      <c r="F1476" s="28" t="s">
        <v>168</v>
      </c>
      <c r="G1476" s="29" t="s">
        <v>56</v>
      </c>
      <c r="H1476" s="36" t="s">
        <v>660</v>
      </c>
      <c r="J1476" s="31">
        <f t="shared" si="5"/>
        <v>55</v>
      </c>
    </row>
    <row r="1477">
      <c r="A1477" s="28">
        <v>25.0</v>
      </c>
      <c r="B1477" s="28">
        <v>20.0</v>
      </c>
      <c r="C1477" s="28">
        <v>53.4940198361654</v>
      </c>
      <c r="D1477" s="28">
        <v>9.99401012186922</v>
      </c>
      <c r="E1477" s="28" t="s">
        <v>25</v>
      </c>
      <c r="F1477" s="28" t="s">
        <v>14</v>
      </c>
      <c r="G1477" s="38"/>
      <c r="H1477" s="38"/>
      <c r="J1477" s="31">
        <f t="shared" si="5"/>
        <v>0</v>
      </c>
    </row>
    <row r="1478">
      <c r="A1478" s="28">
        <v>25.0</v>
      </c>
      <c r="B1478" s="28">
        <v>21.0</v>
      </c>
      <c r="C1478" s="28">
        <v>53.49400730899</v>
      </c>
      <c r="D1478" s="28">
        <v>9.9942508040956</v>
      </c>
      <c r="E1478" s="28" t="s">
        <v>25</v>
      </c>
      <c r="F1478" s="28" t="s">
        <v>14</v>
      </c>
      <c r="G1478" s="38"/>
      <c r="H1478" s="38"/>
      <c r="J1478" s="31">
        <f t="shared" si="5"/>
        <v>0</v>
      </c>
    </row>
    <row r="1479">
      <c r="A1479" s="28">
        <v>25.0</v>
      </c>
      <c r="B1479" s="28">
        <v>22.0</v>
      </c>
      <c r="C1479" s="28">
        <v>53.4939947818145</v>
      </c>
      <c r="D1479" s="28">
        <v>9.99449148625092</v>
      </c>
      <c r="E1479" s="28" t="s">
        <v>25</v>
      </c>
      <c r="F1479" s="28" t="s">
        <v>14</v>
      </c>
      <c r="G1479" s="38"/>
      <c r="H1479" s="38"/>
      <c r="J1479" s="31">
        <f t="shared" si="5"/>
        <v>0</v>
      </c>
    </row>
    <row r="1480">
      <c r="A1480" s="28">
        <v>25.0</v>
      </c>
      <c r="B1480" s="28">
        <v>23.0</v>
      </c>
      <c r="C1480" s="28">
        <v>53.493982254639</v>
      </c>
      <c r="D1480" s="28">
        <v>9.99473216833507</v>
      </c>
      <c r="E1480" s="28" t="s">
        <v>25</v>
      </c>
      <c r="F1480" s="28" t="s">
        <v>14</v>
      </c>
      <c r="G1480" s="38"/>
      <c r="H1480" s="38"/>
      <c r="J1480" s="31">
        <f t="shared" si="5"/>
        <v>0</v>
      </c>
    </row>
    <row r="1481">
      <c r="A1481" s="28">
        <v>25.0</v>
      </c>
      <c r="B1481" s="28">
        <v>24.0</v>
      </c>
      <c r="C1481" s="28">
        <v>53.4939697274636</v>
      </c>
      <c r="D1481" s="28">
        <v>9.99497285034817</v>
      </c>
      <c r="E1481" s="28" t="s">
        <v>25</v>
      </c>
      <c r="F1481" s="28" t="s">
        <v>14</v>
      </c>
      <c r="G1481" s="38"/>
      <c r="H1481" s="38"/>
      <c r="J1481" s="31">
        <f t="shared" si="5"/>
        <v>0</v>
      </c>
    </row>
    <row r="1482">
      <c r="A1482" s="28">
        <v>25.0</v>
      </c>
      <c r="B1482" s="28">
        <v>25.0</v>
      </c>
      <c r="C1482" s="28">
        <v>53.4939572002881</v>
      </c>
      <c r="D1482" s="28">
        <v>9.9952135322901</v>
      </c>
      <c r="E1482" s="28" t="s">
        <v>25</v>
      </c>
      <c r="F1482" s="28" t="s">
        <v>14</v>
      </c>
      <c r="G1482" s="38"/>
      <c r="H1482" s="38"/>
      <c r="J1482" s="31">
        <f t="shared" si="5"/>
        <v>0</v>
      </c>
    </row>
    <row r="1483">
      <c r="A1483" s="28">
        <v>25.0</v>
      </c>
      <c r="B1483" s="28">
        <v>26.0</v>
      </c>
      <c r="C1483" s="28">
        <v>53.4939446731127</v>
      </c>
      <c r="D1483" s="28">
        <v>9.99545421416098</v>
      </c>
      <c r="E1483" s="28" t="s">
        <v>25</v>
      </c>
      <c r="F1483" s="28" t="s">
        <v>14</v>
      </c>
      <c r="G1483" s="38"/>
      <c r="H1483" s="38"/>
      <c r="J1483" s="31">
        <f t="shared" si="5"/>
        <v>0</v>
      </c>
    </row>
    <row r="1484">
      <c r="A1484" s="28">
        <v>25.0</v>
      </c>
      <c r="B1484" s="28">
        <v>27.0</v>
      </c>
      <c r="C1484" s="28">
        <v>53.4939321459372</v>
      </c>
      <c r="D1484" s="28">
        <v>9.99569489596081</v>
      </c>
      <c r="E1484" s="28" t="s">
        <v>25</v>
      </c>
      <c r="F1484" s="28" t="s">
        <v>14</v>
      </c>
      <c r="G1484" s="38"/>
      <c r="H1484" s="38"/>
      <c r="J1484" s="31">
        <f t="shared" si="5"/>
        <v>0</v>
      </c>
    </row>
    <row r="1485">
      <c r="A1485" s="28">
        <v>25.0</v>
      </c>
      <c r="B1485" s="28">
        <v>28.0</v>
      </c>
      <c r="C1485" s="28">
        <v>53.4939196187618</v>
      </c>
      <c r="D1485" s="28">
        <v>9.99593557768957</v>
      </c>
      <c r="E1485" s="28" t="s">
        <v>25</v>
      </c>
      <c r="F1485" s="28" t="s">
        <v>14</v>
      </c>
      <c r="G1485" s="38"/>
      <c r="H1485" s="38"/>
      <c r="J1485" s="31">
        <f t="shared" si="5"/>
        <v>0</v>
      </c>
    </row>
    <row r="1486">
      <c r="A1486" s="28">
        <v>25.0</v>
      </c>
      <c r="B1486" s="28">
        <v>29.0</v>
      </c>
      <c r="C1486" s="28">
        <v>53.4939070915863</v>
      </c>
      <c r="D1486" s="28">
        <v>9.99617625934718</v>
      </c>
      <c r="E1486" s="28" t="s">
        <v>25</v>
      </c>
      <c r="F1486" s="28" t="s">
        <v>14</v>
      </c>
      <c r="G1486" s="38"/>
      <c r="H1486" s="38"/>
      <c r="J1486" s="31">
        <f t="shared" si="5"/>
        <v>0</v>
      </c>
    </row>
    <row r="1487">
      <c r="A1487" s="28">
        <v>25.0</v>
      </c>
      <c r="B1487" s="28">
        <v>30.0</v>
      </c>
      <c r="C1487" s="28">
        <v>53.4938945644109</v>
      </c>
      <c r="D1487" s="28">
        <v>9.99641694093361</v>
      </c>
      <c r="E1487" s="28" t="s">
        <v>15</v>
      </c>
      <c r="F1487" s="28" t="s">
        <v>168</v>
      </c>
      <c r="G1487" s="29" t="s">
        <v>629</v>
      </c>
      <c r="H1487" s="30" t="s">
        <v>661</v>
      </c>
      <c r="J1487" s="31">
        <f t="shared" si="5"/>
        <v>5</v>
      </c>
    </row>
    <row r="1488">
      <c r="A1488" s="28">
        <v>25.0</v>
      </c>
      <c r="B1488" s="28">
        <v>31.0</v>
      </c>
      <c r="C1488" s="28">
        <v>53.4938820372354</v>
      </c>
      <c r="D1488" s="28">
        <v>9.99665762244899</v>
      </c>
      <c r="E1488" s="28" t="s">
        <v>25</v>
      </c>
      <c r="F1488" s="28" t="s">
        <v>14</v>
      </c>
      <c r="G1488" s="38"/>
      <c r="H1488" s="38"/>
      <c r="J1488" s="31">
        <f t="shared" si="5"/>
        <v>0</v>
      </c>
    </row>
    <row r="1489">
      <c r="A1489" s="28">
        <v>25.0</v>
      </c>
      <c r="B1489" s="28">
        <v>32.0</v>
      </c>
      <c r="C1489" s="28">
        <v>53.4938695100599</v>
      </c>
      <c r="D1489" s="28">
        <v>9.99689830389331</v>
      </c>
      <c r="E1489" s="28" t="s">
        <v>25</v>
      </c>
      <c r="F1489" s="28" t="s">
        <v>14</v>
      </c>
      <c r="G1489" s="38"/>
      <c r="H1489" s="38"/>
      <c r="J1489" s="31">
        <f t="shared" si="5"/>
        <v>0</v>
      </c>
    </row>
    <row r="1490">
      <c r="A1490" s="28">
        <v>25.0</v>
      </c>
      <c r="B1490" s="28">
        <v>33.0</v>
      </c>
      <c r="C1490" s="28">
        <v>53.4938569828845</v>
      </c>
      <c r="D1490" s="28">
        <v>9.99713898526647</v>
      </c>
      <c r="E1490" s="28" t="s">
        <v>25</v>
      </c>
      <c r="F1490" s="28" t="s">
        <v>14</v>
      </c>
      <c r="G1490" s="38"/>
      <c r="H1490" s="38"/>
      <c r="J1490" s="31">
        <f t="shared" si="5"/>
        <v>0</v>
      </c>
    </row>
    <row r="1491">
      <c r="A1491" s="28">
        <v>25.0</v>
      </c>
      <c r="B1491" s="28">
        <v>34.0</v>
      </c>
      <c r="C1491" s="28">
        <v>53.4938444557091</v>
      </c>
      <c r="D1491" s="28">
        <v>9.99737966656857</v>
      </c>
      <c r="E1491" s="28" t="s">
        <v>25</v>
      </c>
      <c r="F1491" s="28" t="s">
        <v>14</v>
      </c>
      <c r="G1491" s="38"/>
      <c r="H1491" s="38"/>
      <c r="J1491" s="31">
        <f t="shared" si="5"/>
        <v>0</v>
      </c>
    </row>
    <row r="1492">
      <c r="A1492" s="28">
        <v>25.0</v>
      </c>
      <c r="B1492" s="28">
        <v>35.0</v>
      </c>
      <c r="C1492" s="28">
        <v>53.4938319285336</v>
      </c>
      <c r="D1492" s="28">
        <v>9.99762034779951</v>
      </c>
      <c r="E1492" s="28" t="s">
        <v>25</v>
      </c>
      <c r="F1492" s="28" t="s">
        <v>14</v>
      </c>
      <c r="G1492" s="38"/>
      <c r="H1492" s="38"/>
      <c r="J1492" s="31">
        <f t="shared" si="5"/>
        <v>0</v>
      </c>
    </row>
    <row r="1493">
      <c r="A1493" s="28">
        <v>25.0</v>
      </c>
      <c r="B1493" s="28">
        <v>36.0</v>
      </c>
      <c r="C1493" s="28">
        <v>53.4938194013581</v>
      </c>
      <c r="D1493" s="28">
        <v>9.99786102895939</v>
      </c>
      <c r="E1493" s="28" t="s">
        <v>25</v>
      </c>
      <c r="F1493" s="28" t="s">
        <v>14</v>
      </c>
      <c r="G1493" s="38"/>
      <c r="H1493" s="38"/>
      <c r="J1493" s="31">
        <f t="shared" si="5"/>
        <v>0</v>
      </c>
    </row>
    <row r="1494">
      <c r="A1494" s="28">
        <v>25.0</v>
      </c>
      <c r="B1494" s="28">
        <v>37.0</v>
      </c>
      <c r="C1494" s="28">
        <v>53.4938068741827</v>
      </c>
      <c r="D1494" s="28">
        <v>9.99810171004821</v>
      </c>
      <c r="E1494" s="28" t="s">
        <v>25</v>
      </c>
      <c r="F1494" s="28" t="s">
        <v>14</v>
      </c>
      <c r="G1494" s="38"/>
      <c r="H1494" s="38"/>
      <c r="J1494" s="31">
        <f t="shared" si="5"/>
        <v>0</v>
      </c>
    </row>
    <row r="1495">
      <c r="A1495" s="28">
        <v>25.0</v>
      </c>
      <c r="B1495" s="28">
        <v>38.0</v>
      </c>
      <c r="C1495" s="28">
        <v>53.4937943470072</v>
      </c>
      <c r="D1495" s="28">
        <v>9.99834239106599</v>
      </c>
      <c r="E1495" s="28" t="s">
        <v>25</v>
      </c>
      <c r="F1495" s="28" t="s">
        <v>14</v>
      </c>
      <c r="G1495" s="38"/>
      <c r="H1495" s="38"/>
      <c r="J1495" s="31">
        <f t="shared" si="5"/>
        <v>0</v>
      </c>
    </row>
    <row r="1496">
      <c r="A1496" s="28">
        <v>25.0</v>
      </c>
      <c r="B1496" s="28">
        <v>39.0</v>
      </c>
      <c r="C1496" s="28">
        <v>53.4937818198318</v>
      </c>
      <c r="D1496" s="28">
        <v>9.99858307201259</v>
      </c>
      <c r="E1496" s="28" t="s">
        <v>25</v>
      </c>
      <c r="F1496" s="28" t="s">
        <v>14</v>
      </c>
      <c r="G1496" s="38"/>
      <c r="H1496" s="38"/>
      <c r="J1496" s="31">
        <f t="shared" si="5"/>
        <v>0</v>
      </c>
    </row>
    <row r="1497">
      <c r="A1497" s="28">
        <v>25.0</v>
      </c>
      <c r="B1497" s="28">
        <v>40.0</v>
      </c>
      <c r="C1497" s="28">
        <v>53.4937692926563</v>
      </c>
      <c r="D1497" s="28">
        <v>9.99882375288802</v>
      </c>
      <c r="E1497" s="28" t="s">
        <v>25</v>
      </c>
      <c r="F1497" s="28" t="s">
        <v>14</v>
      </c>
      <c r="G1497" s="38"/>
      <c r="H1497" s="38"/>
      <c r="J1497" s="31">
        <f t="shared" si="5"/>
        <v>0</v>
      </c>
    </row>
    <row r="1498">
      <c r="A1498" s="28">
        <v>25.0</v>
      </c>
      <c r="B1498" s="28">
        <v>41.0</v>
      </c>
      <c r="C1498" s="28">
        <v>53.4937567654809</v>
      </c>
      <c r="D1498" s="28">
        <v>9.99906443369241</v>
      </c>
      <c r="E1498" s="28" t="s">
        <v>25</v>
      </c>
      <c r="F1498" s="28" t="s">
        <v>14</v>
      </c>
      <c r="G1498" s="38"/>
      <c r="H1498" s="38"/>
      <c r="J1498" s="31">
        <f t="shared" si="5"/>
        <v>0</v>
      </c>
    </row>
    <row r="1499">
      <c r="A1499" s="28">
        <v>25.0</v>
      </c>
      <c r="B1499" s="28">
        <v>42.0</v>
      </c>
      <c r="C1499" s="28">
        <v>53.4937442383054</v>
      </c>
      <c r="D1499" s="28">
        <v>9.99930511442573</v>
      </c>
      <c r="E1499" s="28" t="s">
        <v>25</v>
      </c>
      <c r="F1499" s="28" t="s">
        <v>14</v>
      </c>
      <c r="G1499" s="38"/>
      <c r="H1499" s="38"/>
      <c r="J1499" s="31">
        <f t="shared" si="5"/>
        <v>0</v>
      </c>
    </row>
    <row r="1500">
      <c r="A1500" s="28">
        <v>25.0</v>
      </c>
      <c r="B1500" s="28">
        <v>43.0</v>
      </c>
      <c r="C1500" s="28">
        <v>53.49373171113</v>
      </c>
      <c r="D1500" s="28">
        <v>9.99954579508789</v>
      </c>
      <c r="E1500" s="28" t="s">
        <v>15</v>
      </c>
      <c r="F1500" s="28" t="s">
        <v>168</v>
      </c>
      <c r="G1500" s="29" t="s">
        <v>47</v>
      </c>
      <c r="H1500" s="38"/>
      <c r="J1500" s="31">
        <f t="shared" si="5"/>
        <v>44</v>
      </c>
    </row>
    <row r="1501">
      <c r="A1501" s="28">
        <v>25.0</v>
      </c>
      <c r="B1501" s="28">
        <v>44.0</v>
      </c>
      <c r="C1501" s="28">
        <v>53.4937191839545</v>
      </c>
      <c r="D1501" s="28">
        <v>9.999786475679</v>
      </c>
      <c r="E1501" s="28" t="s">
        <v>15</v>
      </c>
      <c r="F1501" s="28" t="s">
        <v>168</v>
      </c>
      <c r="G1501" s="29" t="s">
        <v>40</v>
      </c>
      <c r="H1501" s="34" t="s">
        <v>662</v>
      </c>
      <c r="J1501" s="31">
        <f t="shared" si="5"/>
        <v>88</v>
      </c>
    </row>
    <row r="1502">
      <c r="A1502" s="28">
        <v>25.0</v>
      </c>
      <c r="B1502" s="28">
        <v>45.0</v>
      </c>
      <c r="C1502" s="28">
        <v>53.4937066567791</v>
      </c>
      <c r="D1502" s="28">
        <v>10.000027156199</v>
      </c>
      <c r="E1502" s="28" t="s">
        <v>15</v>
      </c>
      <c r="F1502" s="28" t="s">
        <v>168</v>
      </c>
      <c r="G1502" s="29" t="s">
        <v>663</v>
      </c>
      <c r="H1502" s="30" t="s">
        <v>664</v>
      </c>
      <c r="J1502" s="31">
        <f t="shared" si="5"/>
        <v>1</v>
      </c>
    </row>
    <row r="1503">
      <c r="A1503" s="28">
        <v>25.0</v>
      </c>
      <c r="B1503" s="28">
        <v>46.0</v>
      </c>
      <c r="C1503" s="28">
        <v>53.4936941296036</v>
      </c>
      <c r="D1503" s="28">
        <v>10.0002678366479</v>
      </c>
      <c r="E1503" s="28" t="s">
        <v>15</v>
      </c>
      <c r="F1503" s="28" t="s">
        <v>168</v>
      </c>
      <c r="G1503" s="29" t="s">
        <v>47</v>
      </c>
      <c r="H1503" s="38"/>
      <c r="J1503" s="31">
        <f t="shared" si="5"/>
        <v>44</v>
      </c>
    </row>
    <row r="1504">
      <c r="A1504" s="28">
        <v>25.0</v>
      </c>
      <c r="B1504" s="28">
        <v>47.0</v>
      </c>
      <c r="C1504" s="28">
        <v>53.4936816024282</v>
      </c>
      <c r="D1504" s="28">
        <v>10.0005085170257</v>
      </c>
      <c r="E1504" s="28" t="s">
        <v>15</v>
      </c>
      <c r="F1504" s="28" t="s">
        <v>168</v>
      </c>
      <c r="G1504" s="29" t="s">
        <v>268</v>
      </c>
      <c r="H1504" s="33" t="s">
        <v>665</v>
      </c>
      <c r="J1504" s="31">
        <f t="shared" si="5"/>
        <v>4</v>
      </c>
    </row>
    <row r="1505">
      <c r="A1505" s="28">
        <v>25.0</v>
      </c>
      <c r="B1505" s="28">
        <v>48.0</v>
      </c>
      <c r="C1505" s="28">
        <v>53.4936690752527</v>
      </c>
      <c r="D1505" s="28">
        <v>10.0007491973324</v>
      </c>
      <c r="E1505" s="28" t="s">
        <v>15</v>
      </c>
      <c r="F1505" s="28" t="s">
        <v>168</v>
      </c>
      <c r="G1505" s="29" t="s">
        <v>629</v>
      </c>
      <c r="H1505" s="30" t="s">
        <v>666</v>
      </c>
      <c r="J1505" s="31">
        <f t="shared" si="5"/>
        <v>5</v>
      </c>
    </row>
    <row r="1506">
      <c r="A1506" s="28">
        <v>25.0</v>
      </c>
      <c r="B1506" s="28">
        <v>49.0</v>
      </c>
      <c r="C1506" s="28">
        <v>53.4936565480773</v>
      </c>
      <c r="D1506" s="28">
        <v>10.000989877568</v>
      </c>
      <c r="E1506" s="28" t="s">
        <v>15</v>
      </c>
      <c r="F1506" s="28" t="s">
        <v>168</v>
      </c>
      <c r="G1506" s="29" t="s">
        <v>47</v>
      </c>
      <c r="H1506" s="38"/>
      <c r="J1506" s="31">
        <f t="shared" si="5"/>
        <v>44</v>
      </c>
    </row>
    <row r="1507">
      <c r="A1507" s="28">
        <v>25.0</v>
      </c>
      <c r="B1507" s="28">
        <v>50.0</v>
      </c>
      <c r="C1507" s="28">
        <v>53.4936440209018</v>
      </c>
      <c r="D1507" s="28">
        <v>10.0012305577325</v>
      </c>
      <c r="E1507" s="28" t="s">
        <v>15</v>
      </c>
      <c r="F1507" s="28" t="s">
        <v>168</v>
      </c>
      <c r="G1507" s="29" t="s">
        <v>40</v>
      </c>
      <c r="H1507" s="34" t="s">
        <v>667</v>
      </c>
      <c r="J1507" s="31">
        <f t="shared" si="5"/>
        <v>88</v>
      </c>
    </row>
    <row r="1508">
      <c r="A1508" s="28">
        <v>25.0</v>
      </c>
      <c r="B1508" s="28">
        <v>51.0</v>
      </c>
      <c r="C1508" s="28">
        <v>53.4936314937264</v>
      </c>
      <c r="D1508" s="28">
        <v>10.0014712378259</v>
      </c>
      <c r="E1508" s="28" t="s">
        <v>15</v>
      </c>
      <c r="F1508" s="28" t="s">
        <v>168</v>
      </c>
      <c r="G1508" s="29" t="s">
        <v>668</v>
      </c>
      <c r="H1508" s="30" t="s">
        <v>669</v>
      </c>
      <c r="J1508" s="31">
        <f t="shared" si="5"/>
        <v>2</v>
      </c>
    </row>
    <row r="1509">
      <c r="A1509" s="28">
        <v>25.0</v>
      </c>
      <c r="B1509" s="28">
        <v>52.0</v>
      </c>
      <c r="C1509" s="28">
        <v>53.4936189665509</v>
      </c>
      <c r="D1509" s="28">
        <v>10.0017119178482</v>
      </c>
      <c r="E1509" s="28" t="s">
        <v>15</v>
      </c>
      <c r="F1509" s="28" t="s">
        <v>168</v>
      </c>
      <c r="G1509" s="29" t="s">
        <v>47</v>
      </c>
      <c r="H1509" s="38"/>
      <c r="J1509" s="31">
        <f t="shared" si="5"/>
        <v>44</v>
      </c>
    </row>
    <row r="1510">
      <c r="A1510" s="28">
        <v>25.0</v>
      </c>
      <c r="B1510" s="28">
        <v>53.0</v>
      </c>
      <c r="C1510" s="28">
        <v>53.4936064393754</v>
      </c>
      <c r="D1510" s="28">
        <v>10.0019525977995</v>
      </c>
      <c r="E1510" s="28" t="s">
        <v>15</v>
      </c>
      <c r="F1510" s="28" t="s">
        <v>168</v>
      </c>
      <c r="G1510" s="29" t="s">
        <v>40</v>
      </c>
      <c r="H1510" s="34" t="s">
        <v>670</v>
      </c>
      <c r="J1510" s="31">
        <f t="shared" si="5"/>
        <v>88</v>
      </c>
    </row>
    <row r="1511">
      <c r="A1511" s="28">
        <v>25.0</v>
      </c>
      <c r="B1511" s="28">
        <v>54.0</v>
      </c>
      <c r="C1511" s="28">
        <v>53.4935939122</v>
      </c>
      <c r="D1511" s="28">
        <v>10.0021932776796</v>
      </c>
      <c r="E1511" s="28" t="s">
        <v>15</v>
      </c>
      <c r="F1511" s="28" t="s">
        <v>168</v>
      </c>
      <c r="G1511" s="29" t="s">
        <v>668</v>
      </c>
      <c r="H1511" s="30" t="s">
        <v>671</v>
      </c>
      <c r="J1511" s="31">
        <f t="shared" si="5"/>
        <v>2</v>
      </c>
    </row>
    <row r="1512">
      <c r="A1512" s="28">
        <v>25.0</v>
      </c>
      <c r="B1512" s="28">
        <v>55.0</v>
      </c>
      <c r="C1512" s="28">
        <v>53.4935813850245</v>
      </c>
      <c r="D1512" s="28">
        <v>10.0024339574887</v>
      </c>
      <c r="E1512" s="28" t="s">
        <v>15</v>
      </c>
      <c r="F1512" s="28" t="s">
        <v>168</v>
      </c>
      <c r="G1512" s="29" t="s">
        <v>47</v>
      </c>
      <c r="H1512" s="38"/>
      <c r="J1512" s="31">
        <f t="shared" si="5"/>
        <v>44</v>
      </c>
    </row>
    <row r="1513">
      <c r="A1513" s="28">
        <v>25.0</v>
      </c>
      <c r="B1513" s="28">
        <v>56.0</v>
      </c>
      <c r="C1513" s="28">
        <v>53.4935688578491</v>
      </c>
      <c r="D1513" s="28">
        <v>10.0026746372266</v>
      </c>
      <c r="E1513" s="28" t="s">
        <v>15</v>
      </c>
      <c r="F1513" s="28" t="s">
        <v>168</v>
      </c>
      <c r="G1513" s="29" t="s">
        <v>40</v>
      </c>
      <c r="H1513" s="34" t="s">
        <v>672</v>
      </c>
      <c r="J1513" s="31">
        <f t="shared" si="5"/>
        <v>88</v>
      </c>
    </row>
    <row r="1514">
      <c r="A1514" s="28">
        <v>25.0</v>
      </c>
      <c r="B1514" s="28">
        <v>57.0</v>
      </c>
      <c r="C1514" s="28">
        <v>53.4935563306736</v>
      </c>
      <c r="D1514" s="28">
        <v>10.0029153168934</v>
      </c>
      <c r="E1514" s="28" t="s">
        <v>15</v>
      </c>
      <c r="F1514" s="28" t="s">
        <v>168</v>
      </c>
      <c r="G1514" s="29" t="s">
        <v>102</v>
      </c>
      <c r="H1514" s="36" t="s">
        <v>673</v>
      </c>
      <c r="J1514" s="31">
        <f t="shared" si="5"/>
        <v>8</v>
      </c>
    </row>
    <row r="1515">
      <c r="A1515" s="28">
        <v>25.0</v>
      </c>
      <c r="B1515" s="28">
        <v>58.0</v>
      </c>
      <c r="C1515" s="28">
        <v>53.4935438034981</v>
      </c>
      <c r="D1515" s="28">
        <v>10.0031559964891</v>
      </c>
      <c r="E1515" s="28" t="s">
        <v>15</v>
      </c>
      <c r="F1515" s="28" t="s">
        <v>168</v>
      </c>
      <c r="G1515" s="29" t="s">
        <v>47</v>
      </c>
      <c r="H1515" s="38"/>
      <c r="J1515" s="31">
        <f t="shared" si="5"/>
        <v>44</v>
      </c>
    </row>
    <row r="1516">
      <c r="A1516" s="28">
        <v>25.0</v>
      </c>
      <c r="B1516" s="28">
        <v>59.0</v>
      </c>
      <c r="C1516" s="28">
        <v>53.4935312763227</v>
      </c>
      <c r="D1516" s="28">
        <v>10.0033966760137</v>
      </c>
      <c r="E1516" s="28" t="s">
        <v>15</v>
      </c>
      <c r="F1516" s="28" t="s">
        <v>168</v>
      </c>
      <c r="G1516" s="29" t="s">
        <v>40</v>
      </c>
      <c r="H1516" s="34" t="s">
        <v>674</v>
      </c>
      <c r="J1516" s="31">
        <f t="shared" si="5"/>
        <v>88</v>
      </c>
    </row>
    <row r="1517">
      <c r="A1517" s="28">
        <v>25.0</v>
      </c>
      <c r="B1517" s="28">
        <v>60.0</v>
      </c>
      <c r="C1517" s="28">
        <v>53.4935187491472</v>
      </c>
      <c r="D1517" s="28">
        <v>10.0036373554672</v>
      </c>
      <c r="E1517" s="28" t="s">
        <v>25</v>
      </c>
      <c r="F1517" s="28" t="s">
        <v>14</v>
      </c>
      <c r="G1517" s="29" t="s">
        <v>27</v>
      </c>
      <c r="H1517" s="30" t="str">
        <f>HYPERLINK("https://www.munzee.com/m/DarkHaribo/12620", "DarkHaribo/12620")</f>
        <v>DarkHaribo/12620</v>
      </c>
      <c r="J1517" s="31">
        <f t="shared" si="5"/>
        <v>103</v>
      </c>
    </row>
    <row r="1518">
      <c r="A1518" s="28">
        <v>26.0</v>
      </c>
      <c r="B1518" s="28">
        <v>1.0</v>
      </c>
      <c r="C1518" s="28">
        <v>53.4941146689895</v>
      </c>
      <c r="D1518" s="28">
        <v>9.98941608903896</v>
      </c>
      <c r="E1518" s="28" t="s">
        <v>25</v>
      </c>
      <c r="F1518" s="28" t="s">
        <v>14</v>
      </c>
      <c r="G1518" s="29" t="s">
        <v>47</v>
      </c>
      <c r="H1518" s="33" t="s">
        <v>675</v>
      </c>
      <c r="J1518" s="31">
        <f t="shared" si="5"/>
        <v>44</v>
      </c>
    </row>
    <row r="1519">
      <c r="A1519" s="28">
        <v>26.0</v>
      </c>
      <c r="B1519" s="28">
        <v>2.0</v>
      </c>
      <c r="C1519" s="28">
        <v>53.494102141814</v>
      </c>
      <c r="D1519" s="28">
        <v>9.98965677180365</v>
      </c>
      <c r="E1519" s="28" t="s">
        <v>15</v>
      </c>
      <c r="F1519" s="28" t="s">
        <v>168</v>
      </c>
      <c r="G1519" s="29" t="s">
        <v>189</v>
      </c>
      <c r="H1519" s="30" t="s">
        <v>676</v>
      </c>
      <c r="J1519" s="31">
        <f t="shared" si="5"/>
        <v>40</v>
      </c>
    </row>
    <row r="1520">
      <c r="A1520" s="28">
        <v>26.0</v>
      </c>
      <c r="B1520" s="28">
        <v>3.0</v>
      </c>
      <c r="C1520" s="28">
        <v>53.4940896146386</v>
      </c>
      <c r="D1520" s="28">
        <v>9.98989745449716</v>
      </c>
      <c r="E1520" s="28" t="s">
        <v>15</v>
      </c>
      <c r="F1520" s="28" t="s">
        <v>168</v>
      </c>
      <c r="G1520" s="29" t="s">
        <v>94</v>
      </c>
      <c r="H1520" s="33" t="s">
        <v>677</v>
      </c>
      <c r="J1520" s="31">
        <f t="shared" si="5"/>
        <v>42</v>
      </c>
    </row>
    <row r="1521">
      <c r="A1521" s="28">
        <v>26.0</v>
      </c>
      <c r="B1521" s="28">
        <v>4.0</v>
      </c>
      <c r="C1521" s="28">
        <v>53.4940770874631</v>
      </c>
      <c r="D1521" s="28">
        <v>9.99013813711963</v>
      </c>
      <c r="E1521" s="28" t="s">
        <v>15</v>
      </c>
      <c r="F1521" s="28" t="s">
        <v>168</v>
      </c>
      <c r="G1521" s="29" t="s">
        <v>47</v>
      </c>
      <c r="H1521" s="38"/>
      <c r="J1521" s="31">
        <f t="shared" si="5"/>
        <v>44</v>
      </c>
    </row>
    <row r="1522">
      <c r="A1522" s="28">
        <v>26.0</v>
      </c>
      <c r="B1522" s="28">
        <v>5.0</v>
      </c>
      <c r="C1522" s="28">
        <v>53.4940645602877</v>
      </c>
      <c r="D1522" s="28">
        <v>9.99037881967092</v>
      </c>
      <c r="E1522" s="28" t="s">
        <v>15</v>
      </c>
      <c r="F1522" s="28" t="s">
        <v>168</v>
      </c>
      <c r="G1522" s="29" t="s">
        <v>189</v>
      </c>
      <c r="H1522" s="30" t="s">
        <v>678</v>
      </c>
      <c r="J1522" s="31">
        <f t="shared" si="5"/>
        <v>40</v>
      </c>
    </row>
    <row r="1523">
      <c r="A1523" s="28">
        <v>26.0</v>
      </c>
      <c r="B1523" s="28">
        <v>6.0</v>
      </c>
      <c r="C1523" s="28">
        <v>53.4940520331122</v>
      </c>
      <c r="D1523" s="28">
        <v>9.99061950215116</v>
      </c>
      <c r="E1523" s="28" t="s">
        <v>15</v>
      </c>
      <c r="F1523" s="28" t="s">
        <v>168</v>
      </c>
      <c r="G1523" s="29" t="s">
        <v>94</v>
      </c>
      <c r="H1523" s="33" t="s">
        <v>679</v>
      </c>
      <c r="J1523" s="31">
        <f t="shared" si="5"/>
        <v>42</v>
      </c>
    </row>
    <row r="1524">
      <c r="A1524" s="28">
        <v>26.0</v>
      </c>
      <c r="B1524" s="28">
        <v>7.0</v>
      </c>
      <c r="C1524" s="28">
        <v>53.4940395059367</v>
      </c>
      <c r="D1524" s="28">
        <v>9.99086018456023</v>
      </c>
      <c r="E1524" s="28" t="s">
        <v>15</v>
      </c>
      <c r="F1524" s="28" t="s">
        <v>168</v>
      </c>
      <c r="G1524" s="29" t="s">
        <v>40</v>
      </c>
      <c r="H1524" s="36" t="s">
        <v>680</v>
      </c>
      <c r="J1524" s="31">
        <f t="shared" si="5"/>
        <v>88</v>
      </c>
    </row>
    <row r="1525">
      <c r="A1525" s="28">
        <v>26.0</v>
      </c>
      <c r="B1525" s="28">
        <v>8.0</v>
      </c>
      <c r="C1525" s="28">
        <v>53.4940269787613</v>
      </c>
      <c r="D1525" s="28">
        <v>9.99110086689825</v>
      </c>
      <c r="E1525" s="28" t="s">
        <v>15</v>
      </c>
      <c r="F1525" s="28" t="s">
        <v>168</v>
      </c>
      <c r="G1525" s="29" t="s">
        <v>189</v>
      </c>
      <c r="H1525" s="30" t="s">
        <v>681</v>
      </c>
      <c r="J1525" s="31">
        <f t="shared" si="5"/>
        <v>40</v>
      </c>
    </row>
    <row r="1526">
      <c r="A1526" s="28">
        <v>26.0</v>
      </c>
      <c r="B1526" s="28">
        <v>9.0</v>
      </c>
      <c r="C1526" s="28">
        <v>53.4940144515858</v>
      </c>
      <c r="D1526" s="28">
        <v>9.99134154916521</v>
      </c>
      <c r="E1526" s="28" t="s">
        <v>15</v>
      </c>
      <c r="F1526" s="28" t="s">
        <v>168</v>
      </c>
      <c r="G1526" s="29" t="s">
        <v>94</v>
      </c>
      <c r="H1526" s="33" t="s">
        <v>682</v>
      </c>
      <c r="J1526" s="31">
        <f t="shared" si="5"/>
        <v>42</v>
      </c>
    </row>
    <row r="1527">
      <c r="A1527" s="28">
        <v>26.0</v>
      </c>
      <c r="B1527" s="28">
        <v>10.0</v>
      </c>
      <c r="C1527" s="28">
        <v>53.4940019244104</v>
      </c>
      <c r="D1527" s="28">
        <v>9.991582231361</v>
      </c>
      <c r="E1527" s="28" t="s">
        <v>15</v>
      </c>
      <c r="F1527" s="28" t="s">
        <v>168</v>
      </c>
      <c r="G1527" s="29" t="s">
        <v>40</v>
      </c>
      <c r="H1527" s="36" t="s">
        <v>683</v>
      </c>
      <c r="J1527" s="31">
        <f t="shared" si="5"/>
        <v>88</v>
      </c>
    </row>
    <row r="1528">
      <c r="A1528" s="28">
        <v>26.0</v>
      </c>
      <c r="B1528" s="28">
        <v>11.0</v>
      </c>
      <c r="C1528" s="28">
        <v>53.4939893972349</v>
      </c>
      <c r="D1528" s="28">
        <v>9.99182291348574</v>
      </c>
      <c r="E1528" s="28" t="s">
        <v>15</v>
      </c>
      <c r="F1528" s="28" t="s">
        <v>168</v>
      </c>
      <c r="G1528" s="29" t="s">
        <v>189</v>
      </c>
      <c r="H1528" s="30" t="s">
        <v>684</v>
      </c>
      <c r="J1528" s="31">
        <f t="shared" si="5"/>
        <v>40</v>
      </c>
    </row>
    <row r="1529">
      <c r="A1529" s="28">
        <v>26.0</v>
      </c>
      <c r="B1529" s="28">
        <v>12.0</v>
      </c>
      <c r="C1529" s="28">
        <v>53.4939768700595</v>
      </c>
      <c r="D1529" s="28">
        <v>9.99206359553932</v>
      </c>
      <c r="E1529" s="28" t="s">
        <v>15</v>
      </c>
      <c r="F1529" s="28" t="s">
        <v>168</v>
      </c>
      <c r="G1529" s="29" t="s">
        <v>685</v>
      </c>
      <c r="H1529" s="30" t="s">
        <v>686</v>
      </c>
      <c r="J1529" s="31">
        <f t="shared" si="5"/>
        <v>1</v>
      </c>
    </row>
    <row r="1530">
      <c r="A1530" s="28">
        <v>26.0</v>
      </c>
      <c r="B1530" s="28">
        <v>13.0</v>
      </c>
      <c r="C1530" s="28">
        <v>53.493964342884</v>
      </c>
      <c r="D1530" s="28">
        <v>9.99230427752184</v>
      </c>
      <c r="E1530" s="28" t="s">
        <v>15</v>
      </c>
      <c r="F1530" s="28" t="s">
        <v>168</v>
      </c>
      <c r="G1530" s="29" t="s">
        <v>40</v>
      </c>
      <c r="H1530" s="36" t="s">
        <v>687</v>
      </c>
      <c r="J1530" s="31">
        <f t="shared" si="5"/>
        <v>88</v>
      </c>
    </row>
    <row r="1531">
      <c r="A1531" s="28">
        <v>26.0</v>
      </c>
      <c r="B1531" s="28">
        <v>14.0</v>
      </c>
      <c r="C1531" s="28">
        <v>53.4939518157085</v>
      </c>
      <c r="D1531" s="28">
        <v>9.9925449594333</v>
      </c>
      <c r="E1531" s="28" t="s">
        <v>15</v>
      </c>
      <c r="F1531" s="28" t="s">
        <v>168</v>
      </c>
      <c r="G1531" s="29" t="s">
        <v>189</v>
      </c>
      <c r="H1531" s="30" t="s">
        <v>688</v>
      </c>
      <c r="J1531" s="31">
        <f t="shared" si="5"/>
        <v>40</v>
      </c>
    </row>
    <row r="1532">
      <c r="A1532" s="28">
        <v>26.0</v>
      </c>
      <c r="B1532" s="28">
        <v>15.0</v>
      </c>
      <c r="C1532" s="28">
        <v>53.4939392885331</v>
      </c>
      <c r="D1532" s="28">
        <v>9.9927856412736</v>
      </c>
      <c r="E1532" s="28" t="s">
        <v>15</v>
      </c>
      <c r="F1532" s="28" t="s">
        <v>168</v>
      </c>
      <c r="G1532" s="29" t="s">
        <v>689</v>
      </c>
      <c r="H1532" s="30" t="s">
        <v>690</v>
      </c>
      <c r="J1532" s="31">
        <f t="shared" si="5"/>
        <v>1</v>
      </c>
    </row>
    <row r="1533">
      <c r="A1533" s="28">
        <v>26.0</v>
      </c>
      <c r="B1533" s="28">
        <v>16.0</v>
      </c>
      <c r="C1533" s="28">
        <v>53.4939267613576</v>
      </c>
      <c r="D1533" s="28">
        <v>9.99302632304284</v>
      </c>
      <c r="E1533" s="28" t="s">
        <v>15</v>
      </c>
      <c r="F1533" s="28" t="s">
        <v>168</v>
      </c>
      <c r="G1533" s="29" t="s">
        <v>40</v>
      </c>
      <c r="H1533" s="34" t="s">
        <v>691</v>
      </c>
      <c r="J1533" s="31">
        <f t="shared" si="5"/>
        <v>88</v>
      </c>
    </row>
    <row r="1534">
      <c r="A1534" s="28">
        <v>26.0</v>
      </c>
      <c r="B1534" s="28">
        <v>17.0</v>
      </c>
      <c r="C1534" s="28">
        <v>53.4939142341822</v>
      </c>
      <c r="D1534" s="28">
        <v>9.99326700474102</v>
      </c>
      <c r="E1534" s="28" t="s">
        <v>15</v>
      </c>
      <c r="F1534" s="28" t="s">
        <v>168</v>
      </c>
      <c r="G1534" s="29" t="s">
        <v>189</v>
      </c>
      <c r="H1534" s="30" t="s">
        <v>692</v>
      </c>
      <c r="J1534" s="31">
        <f t="shared" si="5"/>
        <v>40</v>
      </c>
    </row>
    <row r="1535">
      <c r="A1535" s="28">
        <v>26.0</v>
      </c>
      <c r="B1535" s="28">
        <v>18.0</v>
      </c>
      <c r="C1535" s="28">
        <v>53.4939017070067</v>
      </c>
      <c r="D1535" s="28">
        <v>9.99350768636804</v>
      </c>
      <c r="E1535" s="28" t="s">
        <v>15</v>
      </c>
      <c r="F1535" s="28" t="s">
        <v>168</v>
      </c>
      <c r="G1535" s="29" t="s">
        <v>102</v>
      </c>
      <c r="H1535" s="36" t="s">
        <v>693</v>
      </c>
      <c r="J1535" s="31">
        <f t="shared" si="5"/>
        <v>8</v>
      </c>
    </row>
    <row r="1536">
      <c r="A1536" s="28">
        <v>26.0</v>
      </c>
      <c r="B1536" s="28">
        <v>19.0</v>
      </c>
      <c r="C1536" s="28">
        <v>53.4938891798313</v>
      </c>
      <c r="D1536" s="28">
        <v>9.99374836792401</v>
      </c>
      <c r="E1536" s="28" t="s">
        <v>15</v>
      </c>
      <c r="F1536" s="28" t="s">
        <v>168</v>
      </c>
      <c r="G1536" s="29" t="s">
        <v>40</v>
      </c>
      <c r="H1536" s="36" t="s">
        <v>694</v>
      </c>
      <c r="J1536" s="31">
        <f t="shared" si="5"/>
        <v>88</v>
      </c>
    </row>
    <row r="1537">
      <c r="A1537" s="28">
        <v>26.0</v>
      </c>
      <c r="B1537" s="28">
        <v>20.0</v>
      </c>
      <c r="C1537" s="28">
        <v>53.4938766526558</v>
      </c>
      <c r="D1537" s="28">
        <v>9.99398904940881</v>
      </c>
      <c r="E1537" s="28" t="s">
        <v>25</v>
      </c>
      <c r="F1537" s="28" t="s">
        <v>14</v>
      </c>
      <c r="G1537" s="38"/>
      <c r="H1537" s="38"/>
      <c r="J1537" s="31">
        <f t="shared" si="5"/>
        <v>0</v>
      </c>
    </row>
    <row r="1538">
      <c r="A1538" s="28">
        <v>26.0</v>
      </c>
      <c r="B1538" s="28">
        <v>21.0</v>
      </c>
      <c r="C1538" s="28">
        <v>53.4938641254804</v>
      </c>
      <c r="D1538" s="28">
        <v>9.99422973082255</v>
      </c>
      <c r="E1538" s="28" t="s">
        <v>25</v>
      </c>
      <c r="F1538" s="28" t="s">
        <v>14</v>
      </c>
      <c r="G1538" s="38"/>
      <c r="H1538" s="38"/>
      <c r="J1538" s="31">
        <f t="shared" si="5"/>
        <v>0</v>
      </c>
    </row>
    <row r="1539">
      <c r="A1539" s="28">
        <v>26.0</v>
      </c>
      <c r="B1539" s="28">
        <v>22.0</v>
      </c>
      <c r="C1539" s="28">
        <v>53.4938515983049</v>
      </c>
      <c r="D1539" s="28">
        <v>9.99447041216512</v>
      </c>
      <c r="E1539" s="28" t="s">
        <v>25</v>
      </c>
      <c r="F1539" s="28" t="s">
        <v>14</v>
      </c>
      <c r="G1539" s="38"/>
      <c r="H1539" s="38"/>
      <c r="J1539" s="31">
        <f t="shared" si="5"/>
        <v>0</v>
      </c>
    </row>
    <row r="1540">
      <c r="A1540" s="28">
        <v>26.0</v>
      </c>
      <c r="B1540" s="28">
        <v>23.0</v>
      </c>
      <c r="C1540" s="28">
        <v>53.4938390711294</v>
      </c>
      <c r="D1540" s="28">
        <v>9.99471109343665</v>
      </c>
      <c r="E1540" s="28" t="s">
        <v>25</v>
      </c>
      <c r="F1540" s="28" t="s">
        <v>14</v>
      </c>
      <c r="G1540" s="38"/>
      <c r="H1540" s="38"/>
      <c r="J1540" s="31">
        <f t="shared" si="5"/>
        <v>0</v>
      </c>
    </row>
    <row r="1541">
      <c r="A1541" s="28">
        <v>26.0</v>
      </c>
      <c r="B1541" s="28">
        <v>24.0</v>
      </c>
      <c r="C1541" s="28">
        <v>53.493826543954</v>
      </c>
      <c r="D1541" s="28">
        <v>9.99495177463711</v>
      </c>
      <c r="E1541" s="28" t="s">
        <v>25</v>
      </c>
      <c r="F1541" s="28" t="s">
        <v>14</v>
      </c>
      <c r="G1541" s="38"/>
      <c r="H1541" s="38"/>
      <c r="J1541" s="31">
        <f t="shared" si="5"/>
        <v>0</v>
      </c>
    </row>
    <row r="1542">
      <c r="A1542" s="28">
        <v>26.0</v>
      </c>
      <c r="B1542" s="28">
        <v>25.0</v>
      </c>
      <c r="C1542" s="28">
        <v>53.4938140167785</v>
      </c>
      <c r="D1542" s="28">
        <v>9.99519245576652</v>
      </c>
      <c r="E1542" s="28" t="s">
        <v>25</v>
      </c>
      <c r="F1542" s="28" t="s">
        <v>14</v>
      </c>
      <c r="G1542" s="38"/>
      <c r="H1542" s="38"/>
      <c r="J1542" s="31">
        <f t="shared" si="5"/>
        <v>0</v>
      </c>
    </row>
    <row r="1543">
      <c r="A1543" s="28">
        <v>26.0</v>
      </c>
      <c r="B1543" s="28">
        <v>26.0</v>
      </c>
      <c r="C1543" s="28">
        <v>53.493801489603</v>
      </c>
      <c r="D1543" s="28">
        <v>9.99543313682477</v>
      </c>
      <c r="E1543" s="28" t="s">
        <v>25</v>
      </c>
      <c r="F1543" s="28" t="s">
        <v>14</v>
      </c>
      <c r="G1543" s="38"/>
      <c r="H1543" s="38"/>
      <c r="J1543" s="31">
        <f t="shared" si="5"/>
        <v>0</v>
      </c>
    </row>
    <row r="1544">
      <c r="A1544" s="28">
        <v>26.0</v>
      </c>
      <c r="B1544" s="28">
        <v>27.0</v>
      </c>
      <c r="C1544" s="28">
        <v>53.4937889624276</v>
      </c>
      <c r="D1544" s="28">
        <v>9.99567381781184</v>
      </c>
      <c r="E1544" s="28" t="s">
        <v>25</v>
      </c>
      <c r="F1544" s="28" t="s">
        <v>14</v>
      </c>
      <c r="G1544" s="38"/>
      <c r="H1544" s="38"/>
      <c r="J1544" s="31">
        <f t="shared" si="5"/>
        <v>0</v>
      </c>
    </row>
    <row r="1545">
      <c r="A1545" s="28">
        <v>26.0</v>
      </c>
      <c r="B1545" s="28">
        <v>28.0</v>
      </c>
      <c r="C1545" s="28">
        <v>53.4937764352521</v>
      </c>
      <c r="D1545" s="28">
        <v>9.99591449872787</v>
      </c>
      <c r="E1545" s="28" t="s">
        <v>25</v>
      </c>
      <c r="F1545" s="28" t="s">
        <v>14</v>
      </c>
      <c r="G1545" s="38"/>
      <c r="H1545" s="38"/>
      <c r="J1545" s="31">
        <f t="shared" si="5"/>
        <v>0</v>
      </c>
    </row>
    <row r="1546">
      <c r="A1546" s="28">
        <v>26.0</v>
      </c>
      <c r="B1546" s="28">
        <v>29.0</v>
      </c>
      <c r="C1546" s="28">
        <v>53.4937639080767</v>
      </c>
      <c r="D1546" s="28">
        <v>9.99615517957283</v>
      </c>
      <c r="E1546" s="28" t="s">
        <v>15</v>
      </c>
      <c r="F1546" s="28" t="s">
        <v>168</v>
      </c>
      <c r="G1546" s="29" t="s">
        <v>189</v>
      </c>
      <c r="H1546" s="30" t="s">
        <v>695</v>
      </c>
      <c r="J1546" s="31">
        <f t="shared" si="5"/>
        <v>40</v>
      </c>
    </row>
    <row r="1547">
      <c r="A1547" s="28">
        <v>26.0</v>
      </c>
      <c r="B1547" s="28">
        <v>30.0</v>
      </c>
      <c r="C1547" s="28">
        <v>53.4937513809012</v>
      </c>
      <c r="D1547" s="28">
        <v>9.99639586034663</v>
      </c>
      <c r="E1547" s="28" t="s">
        <v>15</v>
      </c>
      <c r="F1547" s="28" t="s">
        <v>168</v>
      </c>
      <c r="G1547" s="29" t="s">
        <v>47</v>
      </c>
      <c r="H1547" s="38"/>
      <c r="J1547" s="31">
        <f t="shared" si="5"/>
        <v>44</v>
      </c>
    </row>
    <row r="1548">
      <c r="A1548" s="28">
        <v>26.0</v>
      </c>
      <c r="B1548" s="28">
        <v>31.0</v>
      </c>
      <c r="C1548" s="28">
        <v>53.4937388537258</v>
      </c>
      <c r="D1548" s="28">
        <v>9.99663654104938</v>
      </c>
      <c r="E1548" s="28" t="s">
        <v>15</v>
      </c>
      <c r="F1548" s="28" t="s">
        <v>168</v>
      </c>
      <c r="G1548" s="29" t="s">
        <v>40</v>
      </c>
      <c r="H1548" s="36" t="s">
        <v>696</v>
      </c>
      <c r="J1548" s="31">
        <f t="shared" si="5"/>
        <v>88</v>
      </c>
    </row>
    <row r="1549">
      <c r="A1549" s="28">
        <v>26.0</v>
      </c>
      <c r="B1549" s="28">
        <v>32.0</v>
      </c>
      <c r="C1549" s="28">
        <v>53.4937263265503</v>
      </c>
      <c r="D1549" s="28">
        <v>9.99687722168096</v>
      </c>
      <c r="E1549" s="28" t="s">
        <v>25</v>
      </c>
      <c r="F1549" s="28" t="s">
        <v>14</v>
      </c>
      <c r="G1549" s="38"/>
      <c r="H1549" s="38"/>
      <c r="J1549" s="31">
        <f t="shared" si="5"/>
        <v>0</v>
      </c>
    </row>
    <row r="1550">
      <c r="A1550" s="28">
        <v>26.0</v>
      </c>
      <c r="B1550" s="28">
        <v>33.0</v>
      </c>
      <c r="C1550" s="28">
        <v>53.4937137993749</v>
      </c>
      <c r="D1550" s="28">
        <v>9.99711790224148</v>
      </c>
      <c r="E1550" s="28" t="s">
        <v>25</v>
      </c>
      <c r="F1550" s="28" t="s">
        <v>14</v>
      </c>
      <c r="G1550" s="38"/>
      <c r="H1550" s="38"/>
      <c r="J1550" s="31">
        <f t="shared" si="5"/>
        <v>0</v>
      </c>
    </row>
    <row r="1551">
      <c r="A1551" s="28">
        <v>26.0</v>
      </c>
      <c r="B1551" s="28">
        <v>34.0</v>
      </c>
      <c r="C1551" s="28">
        <v>53.4937012721994</v>
      </c>
      <c r="D1551" s="28">
        <v>9.99735858273095</v>
      </c>
      <c r="E1551" s="28" t="s">
        <v>25</v>
      </c>
      <c r="F1551" s="28" t="s">
        <v>14</v>
      </c>
      <c r="G1551" s="38"/>
      <c r="H1551" s="38"/>
      <c r="J1551" s="31">
        <f t="shared" si="5"/>
        <v>0</v>
      </c>
    </row>
    <row r="1552">
      <c r="A1552" s="28">
        <v>26.0</v>
      </c>
      <c r="B1552" s="28">
        <v>35.0</v>
      </c>
      <c r="C1552" s="28">
        <v>53.493688745024</v>
      </c>
      <c r="D1552" s="28">
        <v>9.99759926314936</v>
      </c>
      <c r="E1552" s="28" t="s">
        <v>25</v>
      </c>
      <c r="F1552" s="28" t="s">
        <v>14</v>
      </c>
      <c r="G1552" s="38"/>
      <c r="H1552" s="38"/>
      <c r="J1552" s="31">
        <f t="shared" si="5"/>
        <v>0</v>
      </c>
    </row>
    <row r="1553">
      <c r="A1553" s="28">
        <v>26.0</v>
      </c>
      <c r="B1553" s="28">
        <v>36.0</v>
      </c>
      <c r="C1553" s="28">
        <v>53.4936762178485</v>
      </c>
      <c r="D1553" s="28">
        <v>9.99783994349661</v>
      </c>
      <c r="E1553" s="28" t="s">
        <v>25</v>
      </c>
      <c r="F1553" s="28" t="s">
        <v>14</v>
      </c>
      <c r="G1553" s="38"/>
      <c r="H1553" s="38"/>
      <c r="J1553" s="31">
        <f t="shared" si="5"/>
        <v>0</v>
      </c>
    </row>
    <row r="1554">
      <c r="A1554" s="28">
        <v>26.0</v>
      </c>
      <c r="B1554" s="28">
        <v>37.0</v>
      </c>
      <c r="C1554" s="28">
        <v>53.4936636906731</v>
      </c>
      <c r="D1554" s="28">
        <v>9.9980806237728</v>
      </c>
      <c r="E1554" s="28" t="s">
        <v>25</v>
      </c>
      <c r="F1554" s="28" t="s">
        <v>14</v>
      </c>
      <c r="G1554" s="38"/>
      <c r="H1554" s="38"/>
      <c r="J1554" s="31">
        <f t="shared" si="5"/>
        <v>0</v>
      </c>
    </row>
    <row r="1555">
      <c r="A1555" s="28">
        <v>26.0</v>
      </c>
      <c r="B1555" s="28">
        <v>38.0</v>
      </c>
      <c r="C1555" s="28">
        <v>53.4936511634976</v>
      </c>
      <c r="D1555" s="28">
        <v>9.99832130397783</v>
      </c>
      <c r="E1555" s="28" t="s">
        <v>25</v>
      </c>
      <c r="F1555" s="28" t="s">
        <v>14</v>
      </c>
      <c r="G1555" s="38"/>
      <c r="H1555" s="38"/>
      <c r="J1555" s="31">
        <f t="shared" si="5"/>
        <v>0</v>
      </c>
    </row>
    <row r="1556">
      <c r="A1556" s="28">
        <v>26.0</v>
      </c>
      <c r="B1556" s="28">
        <v>39.0</v>
      </c>
      <c r="C1556" s="28">
        <v>53.4936386363221</v>
      </c>
      <c r="D1556" s="28">
        <v>9.9985619841118</v>
      </c>
      <c r="E1556" s="28" t="s">
        <v>25</v>
      </c>
      <c r="F1556" s="28" t="s">
        <v>14</v>
      </c>
      <c r="G1556" s="38"/>
      <c r="H1556" s="38"/>
      <c r="J1556" s="31">
        <f t="shared" si="5"/>
        <v>0</v>
      </c>
    </row>
    <row r="1557">
      <c r="A1557" s="28">
        <v>26.0</v>
      </c>
      <c r="B1557" s="28">
        <v>40.0</v>
      </c>
      <c r="C1557" s="28">
        <v>53.4936261091467</v>
      </c>
      <c r="D1557" s="28">
        <v>9.99880266417471</v>
      </c>
      <c r="E1557" s="28" t="s">
        <v>25</v>
      </c>
      <c r="F1557" s="28" t="s">
        <v>14</v>
      </c>
      <c r="G1557" s="38"/>
      <c r="H1557" s="38"/>
      <c r="J1557" s="31">
        <f t="shared" si="5"/>
        <v>0</v>
      </c>
    </row>
    <row r="1558">
      <c r="A1558" s="28">
        <v>26.0</v>
      </c>
      <c r="B1558" s="28">
        <v>41.0</v>
      </c>
      <c r="C1558" s="28">
        <v>53.4936135819712</v>
      </c>
      <c r="D1558" s="28">
        <v>9.99904334416646</v>
      </c>
      <c r="E1558" s="28" t="s">
        <v>15</v>
      </c>
      <c r="F1558" s="28" t="s">
        <v>168</v>
      </c>
      <c r="G1558" s="29" t="s">
        <v>189</v>
      </c>
      <c r="H1558" s="30" t="s">
        <v>697</v>
      </c>
      <c r="J1558" s="31">
        <f t="shared" si="5"/>
        <v>40</v>
      </c>
    </row>
    <row r="1559">
      <c r="A1559" s="28">
        <v>26.0</v>
      </c>
      <c r="B1559" s="28">
        <v>42.0</v>
      </c>
      <c r="C1559" s="28">
        <v>53.4936010547958</v>
      </c>
      <c r="D1559" s="28">
        <v>9.99928402408716</v>
      </c>
      <c r="E1559" s="28" t="s">
        <v>15</v>
      </c>
      <c r="F1559" s="28" t="s">
        <v>168</v>
      </c>
      <c r="G1559" s="29" t="s">
        <v>56</v>
      </c>
      <c r="H1559" s="36" t="s">
        <v>698</v>
      </c>
      <c r="J1559" s="31">
        <f t="shared" si="5"/>
        <v>55</v>
      </c>
    </row>
    <row r="1560">
      <c r="A1560" s="28">
        <v>26.0</v>
      </c>
      <c r="B1560" s="28">
        <v>43.0</v>
      </c>
      <c r="C1560" s="28">
        <v>53.4935885276203</v>
      </c>
      <c r="D1560" s="28">
        <v>9.99952470393668</v>
      </c>
      <c r="E1560" s="28" t="s">
        <v>15</v>
      </c>
      <c r="F1560" s="28" t="s">
        <v>168</v>
      </c>
      <c r="G1560" s="29" t="s">
        <v>364</v>
      </c>
      <c r="H1560" s="36" t="s">
        <v>699</v>
      </c>
      <c r="J1560" s="31">
        <f t="shared" si="5"/>
        <v>17</v>
      </c>
    </row>
    <row r="1561">
      <c r="A1561" s="28">
        <v>26.0</v>
      </c>
      <c r="B1561" s="28">
        <v>44.0</v>
      </c>
      <c r="C1561" s="28">
        <v>53.4935760004449</v>
      </c>
      <c r="D1561" s="28">
        <v>9.99976538371515</v>
      </c>
      <c r="E1561" s="28" t="s">
        <v>15</v>
      </c>
      <c r="F1561" s="28" t="s">
        <v>168</v>
      </c>
      <c r="G1561" s="29" t="s">
        <v>189</v>
      </c>
      <c r="H1561" s="36" t="s">
        <v>700</v>
      </c>
      <c r="J1561" s="31">
        <f t="shared" si="5"/>
        <v>40</v>
      </c>
    </row>
    <row r="1562">
      <c r="A1562" s="28">
        <v>26.0</v>
      </c>
      <c r="B1562" s="28">
        <v>45.0</v>
      </c>
      <c r="C1562" s="28">
        <v>53.4935634732694</v>
      </c>
      <c r="D1562" s="28">
        <v>10.0000060634224</v>
      </c>
      <c r="E1562" s="28" t="s">
        <v>15</v>
      </c>
      <c r="F1562" s="28" t="s">
        <v>168</v>
      </c>
      <c r="G1562" s="29" t="s">
        <v>102</v>
      </c>
      <c r="H1562" s="36" t="s">
        <v>701</v>
      </c>
      <c r="J1562" s="31">
        <f t="shared" si="5"/>
        <v>8</v>
      </c>
    </row>
    <row r="1563">
      <c r="A1563" s="28">
        <v>26.0</v>
      </c>
      <c r="B1563" s="28">
        <v>46.0</v>
      </c>
      <c r="C1563" s="28">
        <v>53.493550946094</v>
      </c>
      <c r="D1563" s="28">
        <v>10.0002467430587</v>
      </c>
      <c r="E1563" s="28" t="s">
        <v>15</v>
      </c>
      <c r="F1563" s="28" t="s">
        <v>168</v>
      </c>
      <c r="G1563" s="29" t="s">
        <v>702</v>
      </c>
      <c r="H1563" s="36" t="s">
        <v>703</v>
      </c>
      <c r="J1563" s="31">
        <f t="shared" si="5"/>
        <v>4</v>
      </c>
    </row>
    <row r="1564">
      <c r="A1564" s="28">
        <v>26.0</v>
      </c>
      <c r="B1564" s="28">
        <v>47.0</v>
      </c>
      <c r="C1564" s="28">
        <v>53.4935384189185</v>
      </c>
      <c r="D1564" s="28">
        <v>10.0004874226239</v>
      </c>
      <c r="E1564" s="28" t="s">
        <v>15</v>
      </c>
      <c r="F1564" s="28" t="s">
        <v>168</v>
      </c>
      <c r="G1564" s="29" t="s">
        <v>189</v>
      </c>
      <c r="H1564" s="30" t="s">
        <v>704</v>
      </c>
      <c r="J1564" s="31">
        <f t="shared" si="5"/>
        <v>40</v>
      </c>
    </row>
    <row r="1565">
      <c r="A1565" s="28">
        <v>26.0</v>
      </c>
      <c r="B1565" s="28">
        <v>48.0</v>
      </c>
      <c r="C1565" s="28">
        <v>53.493525891743</v>
      </c>
      <c r="D1565" s="28">
        <v>10.000728102118</v>
      </c>
      <c r="E1565" s="28" t="s">
        <v>15</v>
      </c>
      <c r="F1565" s="28" t="s">
        <v>168</v>
      </c>
      <c r="G1565" s="29" t="s">
        <v>56</v>
      </c>
      <c r="H1565" s="36" t="s">
        <v>705</v>
      </c>
      <c r="J1565" s="31">
        <f t="shared" si="5"/>
        <v>55</v>
      </c>
    </row>
    <row r="1566">
      <c r="A1566" s="28">
        <v>26.0</v>
      </c>
      <c r="B1566" s="28">
        <v>49.0</v>
      </c>
      <c r="C1566" s="28">
        <v>53.4935133645676</v>
      </c>
      <c r="D1566" s="28">
        <v>10.000968781541</v>
      </c>
      <c r="E1566" s="28" t="s">
        <v>15</v>
      </c>
      <c r="F1566" s="28" t="s">
        <v>168</v>
      </c>
      <c r="G1566" s="29" t="s">
        <v>26</v>
      </c>
      <c r="H1566" s="36" t="s">
        <v>706</v>
      </c>
      <c r="J1566" s="31">
        <f t="shared" si="5"/>
        <v>143</v>
      </c>
    </row>
    <row r="1567">
      <c r="A1567" s="28">
        <v>26.0</v>
      </c>
      <c r="B1567" s="28">
        <v>50.0</v>
      </c>
      <c r="C1567" s="28">
        <v>53.4935008373921</v>
      </c>
      <c r="D1567" s="28">
        <v>10.0012094608928</v>
      </c>
      <c r="E1567" s="28" t="s">
        <v>15</v>
      </c>
      <c r="F1567" s="28" t="s">
        <v>168</v>
      </c>
      <c r="G1567" s="29" t="s">
        <v>189</v>
      </c>
      <c r="H1567" s="36" t="s">
        <v>707</v>
      </c>
      <c r="J1567" s="31">
        <f t="shared" si="5"/>
        <v>40</v>
      </c>
    </row>
    <row r="1568">
      <c r="A1568" s="28">
        <v>26.0</v>
      </c>
      <c r="B1568" s="28">
        <v>51.0</v>
      </c>
      <c r="C1568" s="28">
        <v>53.4934883102167</v>
      </c>
      <c r="D1568" s="28">
        <v>10.0014501401735</v>
      </c>
      <c r="E1568" s="28" t="s">
        <v>15</v>
      </c>
      <c r="F1568" s="28" t="s">
        <v>168</v>
      </c>
      <c r="G1568" s="29" t="s">
        <v>102</v>
      </c>
      <c r="H1568" s="36" t="s">
        <v>708</v>
      </c>
      <c r="J1568" s="31">
        <f t="shared" si="5"/>
        <v>8</v>
      </c>
    </row>
    <row r="1569">
      <c r="A1569" s="28">
        <v>26.0</v>
      </c>
      <c r="B1569" s="28">
        <v>52.0</v>
      </c>
      <c r="C1569" s="28">
        <v>53.4934757830412</v>
      </c>
      <c r="D1569" s="28">
        <v>10.0016908193832</v>
      </c>
      <c r="E1569" s="28" t="s">
        <v>15</v>
      </c>
      <c r="F1569" s="28" t="s">
        <v>168</v>
      </c>
      <c r="G1569" s="29" t="s">
        <v>224</v>
      </c>
      <c r="H1569" s="30" t="s">
        <v>709</v>
      </c>
      <c r="J1569" s="31">
        <f t="shared" si="5"/>
        <v>3</v>
      </c>
    </row>
    <row r="1570">
      <c r="A1570" s="28">
        <v>26.0</v>
      </c>
      <c r="B1570" s="28">
        <v>53.0</v>
      </c>
      <c r="C1570" s="28">
        <v>53.4934632558658</v>
      </c>
      <c r="D1570" s="28">
        <v>10.0019314985217</v>
      </c>
      <c r="E1570" s="28" t="s">
        <v>15</v>
      </c>
      <c r="F1570" s="28" t="s">
        <v>168</v>
      </c>
      <c r="G1570" s="29" t="s">
        <v>189</v>
      </c>
      <c r="H1570" s="30" t="s">
        <v>710</v>
      </c>
      <c r="J1570" s="31">
        <f t="shared" si="5"/>
        <v>40</v>
      </c>
    </row>
    <row r="1571">
      <c r="A1571" s="28">
        <v>26.0</v>
      </c>
      <c r="B1571" s="28">
        <v>54.0</v>
      </c>
      <c r="C1571" s="28">
        <v>53.4934507286903</v>
      </c>
      <c r="D1571" s="28">
        <v>10.0021721775892</v>
      </c>
      <c r="E1571" s="28" t="s">
        <v>15</v>
      </c>
      <c r="F1571" s="28" t="s">
        <v>168</v>
      </c>
      <c r="G1571" s="29" t="s">
        <v>102</v>
      </c>
      <c r="H1571" s="36" t="s">
        <v>711</v>
      </c>
      <c r="J1571" s="31">
        <f t="shared" si="5"/>
        <v>8</v>
      </c>
    </row>
    <row r="1572">
      <c r="A1572" s="28">
        <v>26.0</v>
      </c>
      <c r="B1572" s="28">
        <v>55.0</v>
      </c>
      <c r="C1572" s="28">
        <v>53.4934382015149</v>
      </c>
      <c r="D1572" s="28">
        <v>10.0024128565856</v>
      </c>
      <c r="E1572" s="28" t="s">
        <v>15</v>
      </c>
      <c r="F1572" s="28" t="s">
        <v>168</v>
      </c>
      <c r="G1572" s="29" t="s">
        <v>26</v>
      </c>
      <c r="H1572" s="30" t="s">
        <v>712</v>
      </c>
      <c r="J1572" s="31">
        <f t="shared" si="5"/>
        <v>143</v>
      </c>
    </row>
    <row r="1573">
      <c r="A1573" s="28">
        <v>26.0</v>
      </c>
      <c r="B1573" s="28">
        <v>56.0</v>
      </c>
      <c r="C1573" s="28">
        <v>53.4934256743394</v>
      </c>
      <c r="D1573" s="28">
        <v>10.0026535355109</v>
      </c>
      <c r="E1573" s="28" t="s">
        <v>15</v>
      </c>
      <c r="F1573" s="28" t="s">
        <v>168</v>
      </c>
      <c r="G1573" s="29" t="s">
        <v>189</v>
      </c>
      <c r="H1573" s="30" t="s">
        <v>713</v>
      </c>
      <c r="J1573" s="31">
        <f t="shared" si="5"/>
        <v>40</v>
      </c>
    </row>
    <row r="1574">
      <c r="A1574" s="28">
        <v>26.0</v>
      </c>
      <c r="B1574" s="28">
        <v>57.0</v>
      </c>
      <c r="C1574" s="28">
        <v>53.493413147164</v>
      </c>
      <c r="D1574" s="28">
        <v>10.0028942143651</v>
      </c>
      <c r="E1574" s="28" t="s">
        <v>15</v>
      </c>
      <c r="F1574" s="28" t="s">
        <v>168</v>
      </c>
      <c r="G1574" s="43" t="s">
        <v>220</v>
      </c>
      <c r="H1574" s="30" t="s">
        <v>714</v>
      </c>
      <c r="J1574" s="31">
        <f t="shared" si="5"/>
        <v>9</v>
      </c>
    </row>
    <row r="1575">
      <c r="A1575" s="28">
        <v>26.0</v>
      </c>
      <c r="B1575" s="28">
        <v>58.0</v>
      </c>
      <c r="C1575" s="28">
        <v>53.4934006199885</v>
      </c>
      <c r="D1575" s="28">
        <v>10.0031348931481</v>
      </c>
      <c r="E1575" s="28" t="s">
        <v>15</v>
      </c>
      <c r="F1575" s="28" t="s">
        <v>168</v>
      </c>
      <c r="G1575" s="29" t="s">
        <v>26</v>
      </c>
      <c r="H1575" s="36" t="s">
        <v>715</v>
      </c>
      <c r="J1575" s="31">
        <f t="shared" si="5"/>
        <v>143</v>
      </c>
    </row>
    <row r="1576">
      <c r="A1576" s="28">
        <v>26.0</v>
      </c>
      <c r="B1576" s="28">
        <v>59.0</v>
      </c>
      <c r="C1576" s="28">
        <v>53.4933880928131</v>
      </c>
      <c r="D1576" s="28">
        <v>10.0033755718601</v>
      </c>
      <c r="E1576" s="28" t="s">
        <v>15</v>
      </c>
      <c r="F1576" s="28" t="s">
        <v>168</v>
      </c>
      <c r="G1576" s="29" t="s">
        <v>189</v>
      </c>
      <c r="H1576" s="30" t="s">
        <v>716</v>
      </c>
      <c r="J1576" s="31">
        <f t="shared" si="5"/>
        <v>40</v>
      </c>
    </row>
    <row r="1577">
      <c r="A1577" s="28">
        <v>26.0</v>
      </c>
      <c r="B1577" s="28">
        <v>60.0</v>
      </c>
      <c r="C1577" s="28">
        <v>53.4933755656376</v>
      </c>
      <c r="D1577" s="28">
        <v>10.003616250501</v>
      </c>
      <c r="E1577" s="28" t="s">
        <v>25</v>
      </c>
      <c r="F1577" s="28" t="s">
        <v>14</v>
      </c>
      <c r="G1577" s="29" t="s">
        <v>94</v>
      </c>
      <c r="H1577" s="33" t="s">
        <v>717</v>
      </c>
      <c r="J1577" s="31">
        <f t="shared" si="5"/>
        <v>42</v>
      </c>
    </row>
    <row r="1578">
      <c r="A1578" s="28">
        <v>27.0</v>
      </c>
      <c r="B1578" s="28">
        <v>1.0</v>
      </c>
      <c r="C1578" s="28">
        <v>53.4939714854799</v>
      </c>
      <c r="D1578" s="28">
        <v>9.98939503209044</v>
      </c>
      <c r="E1578" s="28" t="s">
        <v>25</v>
      </c>
      <c r="F1578" s="28" t="s">
        <v>14</v>
      </c>
      <c r="G1578" s="29" t="s">
        <v>30</v>
      </c>
      <c r="H1578" s="30" t="str">
        <f>HYPERLINK("https://www.munzee.com/m/SachensucherHB/1497/", "SachensucherHB/1497")</f>
        <v>SachensucherHB/1497</v>
      </c>
      <c r="J1578" s="31">
        <f t="shared" si="5"/>
        <v>62</v>
      </c>
    </row>
    <row r="1579">
      <c r="A1579" s="28">
        <v>27.0</v>
      </c>
      <c r="B1579" s="28">
        <v>2.0</v>
      </c>
      <c r="C1579" s="28">
        <v>53.4939589583045</v>
      </c>
      <c r="D1579" s="28">
        <v>9.98963571404237</v>
      </c>
      <c r="E1579" s="28" t="s">
        <v>15</v>
      </c>
      <c r="F1579" s="28" t="s">
        <v>168</v>
      </c>
      <c r="G1579" s="29" t="s">
        <v>362</v>
      </c>
      <c r="H1579" s="30" t="s">
        <v>718</v>
      </c>
      <c r="J1579" s="31">
        <f t="shared" si="5"/>
        <v>13</v>
      </c>
    </row>
    <row r="1580">
      <c r="A1580" s="28">
        <v>27.0</v>
      </c>
      <c r="B1580" s="28">
        <v>3.0</v>
      </c>
      <c r="C1580" s="28">
        <v>53.493946431129</v>
      </c>
      <c r="D1580" s="28">
        <v>9.98987639592326</v>
      </c>
      <c r="E1580" s="28" t="s">
        <v>15</v>
      </c>
      <c r="F1580" s="28" t="s">
        <v>168</v>
      </c>
      <c r="G1580" s="29" t="s">
        <v>26</v>
      </c>
      <c r="H1580" s="36" t="s">
        <v>719</v>
      </c>
      <c r="J1580" s="31">
        <f t="shared" si="5"/>
        <v>143</v>
      </c>
    </row>
    <row r="1581">
      <c r="A1581" s="28">
        <v>27.0</v>
      </c>
      <c r="B1581" s="28">
        <v>4.0</v>
      </c>
      <c r="C1581" s="28">
        <v>53.4939339039535</v>
      </c>
      <c r="D1581" s="28">
        <v>9.99011707773297</v>
      </c>
      <c r="E1581" s="28" t="s">
        <v>15</v>
      </c>
      <c r="F1581" s="28" t="s">
        <v>168</v>
      </c>
      <c r="G1581" s="29" t="s">
        <v>138</v>
      </c>
      <c r="H1581" s="36" t="s">
        <v>720</v>
      </c>
      <c r="J1581" s="31">
        <f t="shared" si="5"/>
        <v>4</v>
      </c>
    </row>
    <row r="1582">
      <c r="A1582" s="28">
        <v>27.0</v>
      </c>
      <c r="B1582" s="28">
        <v>5.0</v>
      </c>
      <c r="C1582" s="28">
        <v>53.4939213767781</v>
      </c>
      <c r="D1582" s="28">
        <v>9.99035775947163</v>
      </c>
      <c r="E1582" s="28" t="s">
        <v>15</v>
      </c>
      <c r="F1582" s="28" t="s">
        <v>168</v>
      </c>
      <c r="G1582" s="29" t="s">
        <v>362</v>
      </c>
      <c r="H1582" s="30" t="s">
        <v>721</v>
      </c>
      <c r="J1582" s="31">
        <f t="shared" si="5"/>
        <v>13</v>
      </c>
    </row>
    <row r="1583">
      <c r="A1583" s="28">
        <v>27.0</v>
      </c>
      <c r="B1583" s="28">
        <v>6.0</v>
      </c>
      <c r="C1583" s="28">
        <v>53.4939088496026</v>
      </c>
      <c r="D1583" s="28">
        <v>9.99059844113924</v>
      </c>
      <c r="E1583" s="28" t="s">
        <v>15</v>
      </c>
      <c r="F1583" s="28" t="s">
        <v>168</v>
      </c>
      <c r="G1583" s="29" t="s">
        <v>722</v>
      </c>
      <c r="H1583" s="30" t="s">
        <v>723</v>
      </c>
      <c r="J1583" s="31">
        <f t="shared" si="5"/>
        <v>48</v>
      </c>
    </row>
    <row r="1584">
      <c r="A1584" s="28">
        <v>27.0</v>
      </c>
      <c r="B1584" s="28">
        <v>7.0</v>
      </c>
      <c r="C1584" s="28">
        <v>53.4938963224272</v>
      </c>
      <c r="D1584" s="28">
        <v>9.99083912273567</v>
      </c>
      <c r="E1584" s="28" t="s">
        <v>15</v>
      </c>
      <c r="F1584" s="28" t="s">
        <v>168</v>
      </c>
      <c r="G1584" s="29" t="s">
        <v>724</v>
      </c>
      <c r="H1584" s="30" t="s">
        <v>725</v>
      </c>
      <c r="J1584" s="31">
        <f t="shared" si="5"/>
        <v>12</v>
      </c>
    </row>
    <row r="1585">
      <c r="A1585" s="28">
        <v>27.0</v>
      </c>
      <c r="B1585" s="28">
        <v>8.0</v>
      </c>
      <c r="C1585" s="28">
        <v>53.4938837952517</v>
      </c>
      <c r="D1585" s="28">
        <v>9.99107980426106</v>
      </c>
      <c r="E1585" s="28" t="s">
        <v>15</v>
      </c>
      <c r="F1585" s="28" t="s">
        <v>168</v>
      </c>
      <c r="G1585" s="29" t="s">
        <v>362</v>
      </c>
      <c r="H1585" s="30" t="s">
        <v>726</v>
      </c>
      <c r="J1585" s="31">
        <f t="shared" si="5"/>
        <v>13</v>
      </c>
    </row>
    <row r="1586">
      <c r="A1586" s="28">
        <v>27.0</v>
      </c>
      <c r="B1586" s="28">
        <v>9.0</v>
      </c>
      <c r="C1586" s="28">
        <v>53.4938712680763</v>
      </c>
      <c r="D1586" s="28">
        <v>9.99132048571527</v>
      </c>
      <c r="E1586" s="28" t="s">
        <v>15</v>
      </c>
      <c r="F1586" s="28" t="s">
        <v>168</v>
      </c>
      <c r="G1586" s="29" t="s">
        <v>722</v>
      </c>
      <c r="H1586" s="30" t="s">
        <v>727</v>
      </c>
      <c r="J1586" s="31">
        <f t="shared" si="5"/>
        <v>48</v>
      </c>
    </row>
    <row r="1587">
      <c r="A1587" s="28">
        <v>27.0</v>
      </c>
      <c r="B1587" s="28">
        <v>10.0</v>
      </c>
      <c r="C1587" s="28">
        <v>53.4938587409008</v>
      </c>
      <c r="D1587" s="28">
        <v>9.99156116709843</v>
      </c>
      <c r="E1587" s="28" t="s">
        <v>15</v>
      </c>
      <c r="F1587" s="28" t="s">
        <v>168</v>
      </c>
      <c r="G1587" s="29" t="s">
        <v>728</v>
      </c>
      <c r="H1587" s="30" t="s">
        <v>729</v>
      </c>
      <c r="J1587" s="31">
        <f t="shared" si="5"/>
        <v>12</v>
      </c>
    </row>
    <row r="1588">
      <c r="A1588" s="28">
        <v>27.0</v>
      </c>
      <c r="B1588" s="28">
        <v>11.0</v>
      </c>
      <c r="C1588" s="28">
        <v>53.4938462137254</v>
      </c>
      <c r="D1588" s="28">
        <v>9.99180184841054</v>
      </c>
      <c r="E1588" s="28" t="s">
        <v>15</v>
      </c>
      <c r="F1588" s="28" t="s">
        <v>168</v>
      </c>
      <c r="G1588" s="29" t="s">
        <v>366</v>
      </c>
      <c r="H1588" s="30" t="str">
        <f>HYPERLINK("https://www.munzee.com/m/3goonies/5839/", "3goonies/5839")</f>
        <v>3goonies/5839</v>
      </c>
      <c r="J1588" s="31">
        <f t="shared" si="5"/>
        <v>2</v>
      </c>
    </row>
    <row r="1589">
      <c r="A1589" s="28">
        <v>27.0</v>
      </c>
      <c r="B1589" s="28">
        <v>12.0</v>
      </c>
      <c r="C1589" s="28">
        <v>53.4938336865499</v>
      </c>
      <c r="D1589" s="28">
        <v>9.99204252965159</v>
      </c>
      <c r="E1589" s="28" t="s">
        <v>15</v>
      </c>
      <c r="F1589" s="28" t="s">
        <v>168</v>
      </c>
      <c r="G1589" s="29" t="s">
        <v>362</v>
      </c>
      <c r="H1589" s="30" t="s">
        <v>730</v>
      </c>
      <c r="J1589" s="31">
        <f t="shared" si="5"/>
        <v>13</v>
      </c>
    </row>
    <row r="1590">
      <c r="A1590" s="28">
        <v>27.0</v>
      </c>
      <c r="B1590" s="28">
        <v>13.0</v>
      </c>
      <c r="C1590" s="28">
        <v>53.4938211593745</v>
      </c>
      <c r="D1590" s="28">
        <v>9.99228321082148</v>
      </c>
      <c r="E1590" s="28" t="s">
        <v>15</v>
      </c>
      <c r="F1590" s="28" t="s">
        <v>168</v>
      </c>
      <c r="G1590" s="29" t="s">
        <v>722</v>
      </c>
      <c r="H1590" s="30" t="s">
        <v>731</v>
      </c>
      <c r="J1590" s="31">
        <f t="shared" si="5"/>
        <v>48</v>
      </c>
    </row>
    <row r="1591">
      <c r="A1591" s="28">
        <v>27.0</v>
      </c>
      <c r="B1591" s="28">
        <v>14.0</v>
      </c>
      <c r="C1591" s="28">
        <v>53.493808632199</v>
      </c>
      <c r="D1591" s="28">
        <v>9.9925238919202</v>
      </c>
      <c r="E1591" s="28" t="s">
        <v>15</v>
      </c>
      <c r="F1591" s="28" t="s">
        <v>168</v>
      </c>
      <c r="G1591" s="29" t="s">
        <v>702</v>
      </c>
      <c r="H1591" s="36" t="s">
        <v>732</v>
      </c>
      <c r="J1591" s="31">
        <f t="shared" si="5"/>
        <v>4</v>
      </c>
    </row>
    <row r="1592">
      <c r="A1592" s="28">
        <v>27.0</v>
      </c>
      <c r="B1592" s="28">
        <v>15.0</v>
      </c>
      <c r="C1592" s="28">
        <v>53.4937961050236</v>
      </c>
      <c r="D1592" s="28">
        <v>9.99276457294786</v>
      </c>
      <c r="E1592" s="28" t="s">
        <v>15</v>
      </c>
      <c r="F1592" s="28" t="s">
        <v>168</v>
      </c>
      <c r="G1592" s="29" t="s">
        <v>362</v>
      </c>
      <c r="H1592" s="30" t="s">
        <v>733</v>
      </c>
      <c r="J1592" s="31">
        <f t="shared" si="5"/>
        <v>13</v>
      </c>
    </row>
    <row r="1593">
      <c r="A1593" s="28">
        <v>27.0</v>
      </c>
      <c r="B1593" s="28">
        <v>16.0</v>
      </c>
      <c r="C1593" s="28">
        <v>53.4937835778481</v>
      </c>
      <c r="D1593" s="28">
        <v>9.99300525390447</v>
      </c>
      <c r="E1593" s="28" t="s">
        <v>15</v>
      </c>
      <c r="F1593" s="28" t="s">
        <v>168</v>
      </c>
      <c r="G1593" s="29" t="s">
        <v>26</v>
      </c>
      <c r="H1593" s="36" t="s">
        <v>734</v>
      </c>
      <c r="J1593" s="31">
        <f t="shared" si="5"/>
        <v>143</v>
      </c>
    </row>
    <row r="1594">
      <c r="A1594" s="28">
        <v>27.0</v>
      </c>
      <c r="B1594" s="28">
        <v>17.0</v>
      </c>
      <c r="C1594" s="28">
        <v>53.4937710506727</v>
      </c>
      <c r="D1594" s="28">
        <v>9.99324593478991</v>
      </c>
      <c r="E1594" s="28" t="s">
        <v>15</v>
      </c>
      <c r="F1594" s="28" t="s">
        <v>168</v>
      </c>
      <c r="G1594" s="29" t="s">
        <v>722</v>
      </c>
      <c r="H1594" s="36" t="s">
        <v>735</v>
      </c>
      <c r="J1594" s="31">
        <f t="shared" si="5"/>
        <v>48</v>
      </c>
    </row>
    <row r="1595">
      <c r="A1595" s="28">
        <v>27.0</v>
      </c>
      <c r="B1595" s="28">
        <v>18.0</v>
      </c>
      <c r="C1595" s="28">
        <v>53.4937585234972</v>
      </c>
      <c r="D1595" s="28">
        <v>9.99348661560429</v>
      </c>
      <c r="E1595" s="28" t="s">
        <v>15</v>
      </c>
      <c r="F1595" s="28" t="s">
        <v>168</v>
      </c>
      <c r="G1595" s="29" t="s">
        <v>702</v>
      </c>
      <c r="H1595" s="36" t="s">
        <v>736</v>
      </c>
      <c r="J1595" s="31">
        <f t="shared" si="5"/>
        <v>4</v>
      </c>
    </row>
    <row r="1596">
      <c r="A1596" s="28">
        <v>27.0</v>
      </c>
      <c r="B1596" s="28">
        <v>19.0</v>
      </c>
      <c r="C1596" s="28">
        <v>53.4937459963218</v>
      </c>
      <c r="D1596" s="28">
        <v>9.99372729634751</v>
      </c>
      <c r="E1596" s="28" t="s">
        <v>15</v>
      </c>
      <c r="F1596" s="28" t="s">
        <v>168</v>
      </c>
      <c r="G1596" s="29" t="s">
        <v>26</v>
      </c>
      <c r="H1596" s="36" t="s">
        <v>737</v>
      </c>
      <c r="J1596" s="31">
        <f t="shared" si="5"/>
        <v>143</v>
      </c>
    </row>
    <row r="1597">
      <c r="A1597" s="28">
        <v>27.0</v>
      </c>
      <c r="B1597" s="28">
        <v>20.0</v>
      </c>
      <c r="C1597" s="28">
        <v>53.4937334691463</v>
      </c>
      <c r="D1597" s="28">
        <v>9.99396797701967</v>
      </c>
      <c r="E1597" s="28" t="s">
        <v>15</v>
      </c>
      <c r="F1597" s="28" t="s">
        <v>168</v>
      </c>
      <c r="G1597" s="29" t="s">
        <v>722</v>
      </c>
      <c r="H1597" s="30" t="s">
        <v>738</v>
      </c>
      <c r="J1597" s="31">
        <f t="shared" si="5"/>
        <v>48</v>
      </c>
    </row>
    <row r="1598">
      <c r="A1598" s="28">
        <v>27.0</v>
      </c>
      <c r="B1598" s="28">
        <v>21.0</v>
      </c>
      <c r="C1598" s="28">
        <v>53.4937209419709</v>
      </c>
      <c r="D1598" s="28">
        <v>9.99420865762078</v>
      </c>
      <c r="E1598" s="28" t="s">
        <v>25</v>
      </c>
      <c r="F1598" s="28" t="s">
        <v>14</v>
      </c>
      <c r="G1598" s="38"/>
      <c r="H1598" s="38"/>
      <c r="J1598" s="31">
        <f t="shared" si="5"/>
        <v>0</v>
      </c>
    </row>
    <row r="1599">
      <c r="A1599" s="28">
        <v>27.0</v>
      </c>
      <c r="B1599" s="28">
        <v>22.0</v>
      </c>
      <c r="C1599" s="28">
        <v>53.4937084147954</v>
      </c>
      <c r="D1599" s="28">
        <v>9.99444933815084</v>
      </c>
      <c r="E1599" s="28" t="s">
        <v>25</v>
      </c>
      <c r="F1599" s="28" t="s">
        <v>14</v>
      </c>
      <c r="G1599" s="38"/>
      <c r="H1599" s="38"/>
      <c r="J1599" s="31">
        <f t="shared" si="5"/>
        <v>0</v>
      </c>
    </row>
    <row r="1600">
      <c r="A1600" s="28">
        <v>27.0</v>
      </c>
      <c r="B1600" s="28">
        <v>23.0</v>
      </c>
      <c r="C1600" s="28">
        <v>53.49369588762</v>
      </c>
      <c r="D1600" s="28">
        <v>9.99469001860973</v>
      </c>
      <c r="E1600" s="28" t="s">
        <v>25</v>
      </c>
      <c r="F1600" s="28" t="s">
        <v>14</v>
      </c>
      <c r="G1600" s="29" t="s">
        <v>722</v>
      </c>
      <c r="H1600" s="30" t="s">
        <v>739</v>
      </c>
      <c r="J1600" s="31">
        <f t="shared" si="5"/>
        <v>48</v>
      </c>
    </row>
    <row r="1601">
      <c r="A1601" s="28">
        <v>27.0</v>
      </c>
      <c r="B1601" s="28">
        <v>24.0</v>
      </c>
      <c r="C1601" s="28">
        <v>53.4936833604445</v>
      </c>
      <c r="D1601" s="28">
        <v>9.99493069899745</v>
      </c>
      <c r="E1601" s="28" t="s">
        <v>25</v>
      </c>
      <c r="F1601" s="28" t="s">
        <v>14</v>
      </c>
      <c r="G1601" s="38"/>
      <c r="H1601" s="38"/>
      <c r="J1601" s="31">
        <f t="shared" si="5"/>
        <v>0</v>
      </c>
    </row>
    <row r="1602">
      <c r="A1602" s="28">
        <v>27.0</v>
      </c>
      <c r="B1602" s="28">
        <v>25.0</v>
      </c>
      <c r="C1602" s="28">
        <v>53.493670833269</v>
      </c>
      <c r="D1602" s="28">
        <v>9.99517137931411</v>
      </c>
      <c r="E1602" s="28" t="s">
        <v>25</v>
      </c>
      <c r="F1602" s="28" t="s">
        <v>14</v>
      </c>
      <c r="G1602" s="38"/>
      <c r="H1602" s="38"/>
      <c r="J1602" s="31">
        <f t="shared" si="5"/>
        <v>0</v>
      </c>
    </row>
    <row r="1603">
      <c r="A1603" s="28">
        <v>27.0</v>
      </c>
      <c r="B1603" s="28">
        <v>26.0</v>
      </c>
      <c r="C1603" s="28">
        <v>53.4936583060936</v>
      </c>
      <c r="D1603" s="28">
        <v>9.99541205955972</v>
      </c>
      <c r="E1603" s="28" t="s">
        <v>25</v>
      </c>
      <c r="F1603" s="28" t="s">
        <v>14</v>
      </c>
      <c r="G1603" s="38"/>
      <c r="H1603" s="38"/>
      <c r="J1603" s="31">
        <f t="shared" si="5"/>
        <v>0</v>
      </c>
    </row>
    <row r="1604">
      <c r="A1604" s="28">
        <v>27.0</v>
      </c>
      <c r="B1604" s="28">
        <v>27.0</v>
      </c>
      <c r="C1604" s="28">
        <v>53.4936457789181</v>
      </c>
      <c r="D1604" s="28">
        <v>9.99565273973416</v>
      </c>
      <c r="E1604" s="28" t="s">
        <v>25</v>
      </c>
      <c r="F1604" s="28" t="s">
        <v>14</v>
      </c>
      <c r="G1604" s="38"/>
      <c r="H1604" s="38"/>
      <c r="J1604" s="31">
        <f t="shared" si="5"/>
        <v>0</v>
      </c>
    </row>
    <row r="1605">
      <c r="A1605" s="28">
        <v>27.0</v>
      </c>
      <c r="B1605" s="28">
        <v>28.0</v>
      </c>
      <c r="C1605" s="28">
        <v>53.4936332517427</v>
      </c>
      <c r="D1605" s="28">
        <v>9.99589341983755</v>
      </c>
      <c r="E1605" s="28" t="s">
        <v>15</v>
      </c>
      <c r="F1605" s="28" t="s">
        <v>168</v>
      </c>
      <c r="G1605" s="29" t="s">
        <v>740</v>
      </c>
      <c r="H1605" s="30" t="s">
        <v>741</v>
      </c>
      <c r="J1605" s="31">
        <f t="shared" si="5"/>
        <v>1</v>
      </c>
    </row>
    <row r="1606">
      <c r="A1606" s="28">
        <v>27.0</v>
      </c>
      <c r="B1606" s="28">
        <v>29.0</v>
      </c>
      <c r="C1606" s="28">
        <v>53.4936207245672</v>
      </c>
      <c r="D1606" s="28">
        <v>9.99613409986989</v>
      </c>
      <c r="E1606" s="28" t="s">
        <v>15</v>
      </c>
      <c r="F1606" s="28" t="s">
        <v>168</v>
      </c>
      <c r="G1606" s="29" t="s">
        <v>724</v>
      </c>
      <c r="H1606" s="30" t="s">
        <v>742</v>
      </c>
      <c r="J1606" s="31">
        <f t="shared" si="5"/>
        <v>12</v>
      </c>
    </row>
    <row r="1607">
      <c r="A1607" s="28">
        <v>27.0</v>
      </c>
      <c r="B1607" s="28">
        <v>30.0</v>
      </c>
      <c r="C1607" s="28">
        <v>53.4936081973918</v>
      </c>
      <c r="D1607" s="28">
        <v>9.99637477983105</v>
      </c>
      <c r="E1607" s="28" t="s">
        <v>25</v>
      </c>
      <c r="F1607" s="28" t="s">
        <v>14</v>
      </c>
      <c r="G1607" s="38"/>
      <c r="H1607" s="38"/>
      <c r="J1607" s="31">
        <f t="shared" si="5"/>
        <v>0</v>
      </c>
    </row>
    <row r="1608">
      <c r="A1608" s="28">
        <v>27.0</v>
      </c>
      <c r="B1608" s="28">
        <v>31.0</v>
      </c>
      <c r="C1608" s="28">
        <v>53.4935956702163</v>
      </c>
      <c r="D1608" s="28">
        <v>9.99661545972117</v>
      </c>
      <c r="E1608" s="28" t="s">
        <v>15</v>
      </c>
      <c r="F1608" s="28" t="s">
        <v>168</v>
      </c>
      <c r="G1608" s="29" t="s">
        <v>728</v>
      </c>
      <c r="H1608" s="30" t="s">
        <v>743</v>
      </c>
      <c r="J1608" s="31">
        <f t="shared" si="5"/>
        <v>12</v>
      </c>
    </row>
    <row r="1609">
      <c r="A1609" s="28">
        <v>27.0</v>
      </c>
      <c r="B1609" s="28">
        <v>32.0</v>
      </c>
      <c r="C1609" s="28">
        <v>53.4935831430409</v>
      </c>
      <c r="D1609" s="28">
        <v>9.99685613954011</v>
      </c>
      <c r="E1609" s="28" t="s">
        <v>15</v>
      </c>
      <c r="F1609" s="28" t="s">
        <v>168</v>
      </c>
      <c r="G1609" s="29" t="s">
        <v>497</v>
      </c>
      <c r="H1609" s="30" t="str">
        <f>HYPERLINK("https://www.munzee.com/m/hulapalu/422", "hulapalu/422")</f>
        <v>hulapalu/422</v>
      </c>
      <c r="J1609" s="31">
        <f t="shared" si="5"/>
        <v>4</v>
      </c>
    </row>
    <row r="1610">
      <c r="A1610" s="28">
        <v>27.0</v>
      </c>
      <c r="B1610" s="28">
        <v>33.0</v>
      </c>
      <c r="C1610" s="28">
        <v>53.4935706158654</v>
      </c>
      <c r="D1610" s="28">
        <v>9.997096819288</v>
      </c>
      <c r="E1610" s="28" t="s">
        <v>25</v>
      </c>
      <c r="F1610" s="28" t="s">
        <v>14</v>
      </c>
      <c r="G1610" s="38"/>
      <c r="H1610" s="38"/>
      <c r="J1610" s="31">
        <f t="shared" si="5"/>
        <v>0</v>
      </c>
    </row>
    <row r="1611">
      <c r="A1611" s="28">
        <v>27.0</v>
      </c>
      <c r="B1611" s="28">
        <v>34.0</v>
      </c>
      <c r="C1611" s="28">
        <v>53.49355808869</v>
      </c>
      <c r="D1611" s="28">
        <v>9.99733749896484</v>
      </c>
      <c r="E1611" s="28" t="s">
        <v>25</v>
      </c>
      <c r="F1611" s="28" t="s">
        <v>14</v>
      </c>
      <c r="G1611" s="38"/>
      <c r="H1611" s="38"/>
      <c r="J1611" s="31">
        <f t="shared" si="5"/>
        <v>0</v>
      </c>
    </row>
    <row r="1612">
      <c r="A1612" s="28">
        <v>27.0</v>
      </c>
      <c r="B1612" s="28">
        <v>35.0</v>
      </c>
      <c r="C1612" s="28">
        <v>53.4935455615145</v>
      </c>
      <c r="D1612" s="28">
        <v>9.9975781785705</v>
      </c>
      <c r="E1612" s="28" t="s">
        <v>25</v>
      </c>
      <c r="F1612" s="28" t="s">
        <v>14</v>
      </c>
      <c r="G1612" s="38"/>
      <c r="H1612" s="38"/>
      <c r="J1612" s="31">
        <f t="shared" si="5"/>
        <v>0</v>
      </c>
    </row>
    <row r="1613">
      <c r="A1613" s="28">
        <v>27.0</v>
      </c>
      <c r="B1613" s="28">
        <v>36.0</v>
      </c>
      <c r="C1613" s="28">
        <v>53.4935330343391</v>
      </c>
      <c r="D1613" s="28">
        <v>9.99781885810512</v>
      </c>
      <c r="E1613" s="28" t="s">
        <v>25</v>
      </c>
      <c r="F1613" s="28" t="s">
        <v>14</v>
      </c>
      <c r="G1613" s="38"/>
      <c r="H1613" s="38"/>
      <c r="J1613" s="31">
        <f t="shared" si="5"/>
        <v>0</v>
      </c>
    </row>
    <row r="1614">
      <c r="A1614" s="28">
        <v>27.0</v>
      </c>
      <c r="B1614" s="28">
        <v>37.0</v>
      </c>
      <c r="C1614" s="28">
        <v>53.4935205071636</v>
      </c>
      <c r="D1614" s="28">
        <v>9.99805953756867</v>
      </c>
      <c r="E1614" s="28" t="s">
        <v>25</v>
      </c>
      <c r="F1614" s="28" t="s">
        <v>14</v>
      </c>
      <c r="G1614" s="38"/>
      <c r="H1614" s="38"/>
      <c r="J1614" s="31">
        <f t="shared" si="5"/>
        <v>0</v>
      </c>
    </row>
    <row r="1615">
      <c r="A1615" s="28">
        <v>27.0</v>
      </c>
      <c r="B1615" s="28">
        <v>38.0</v>
      </c>
      <c r="C1615" s="28">
        <v>53.4935079799882</v>
      </c>
      <c r="D1615" s="28">
        <v>9.99830021696107</v>
      </c>
      <c r="E1615" s="28" t="s">
        <v>25</v>
      </c>
      <c r="F1615" s="28" t="s">
        <v>14</v>
      </c>
      <c r="G1615" s="38"/>
      <c r="H1615" s="38"/>
      <c r="J1615" s="31">
        <f t="shared" si="5"/>
        <v>0</v>
      </c>
    </row>
    <row r="1616">
      <c r="A1616" s="28">
        <v>27.0</v>
      </c>
      <c r="B1616" s="28">
        <v>39.0</v>
      </c>
      <c r="C1616" s="28">
        <v>53.4934954528127</v>
      </c>
      <c r="D1616" s="28">
        <v>9.9985408962824</v>
      </c>
      <c r="E1616" s="28" t="s">
        <v>25</v>
      </c>
      <c r="F1616" s="28" t="s">
        <v>14</v>
      </c>
      <c r="G1616" s="38"/>
      <c r="H1616" s="38"/>
      <c r="J1616" s="31">
        <f t="shared" si="5"/>
        <v>0</v>
      </c>
    </row>
    <row r="1617">
      <c r="A1617" s="28">
        <v>27.0</v>
      </c>
      <c r="B1617" s="28">
        <v>40.0</v>
      </c>
      <c r="C1617" s="28">
        <v>53.4934829256373</v>
      </c>
      <c r="D1617" s="28">
        <v>9.99878157553257</v>
      </c>
      <c r="E1617" s="28" t="s">
        <v>15</v>
      </c>
      <c r="F1617" s="28" t="s">
        <v>168</v>
      </c>
      <c r="G1617" s="29" t="s">
        <v>313</v>
      </c>
      <c r="H1617" s="33" t="s">
        <v>744</v>
      </c>
      <c r="J1617" s="31">
        <f t="shared" si="5"/>
        <v>2</v>
      </c>
    </row>
    <row r="1618">
      <c r="A1618" s="28">
        <v>27.0</v>
      </c>
      <c r="B1618" s="28">
        <v>41.0</v>
      </c>
      <c r="C1618" s="28">
        <v>53.4934703984618</v>
      </c>
      <c r="D1618" s="28">
        <v>9.99902225471169</v>
      </c>
      <c r="E1618" s="28" t="s">
        <v>15</v>
      </c>
      <c r="F1618" s="28" t="s">
        <v>168</v>
      </c>
      <c r="G1618" s="29" t="s">
        <v>40</v>
      </c>
      <c r="H1618" s="36" t="s">
        <v>745</v>
      </c>
      <c r="J1618" s="31">
        <f t="shared" si="5"/>
        <v>88</v>
      </c>
    </row>
    <row r="1619">
      <c r="A1619" s="28">
        <v>27.0</v>
      </c>
      <c r="B1619" s="28">
        <v>42.0</v>
      </c>
      <c r="C1619" s="28">
        <v>53.4934578712864</v>
      </c>
      <c r="D1619" s="28">
        <v>9.99926293381975</v>
      </c>
      <c r="E1619" s="28" t="s">
        <v>15</v>
      </c>
      <c r="F1619" s="28" t="s">
        <v>168</v>
      </c>
      <c r="G1619" s="29" t="s">
        <v>746</v>
      </c>
      <c r="H1619" s="30" t="s">
        <v>747</v>
      </c>
      <c r="J1619" s="31">
        <f t="shared" si="5"/>
        <v>1</v>
      </c>
    </row>
    <row r="1620">
      <c r="A1620" s="28">
        <v>27.0</v>
      </c>
      <c r="B1620" s="28">
        <v>43.0</v>
      </c>
      <c r="C1620" s="28">
        <v>53.4934453441109</v>
      </c>
      <c r="D1620" s="28">
        <v>9.99950361285664</v>
      </c>
      <c r="E1620" s="28" t="s">
        <v>15</v>
      </c>
      <c r="F1620" s="28" t="s">
        <v>168</v>
      </c>
      <c r="G1620" s="29" t="s">
        <v>748</v>
      </c>
      <c r="H1620" s="30" t="s">
        <v>749</v>
      </c>
      <c r="J1620" s="31">
        <f t="shared" si="5"/>
        <v>1</v>
      </c>
    </row>
    <row r="1621">
      <c r="A1621" s="28">
        <v>27.0</v>
      </c>
      <c r="B1621" s="28">
        <v>44.0</v>
      </c>
      <c r="C1621" s="28">
        <v>53.4934328169355</v>
      </c>
      <c r="D1621" s="28">
        <v>9.99974429182248</v>
      </c>
      <c r="E1621" s="28" t="s">
        <v>15</v>
      </c>
      <c r="F1621" s="28" t="s">
        <v>168</v>
      </c>
      <c r="G1621" s="29" t="s">
        <v>750</v>
      </c>
      <c r="H1621" s="30" t="s">
        <v>751</v>
      </c>
      <c r="J1621" s="31">
        <f t="shared" si="5"/>
        <v>1</v>
      </c>
    </row>
    <row r="1622">
      <c r="A1622" s="28">
        <v>27.0</v>
      </c>
      <c r="B1622" s="28">
        <v>45.0</v>
      </c>
      <c r="C1622" s="28">
        <v>53.49342028976</v>
      </c>
      <c r="D1622" s="28">
        <v>9.99998497071715</v>
      </c>
      <c r="E1622" s="28" t="s">
        <v>15</v>
      </c>
      <c r="F1622" s="28" t="s">
        <v>168</v>
      </c>
      <c r="G1622" s="29" t="s">
        <v>752</v>
      </c>
      <c r="H1622" s="30" t="s">
        <v>753</v>
      </c>
      <c r="J1622" s="31">
        <f t="shared" si="5"/>
        <v>1</v>
      </c>
    </row>
    <row r="1623">
      <c r="A1623" s="28">
        <v>27.0</v>
      </c>
      <c r="B1623" s="28">
        <v>46.0</v>
      </c>
      <c r="C1623" s="28">
        <v>53.4934077625846</v>
      </c>
      <c r="D1623" s="28">
        <v>10.0002256495407</v>
      </c>
      <c r="E1623" s="28" t="s">
        <v>15</v>
      </c>
      <c r="F1623" s="28" t="s">
        <v>168</v>
      </c>
      <c r="G1623" s="29" t="s">
        <v>724</v>
      </c>
      <c r="H1623" s="30" t="s">
        <v>754</v>
      </c>
      <c r="J1623" s="31">
        <f t="shared" si="5"/>
        <v>12</v>
      </c>
    </row>
    <row r="1624">
      <c r="A1624" s="28">
        <v>27.0</v>
      </c>
      <c r="B1624" s="28">
        <v>47.0</v>
      </c>
      <c r="C1624" s="28">
        <v>53.4933952354091</v>
      </c>
      <c r="D1624" s="28">
        <v>10.0004663282933</v>
      </c>
      <c r="E1624" s="28" t="s">
        <v>15</v>
      </c>
      <c r="F1624" s="28" t="s">
        <v>168</v>
      </c>
      <c r="G1624" s="29" t="s">
        <v>728</v>
      </c>
      <c r="H1624" s="30" t="s">
        <v>755</v>
      </c>
      <c r="J1624" s="31">
        <f t="shared" si="5"/>
        <v>12</v>
      </c>
    </row>
    <row r="1625">
      <c r="A1625" s="28">
        <v>27.0</v>
      </c>
      <c r="B1625" s="28">
        <v>48.0</v>
      </c>
      <c r="C1625" s="28">
        <v>53.4933827082336</v>
      </c>
      <c r="D1625" s="28">
        <v>10.0007070069748</v>
      </c>
      <c r="E1625" s="28" t="s">
        <v>15</v>
      </c>
      <c r="F1625" s="28" t="s">
        <v>168</v>
      </c>
      <c r="G1625" s="29" t="s">
        <v>756</v>
      </c>
      <c r="H1625" s="30" t="s">
        <v>757</v>
      </c>
      <c r="J1625" s="31">
        <f t="shared" si="5"/>
        <v>1</v>
      </c>
    </row>
    <row r="1626">
      <c r="A1626" s="28">
        <v>27.0</v>
      </c>
      <c r="B1626" s="28">
        <v>49.0</v>
      </c>
      <c r="C1626" s="28">
        <v>53.4933701810582</v>
      </c>
      <c r="D1626" s="28">
        <v>10.0009476855851</v>
      </c>
      <c r="E1626" s="28" t="s">
        <v>15</v>
      </c>
      <c r="F1626" s="28" t="s">
        <v>168</v>
      </c>
      <c r="G1626" s="29" t="s">
        <v>758</v>
      </c>
      <c r="H1626" s="30" t="s">
        <v>759</v>
      </c>
      <c r="J1626" s="31">
        <f t="shared" si="5"/>
        <v>1</v>
      </c>
    </row>
    <row r="1627">
      <c r="A1627" s="28">
        <v>27.0</v>
      </c>
      <c r="B1627" s="28">
        <v>50.0</v>
      </c>
      <c r="C1627" s="28">
        <v>53.4933576538828</v>
      </c>
      <c r="D1627" s="28">
        <v>10.0011883641243</v>
      </c>
      <c r="E1627" s="28" t="s">
        <v>15</v>
      </c>
      <c r="F1627" s="28" t="s">
        <v>168</v>
      </c>
      <c r="G1627" s="29" t="s">
        <v>760</v>
      </c>
      <c r="H1627" s="30" t="s">
        <v>761</v>
      </c>
      <c r="J1627" s="31">
        <f t="shared" si="5"/>
        <v>1</v>
      </c>
    </row>
    <row r="1628">
      <c r="A1628" s="28">
        <v>27.0</v>
      </c>
      <c r="B1628" s="28">
        <v>51.0</v>
      </c>
      <c r="C1628" s="28">
        <v>53.4933451267073</v>
      </c>
      <c r="D1628" s="28">
        <v>10.0014290425924</v>
      </c>
      <c r="E1628" s="28" t="s">
        <v>15</v>
      </c>
      <c r="F1628" s="28" t="s">
        <v>168</v>
      </c>
      <c r="G1628" s="29" t="s">
        <v>442</v>
      </c>
      <c r="H1628" s="30" t="s">
        <v>762</v>
      </c>
      <c r="J1628" s="31">
        <f t="shared" si="5"/>
        <v>2</v>
      </c>
    </row>
    <row r="1629">
      <c r="A1629" s="28">
        <v>27.0</v>
      </c>
      <c r="B1629" s="28">
        <v>52.0</v>
      </c>
      <c r="C1629" s="28">
        <v>53.4933325995318</v>
      </c>
      <c r="D1629" s="28">
        <v>10.0016697209895</v>
      </c>
      <c r="E1629" s="28" t="s">
        <v>15</v>
      </c>
      <c r="F1629" s="28" t="s">
        <v>168</v>
      </c>
      <c r="G1629" s="29" t="s">
        <v>444</v>
      </c>
      <c r="H1629" s="30" t="s">
        <v>763</v>
      </c>
      <c r="J1629" s="31">
        <f t="shared" si="5"/>
        <v>2</v>
      </c>
    </row>
    <row r="1630">
      <c r="A1630" s="28">
        <v>27.0</v>
      </c>
      <c r="B1630" s="28">
        <v>53.0</v>
      </c>
      <c r="C1630" s="28">
        <v>53.4933200723564</v>
      </c>
      <c r="D1630" s="28">
        <v>10.0019103993154</v>
      </c>
      <c r="E1630" s="28" t="s">
        <v>15</v>
      </c>
      <c r="F1630" s="28" t="s">
        <v>168</v>
      </c>
      <c r="G1630" s="29" t="s">
        <v>764</v>
      </c>
      <c r="H1630" s="30" t="s">
        <v>765</v>
      </c>
      <c r="J1630" s="31">
        <f t="shared" si="5"/>
        <v>4</v>
      </c>
    </row>
    <row r="1631">
      <c r="A1631" s="28">
        <v>27.0</v>
      </c>
      <c r="B1631" s="28">
        <v>54.0</v>
      </c>
      <c r="C1631" s="28">
        <v>53.4933075451809</v>
      </c>
      <c r="D1631" s="28">
        <v>10.0021510775702</v>
      </c>
      <c r="E1631" s="28" t="s">
        <v>15</v>
      </c>
      <c r="F1631" s="28" t="s">
        <v>168</v>
      </c>
      <c r="G1631" s="29" t="s">
        <v>143</v>
      </c>
      <c r="H1631" s="30" t="s">
        <v>766</v>
      </c>
      <c r="J1631" s="31">
        <f t="shared" si="5"/>
        <v>10</v>
      </c>
    </row>
    <row r="1632">
      <c r="A1632" s="28">
        <v>27.0</v>
      </c>
      <c r="B1632" s="28">
        <v>55.0</v>
      </c>
      <c r="C1632" s="28">
        <v>53.4932950180055</v>
      </c>
      <c r="D1632" s="28">
        <v>10.002391755754</v>
      </c>
      <c r="E1632" s="28" t="s">
        <v>15</v>
      </c>
      <c r="F1632" s="28" t="s">
        <v>168</v>
      </c>
      <c r="G1632" s="29" t="s">
        <v>145</v>
      </c>
      <c r="H1632" s="38"/>
      <c r="J1632" s="31">
        <f t="shared" si="5"/>
        <v>40</v>
      </c>
    </row>
    <row r="1633">
      <c r="A1633" s="28">
        <v>27.0</v>
      </c>
      <c r="B1633" s="28">
        <v>56.0</v>
      </c>
      <c r="C1633" s="28">
        <v>53.49328249083</v>
      </c>
      <c r="D1633" s="28">
        <v>10.0026324338666</v>
      </c>
      <c r="E1633" s="28" t="s">
        <v>15</v>
      </c>
      <c r="F1633" s="28" t="s">
        <v>168</v>
      </c>
      <c r="G1633" s="29" t="s">
        <v>767</v>
      </c>
      <c r="H1633" s="38"/>
      <c r="J1633" s="31">
        <f t="shared" si="5"/>
        <v>1</v>
      </c>
    </row>
    <row r="1634">
      <c r="A1634" s="28">
        <v>27.0</v>
      </c>
      <c r="B1634" s="28">
        <v>57.0</v>
      </c>
      <c r="C1634" s="28">
        <v>53.4932699636546</v>
      </c>
      <c r="D1634" s="28">
        <v>10.0028731119082</v>
      </c>
      <c r="E1634" s="28" t="s">
        <v>15</v>
      </c>
      <c r="F1634" s="28" t="s">
        <v>168</v>
      </c>
      <c r="G1634" s="29" t="s">
        <v>143</v>
      </c>
      <c r="H1634" s="30" t="s">
        <v>768</v>
      </c>
      <c r="J1634" s="31">
        <f t="shared" si="5"/>
        <v>10</v>
      </c>
    </row>
    <row r="1635">
      <c r="A1635" s="28">
        <v>27.0</v>
      </c>
      <c r="B1635" s="28">
        <v>58.0</v>
      </c>
      <c r="C1635" s="28">
        <v>53.4932574364791</v>
      </c>
      <c r="D1635" s="28">
        <v>10.0031137898786</v>
      </c>
      <c r="E1635" s="28" t="s">
        <v>15</v>
      </c>
      <c r="F1635" s="28" t="s">
        <v>168</v>
      </c>
      <c r="G1635" s="29" t="s">
        <v>145</v>
      </c>
      <c r="H1635" s="38"/>
      <c r="J1635" s="31">
        <f t="shared" si="5"/>
        <v>40</v>
      </c>
    </row>
    <row r="1636">
      <c r="A1636" s="28">
        <v>27.0</v>
      </c>
      <c r="B1636" s="28">
        <v>59.0</v>
      </c>
      <c r="C1636" s="28">
        <v>53.4932449093037</v>
      </c>
      <c r="D1636" s="28">
        <v>10.0033544677779</v>
      </c>
      <c r="E1636" s="28" t="s">
        <v>15</v>
      </c>
      <c r="F1636" s="28" t="s">
        <v>168</v>
      </c>
      <c r="G1636" s="29" t="s">
        <v>702</v>
      </c>
      <c r="H1636" s="36" t="s">
        <v>769</v>
      </c>
      <c r="J1636" s="31">
        <f t="shared" si="5"/>
        <v>4</v>
      </c>
    </row>
    <row r="1637">
      <c r="A1637" s="28">
        <v>27.0</v>
      </c>
      <c r="B1637" s="28">
        <v>60.0</v>
      </c>
      <c r="C1637" s="28">
        <v>53.4932323821282</v>
      </c>
      <c r="D1637" s="28">
        <v>10.0035951456062</v>
      </c>
      <c r="E1637" s="28" t="s">
        <v>25</v>
      </c>
      <c r="F1637" s="28" t="s">
        <v>14</v>
      </c>
      <c r="G1637" s="29" t="s">
        <v>164</v>
      </c>
      <c r="H1637" s="35" t="s">
        <v>770</v>
      </c>
      <c r="J1637" s="31">
        <f t="shared" si="5"/>
        <v>133</v>
      </c>
    </row>
    <row r="1638">
      <c r="A1638" s="28">
        <v>28.0</v>
      </c>
      <c r="B1638" s="28">
        <v>1.0</v>
      </c>
      <c r="C1638" s="28">
        <v>53.4938283019703</v>
      </c>
      <c r="D1638" s="28">
        <v>9.98937397521297</v>
      </c>
      <c r="E1638" s="28" t="s">
        <v>25</v>
      </c>
      <c r="F1638" s="28" t="s">
        <v>14</v>
      </c>
      <c r="G1638" s="29" t="s">
        <v>27</v>
      </c>
      <c r="H1638" s="30" t="str">
        <f>HYPERLINK("https://www.munzee.com/m/DarkHaribo/12284/", "DarkHaribo/12284")</f>
        <v>DarkHaribo/12284</v>
      </c>
      <c r="J1638" s="31">
        <f t="shared" si="5"/>
        <v>103</v>
      </c>
    </row>
    <row r="1639">
      <c r="A1639" s="28">
        <v>28.0</v>
      </c>
      <c r="B1639" s="28">
        <v>2.0</v>
      </c>
      <c r="C1639" s="28">
        <v>53.4938157747949</v>
      </c>
      <c r="D1639" s="28">
        <v>9.98961465635227</v>
      </c>
      <c r="E1639" s="28" t="s">
        <v>15</v>
      </c>
      <c r="F1639" s="28" t="s">
        <v>168</v>
      </c>
      <c r="G1639" s="29" t="s">
        <v>771</v>
      </c>
      <c r="H1639" s="30" t="s">
        <v>772</v>
      </c>
      <c r="J1639" s="31">
        <f t="shared" si="5"/>
        <v>7</v>
      </c>
    </row>
    <row r="1640">
      <c r="A1640" s="28">
        <v>28.0</v>
      </c>
      <c r="B1640" s="28">
        <v>3.0</v>
      </c>
      <c r="C1640" s="28">
        <v>53.4938032476194</v>
      </c>
      <c r="D1640" s="28">
        <v>9.98985533742052</v>
      </c>
      <c r="E1640" s="28" t="s">
        <v>15</v>
      </c>
      <c r="F1640" s="28" t="s">
        <v>168</v>
      </c>
      <c r="G1640" s="29" t="s">
        <v>724</v>
      </c>
      <c r="H1640" s="30" t="s">
        <v>773</v>
      </c>
      <c r="J1640" s="31">
        <f t="shared" si="5"/>
        <v>12</v>
      </c>
    </row>
    <row r="1641">
      <c r="A1641" s="28">
        <v>28.0</v>
      </c>
      <c r="B1641" s="28">
        <v>4.0</v>
      </c>
      <c r="C1641" s="28">
        <v>53.493790720444</v>
      </c>
      <c r="D1641" s="28">
        <v>9.9900960184176</v>
      </c>
      <c r="E1641" s="28" t="s">
        <v>15</v>
      </c>
      <c r="F1641" s="28" t="s">
        <v>168</v>
      </c>
      <c r="G1641" s="29" t="s">
        <v>728</v>
      </c>
      <c r="H1641" s="30" t="s">
        <v>774</v>
      </c>
      <c r="J1641" s="31">
        <f t="shared" si="5"/>
        <v>12</v>
      </c>
    </row>
    <row r="1642">
      <c r="A1642" s="28">
        <v>28.0</v>
      </c>
      <c r="B1642" s="28">
        <v>5.0</v>
      </c>
      <c r="C1642" s="28">
        <v>53.4937781932685</v>
      </c>
      <c r="D1642" s="28">
        <v>9.99033669934363</v>
      </c>
      <c r="E1642" s="28" t="s">
        <v>15</v>
      </c>
      <c r="F1642" s="28" t="s">
        <v>168</v>
      </c>
      <c r="G1642" s="29" t="s">
        <v>771</v>
      </c>
      <c r="H1642" s="30" t="s">
        <v>775</v>
      </c>
      <c r="J1642" s="31">
        <f t="shared" si="5"/>
        <v>7</v>
      </c>
    </row>
    <row r="1643">
      <c r="A1643" s="28">
        <v>28.0</v>
      </c>
      <c r="B1643" s="28">
        <v>6.0</v>
      </c>
      <c r="C1643" s="28">
        <v>53.4937656660931</v>
      </c>
      <c r="D1643" s="28">
        <v>9.9905773801986</v>
      </c>
      <c r="E1643" s="28" t="s">
        <v>15</v>
      </c>
      <c r="F1643" s="28" t="s">
        <v>168</v>
      </c>
      <c r="G1643" s="29" t="s">
        <v>776</v>
      </c>
      <c r="H1643" s="30" t="s">
        <v>777</v>
      </c>
      <c r="J1643" s="31">
        <f t="shared" si="5"/>
        <v>7</v>
      </c>
    </row>
    <row r="1644">
      <c r="A1644" s="28">
        <v>28.0</v>
      </c>
      <c r="B1644" s="28">
        <v>7.0</v>
      </c>
      <c r="C1644" s="28">
        <v>53.4937531389176</v>
      </c>
      <c r="D1644" s="28">
        <v>9.9908180609824</v>
      </c>
      <c r="E1644" s="28" t="s">
        <v>15</v>
      </c>
      <c r="F1644" s="28" t="s">
        <v>168</v>
      </c>
      <c r="G1644" s="29" t="s">
        <v>764</v>
      </c>
      <c r="H1644" s="30" t="s">
        <v>778</v>
      </c>
      <c r="J1644" s="31">
        <f t="shared" si="5"/>
        <v>4</v>
      </c>
    </row>
    <row r="1645">
      <c r="A1645" s="28">
        <v>28.0</v>
      </c>
      <c r="B1645" s="28">
        <v>8.0</v>
      </c>
      <c r="C1645" s="28">
        <v>53.4937406117422</v>
      </c>
      <c r="D1645" s="28">
        <v>9.99105874169515</v>
      </c>
      <c r="E1645" s="28" t="s">
        <v>15</v>
      </c>
      <c r="F1645" s="28" t="s">
        <v>168</v>
      </c>
      <c r="G1645" s="29" t="s">
        <v>771</v>
      </c>
      <c r="H1645" s="30" t="s">
        <v>779</v>
      </c>
      <c r="J1645" s="31">
        <f t="shared" si="5"/>
        <v>7</v>
      </c>
    </row>
    <row r="1646">
      <c r="A1646" s="28">
        <v>28.0</v>
      </c>
      <c r="B1646" s="28">
        <v>9.0</v>
      </c>
      <c r="C1646" s="28">
        <v>53.4937280845667</v>
      </c>
      <c r="D1646" s="28">
        <v>9.99129942233685</v>
      </c>
      <c r="E1646" s="28" t="s">
        <v>15</v>
      </c>
      <c r="F1646" s="28" t="s">
        <v>168</v>
      </c>
      <c r="G1646" s="29" t="s">
        <v>776</v>
      </c>
      <c r="H1646" s="30" t="s">
        <v>780</v>
      </c>
      <c r="J1646" s="31">
        <f t="shared" si="5"/>
        <v>7</v>
      </c>
    </row>
    <row r="1647">
      <c r="A1647" s="28">
        <v>28.0</v>
      </c>
      <c r="B1647" s="28">
        <v>10.0</v>
      </c>
      <c r="C1647" s="28">
        <v>53.4937155573913</v>
      </c>
      <c r="D1647" s="28">
        <v>9.99154010290738</v>
      </c>
      <c r="E1647" s="28" t="s">
        <v>15</v>
      </c>
      <c r="F1647" s="28" t="s">
        <v>168</v>
      </c>
      <c r="G1647" s="29" t="s">
        <v>764</v>
      </c>
      <c r="H1647" s="30" t="s">
        <v>781</v>
      </c>
      <c r="J1647" s="31">
        <f t="shared" si="5"/>
        <v>4</v>
      </c>
    </row>
    <row r="1648">
      <c r="A1648" s="28">
        <v>28.0</v>
      </c>
      <c r="B1648" s="28">
        <v>11.0</v>
      </c>
      <c r="C1648" s="28">
        <v>53.4937030302158</v>
      </c>
      <c r="D1648" s="28">
        <v>9.99178078340673</v>
      </c>
      <c r="E1648" s="28" t="s">
        <v>15</v>
      </c>
      <c r="F1648" s="28" t="s">
        <v>168</v>
      </c>
      <c r="G1648" s="29" t="s">
        <v>771</v>
      </c>
      <c r="H1648" s="30" t="s">
        <v>782</v>
      </c>
      <c r="J1648" s="31">
        <f t="shared" si="5"/>
        <v>7</v>
      </c>
    </row>
    <row r="1649">
      <c r="A1649" s="28">
        <v>28.0</v>
      </c>
      <c r="B1649" s="28">
        <v>12.0</v>
      </c>
      <c r="C1649" s="28">
        <v>53.4936905030404</v>
      </c>
      <c r="D1649" s="28">
        <v>9.99202146383504</v>
      </c>
      <c r="E1649" s="28" t="s">
        <v>15</v>
      </c>
      <c r="F1649" s="28" t="s">
        <v>168</v>
      </c>
      <c r="G1649" s="29" t="s">
        <v>724</v>
      </c>
      <c r="H1649" s="30" t="s">
        <v>783</v>
      </c>
      <c r="J1649" s="31">
        <f t="shared" si="5"/>
        <v>12</v>
      </c>
    </row>
    <row r="1650">
      <c r="A1650" s="28">
        <v>28.0</v>
      </c>
      <c r="B1650" s="28">
        <v>13.0</v>
      </c>
      <c r="C1650" s="28">
        <v>53.4936779758649</v>
      </c>
      <c r="D1650" s="28">
        <v>9.99226214419229</v>
      </c>
      <c r="E1650" s="28" t="s">
        <v>15</v>
      </c>
      <c r="F1650" s="28" t="s">
        <v>168</v>
      </c>
      <c r="G1650" s="29" t="s">
        <v>728</v>
      </c>
      <c r="H1650" s="30" t="s">
        <v>784</v>
      </c>
      <c r="J1650" s="31">
        <f t="shared" si="5"/>
        <v>12</v>
      </c>
    </row>
    <row r="1651">
      <c r="A1651" s="28">
        <v>28.0</v>
      </c>
      <c r="B1651" s="28">
        <v>14.0</v>
      </c>
      <c r="C1651" s="28">
        <v>53.4936654486895</v>
      </c>
      <c r="D1651" s="28">
        <v>9.99250282447837</v>
      </c>
      <c r="E1651" s="28" t="s">
        <v>15</v>
      </c>
      <c r="F1651" s="28" t="s">
        <v>168</v>
      </c>
      <c r="G1651" s="29" t="s">
        <v>771</v>
      </c>
      <c r="H1651" s="30" t="s">
        <v>785</v>
      </c>
      <c r="J1651" s="31">
        <f t="shared" si="5"/>
        <v>7</v>
      </c>
    </row>
    <row r="1652">
      <c r="A1652" s="28">
        <v>28.0</v>
      </c>
      <c r="B1652" s="28">
        <v>15.0</v>
      </c>
      <c r="C1652" s="28">
        <v>53.493652921514</v>
      </c>
      <c r="D1652" s="28">
        <v>9.9927435046934</v>
      </c>
      <c r="E1652" s="28" t="s">
        <v>15</v>
      </c>
      <c r="F1652" s="28" t="s">
        <v>168</v>
      </c>
      <c r="G1652" s="29" t="s">
        <v>47</v>
      </c>
      <c r="H1652" s="38"/>
      <c r="J1652" s="31">
        <f t="shared" si="5"/>
        <v>44</v>
      </c>
    </row>
    <row r="1653">
      <c r="A1653" s="28">
        <v>28.0</v>
      </c>
      <c r="B1653" s="28">
        <v>16.0</v>
      </c>
      <c r="C1653" s="28">
        <v>53.4936403943385</v>
      </c>
      <c r="D1653" s="28">
        <v>9.99298418483738</v>
      </c>
      <c r="E1653" s="28" t="s">
        <v>15</v>
      </c>
      <c r="F1653" s="28" t="s">
        <v>168</v>
      </c>
      <c r="G1653" s="29" t="s">
        <v>776</v>
      </c>
      <c r="H1653" s="30" t="s">
        <v>786</v>
      </c>
      <c r="J1653" s="31">
        <f t="shared" si="5"/>
        <v>7</v>
      </c>
    </row>
    <row r="1654">
      <c r="A1654" s="28">
        <v>28.0</v>
      </c>
      <c r="B1654" s="28">
        <v>17.0</v>
      </c>
      <c r="C1654" s="28">
        <v>53.4936278671631</v>
      </c>
      <c r="D1654" s="28">
        <v>9.99322486491019</v>
      </c>
      <c r="E1654" s="28" t="s">
        <v>15</v>
      </c>
      <c r="F1654" s="28" t="s">
        <v>168</v>
      </c>
      <c r="G1654" s="29" t="s">
        <v>771</v>
      </c>
      <c r="H1654" s="30" t="s">
        <v>787</v>
      </c>
      <c r="J1654" s="31">
        <f t="shared" si="5"/>
        <v>7</v>
      </c>
    </row>
    <row r="1655">
      <c r="A1655" s="28">
        <v>28.0</v>
      </c>
      <c r="B1655" s="28">
        <v>18.0</v>
      </c>
      <c r="C1655" s="28">
        <v>53.4936153399876</v>
      </c>
      <c r="D1655" s="28">
        <v>9.99346554491194</v>
      </c>
      <c r="E1655" s="28" t="s">
        <v>15</v>
      </c>
      <c r="F1655" s="28" t="s">
        <v>168</v>
      </c>
      <c r="G1655" s="29" t="s">
        <v>47</v>
      </c>
      <c r="H1655" s="38"/>
      <c r="J1655" s="31">
        <f t="shared" si="5"/>
        <v>44</v>
      </c>
    </row>
    <row r="1656">
      <c r="A1656" s="28">
        <v>28.0</v>
      </c>
      <c r="B1656" s="28">
        <v>19.0</v>
      </c>
      <c r="C1656" s="28">
        <v>53.4936028128122</v>
      </c>
      <c r="D1656" s="28">
        <v>9.99370622484252</v>
      </c>
      <c r="E1656" s="28" t="s">
        <v>15</v>
      </c>
      <c r="F1656" s="28" t="s">
        <v>168</v>
      </c>
      <c r="G1656" s="29" t="s">
        <v>776</v>
      </c>
      <c r="H1656" s="30" t="s">
        <v>788</v>
      </c>
      <c r="J1656" s="31">
        <f t="shared" si="5"/>
        <v>7</v>
      </c>
    </row>
    <row r="1657">
      <c r="A1657" s="28">
        <v>28.0</v>
      </c>
      <c r="B1657" s="28">
        <v>20.0</v>
      </c>
      <c r="C1657" s="28">
        <v>53.4935902856367</v>
      </c>
      <c r="D1657" s="28">
        <v>9.99394690470205</v>
      </c>
      <c r="E1657" s="28" t="s">
        <v>15</v>
      </c>
      <c r="F1657" s="28" t="s">
        <v>168</v>
      </c>
      <c r="G1657" s="29" t="s">
        <v>771</v>
      </c>
      <c r="H1657" s="30" t="s">
        <v>789</v>
      </c>
      <c r="J1657" s="31">
        <f t="shared" si="5"/>
        <v>7</v>
      </c>
    </row>
    <row r="1658">
      <c r="A1658" s="28">
        <v>28.0</v>
      </c>
      <c r="B1658" s="28">
        <v>21.0</v>
      </c>
      <c r="C1658" s="28">
        <v>53.4935777584613</v>
      </c>
      <c r="D1658" s="28">
        <v>9.99418758449053</v>
      </c>
      <c r="E1658" s="28" t="s">
        <v>15</v>
      </c>
      <c r="F1658" s="28" t="s">
        <v>168</v>
      </c>
      <c r="G1658" s="29" t="s">
        <v>47</v>
      </c>
      <c r="H1658" s="38"/>
      <c r="J1658" s="31">
        <f t="shared" si="5"/>
        <v>44</v>
      </c>
    </row>
    <row r="1659">
      <c r="A1659" s="28">
        <v>28.0</v>
      </c>
      <c r="B1659" s="28">
        <v>22.0</v>
      </c>
      <c r="C1659" s="28">
        <v>53.4935652312858</v>
      </c>
      <c r="D1659" s="28">
        <v>9.99442826420784</v>
      </c>
      <c r="E1659" s="28" t="s">
        <v>25</v>
      </c>
      <c r="F1659" s="28" t="s">
        <v>14</v>
      </c>
      <c r="G1659" s="38"/>
      <c r="H1659" s="38"/>
      <c r="J1659" s="31">
        <f t="shared" si="5"/>
        <v>0</v>
      </c>
    </row>
    <row r="1660">
      <c r="A1660" s="28">
        <v>28.0</v>
      </c>
      <c r="B1660" s="28">
        <v>23.0</v>
      </c>
      <c r="C1660" s="28">
        <v>53.4935527041103</v>
      </c>
      <c r="D1660" s="28">
        <v>9.99466894385409</v>
      </c>
      <c r="E1660" s="28" t="s">
        <v>25</v>
      </c>
      <c r="F1660" s="28" t="s">
        <v>14</v>
      </c>
      <c r="G1660" s="38"/>
      <c r="H1660" s="38"/>
      <c r="J1660" s="31">
        <f t="shared" si="5"/>
        <v>0</v>
      </c>
    </row>
    <row r="1661">
      <c r="A1661" s="28">
        <v>28.0</v>
      </c>
      <c r="B1661" s="28">
        <v>24.0</v>
      </c>
      <c r="C1661" s="28">
        <v>53.4935401769349</v>
      </c>
      <c r="D1661" s="28">
        <v>9.99490962342929</v>
      </c>
      <c r="E1661" s="28" t="s">
        <v>25</v>
      </c>
      <c r="F1661" s="28" t="s">
        <v>14</v>
      </c>
      <c r="G1661" s="38"/>
      <c r="H1661" s="38"/>
      <c r="J1661" s="31">
        <f t="shared" si="5"/>
        <v>0</v>
      </c>
    </row>
    <row r="1662">
      <c r="A1662" s="28">
        <v>28.0</v>
      </c>
      <c r="B1662" s="28">
        <v>25.0</v>
      </c>
      <c r="C1662" s="28">
        <v>53.4935276497594</v>
      </c>
      <c r="D1662" s="28">
        <v>9.99515030293332</v>
      </c>
      <c r="E1662" s="28" t="s">
        <v>25</v>
      </c>
      <c r="F1662" s="28" t="s">
        <v>14</v>
      </c>
      <c r="G1662" s="38"/>
      <c r="H1662" s="38"/>
      <c r="J1662" s="31">
        <f t="shared" si="5"/>
        <v>0</v>
      </c>
    </row>
    <row r="1663">
      <c r="A1663" s="28">
        <v>28.0</v>
      </c>
      <c r="B1663" s="28">
        <v>26.0</v>
      </c>
      <c r="C1663" s="28">
        <v>53.493515122584</v>
      </c>
      <c r="D1663" s="28">
        <v>9.9953909823663</v>
      </c>
      <c r="E1663" s="28" t="s">
        <v>25</v>
      </c>
      <c r="F1663" s="28" t="s">
        <v>14</v>
      </c>
      <c r="G1663" s="38"/>
      <c r="H1663" s="38"/>
      <c r="J1663" s="31">
        <f t="shared" si="5"/>
        <v>0</v>
      </c>
    </row>
    <row r="1664">
      <c r="A1664" s="28">
        <v>28.0</v>
      </c>
      <c r="B1664" s="28">
        <v>27.0</v>
      </c>
      <c r="C1664" s="28">
        <v>53.4935025954085</v>
      </c>
      <c r="D1664" s="28">
        <v>9.99563166172811</v>
      </c>
      <c r="E1664" s="28" t="s">
        <v>25</v>
      </c>
      <c r="F1664" s="28" t="s">
        <v>14</v>
      </c>
      <c r="G1664" s="38"/>
      <c r="H1664" s="38"/>
      <c r="J1664" s="31">
        <f t="shared" si="5"/>
        <v>0</v>
      </c>
    </row>
    <row r="1665">
      <c r="A1665" s="28">
        <v>28.0</v>
      </c>
      <c r="B1665" s="28">
        <v>28.0</v>
      </c>
      <c r="C1665" s="28">
        <v>53.4934900682331</v>
      </c>
      <c r="D1665" s="28">
        <v>9.99587234101886</v>
      </c>
      <c r="E1665" s="28" t="s">
        <v>15</v>
      </c>
      <c r="F1665" s="28" t="s">
        <v>168</v>
      </c>
      <c r="G1665" s="29" t="s">
        <v>102</v>
      </c>
      <c r="H1665" s="36" t="s">
        <v>790</v>
      </c>
      <c r="J1665" s="31">
        <f t="shared" si="5"/>
        <v>8</v>
      </c>
    </row>
    <row r="1666">
      <c r="A1666" s="28">
        <v>28.0</v>
      </c>
      <c r="B1666" s="28">
        <v>29.0</v>
      </c>
      <c r="C1666" s="28">
        <v>53.4934775410576</v>
      </c>
      <c r="D1666" s="28">
        <v>9.99611302023845</v>
      </c>
      <c r="E1666" s="28" t="s">
        <v>15</v>
      </c>
      <c r="F1666" s="28" t="s">
        <v>168</v>
      </c>
      <c r="G1666" s="29" t="s">
        <v>776</v>
      </c>
      <c r="H1666" s="30" t="s">
        <v>791</v>
      </c>
      <c r="J1666" s="31">
        <f t="shared" si="5"/>
        <v>7</v>
      </c>
    </row>
    <row r="1667">
      <c r="A1667" s="28">
        <v>28.0</v>
      </c>
      <c r="B1667" s="28">
        <v>30.0</v>
      </c>
      <c r="C1667" s="28">
        <v>53.4934650138822</v>
      </c>
      <c r="D1667" s="28">
        <v>9.99635369938698</v>
      </c>
      <c r="E1667" s="28" t="s">
        <v>25</v>
      </c>
      <c r="F1667" s="28" t="s">
        <v>14</v>
      </c>
      <c r="G1667" s="38"/>
      <c r="H1667" s="38"/>
      <c r="J1667" s="31">
        <f t="shared" si="5"/>
        <v>0</v>
      </c>
    </row>
    <row r="1668">
      <c r="A1668" s="28">
        <v>28.0</v>
      </c>
      <c r="B1668" s="28">
        <v>31.0</v>
      </c>
      <c r="C1668" s="28">
        <v>53.4934524867067</v>
      </c>
      <c r="D1668" s="28">
        <v>9.99659437846446</v>
      </c>
      <c r="E1668" s="28" t="s">
        <v>15</v>
      </c>
      <c r="F1668" s="28" t="s">
        <v>168</v>
      </c>
      <c r="G1668" s="29" t="s">
        <v>164</v>
      </c>
      <c r="H1668" s="35" t="s">
        <v>792</v>
      </c>
      <c r="J1668" s="31">
        <f t="shared" si="5"/>
        <v>133</v>
      </c>
    </row>
    <row r="1669">
      <c r="A1669" s="28">
        <v>28.0</v>
      </c>
      <c r="B1669" s="28">
        <v>32.0</v>
      </c>
      <c r="C1669" s="28">
        <v>53.4934399595313</v>
      </c>
      <c r="D1669" s="28">
        <v>9.99683505747089</v>
      </c>
      <c r="E1669" s="28" t="s">
        <v>15</v>
      </c>
      <c r="F1669" s="28" t="s">
        <v>168</v>
      </c>
      <c r="G1669" s="29" t="s">
        <v>102</v>
      </c>
      <c r="H1669" s="36" t="s">
        <v>793</v>
      </c>
      <c r="J1669" s="31">
        <f t="shared" si="5"/>
        <v>8</v>
      </c>
    </row>
    <row r="1670">
      <c r="A1670" s="28">
        <v>28.0</v>
      </c>
      <c r="B1670" s="28">
        <v>33.0</v>
      </c>
      <c r="C1670" s="28">
        <v>53.4934274323558</v>
      </c>
      <c r="D1670" s="28">
        <v>9.99707573640614</v>
      </c>
      <c r="E1670" s="28" t="s">
        <v>25</v>
      </c>
      <c r="F1670" s="28" t="s">
        <v>14</v>
      </c>
      <c r="G1670" s="38"/>
      <c r="H1670" s="38"/>
      <c r="J1670" s="31">
        <f t="shared" si="5"/>
        <v>0</v>
      </c>
    </row>
    <row r="1671">
      <c r="A1671" s="28">
        <v>28.0</v>
      </c>
      <c r="B1671" s="28">
        <v>34.0</v>
      </c>
      <c r="C1671" s="28">
        <v>53.4934149051804</v>
      </c>
      <c r="D1671" s="28">
        <v>9.99731641527034</v>
      </c>
      <c r="E1671" s="28" t="s">
        <v>25</v>
      </c>
      <c r="F1671" s="28" t="s">
        <v>14</v>
      </c>
      <c r="G1671" s="38"/>
      <c r="H1671" s="38"/>
      <c r="J1671" s="31">
        <f t="shared" si="5"/>
        <v>0</v>
      </c>
    </row>
    <row r="1672">
      <c r="A1672" s="28">
        <v>28.0</v>
      </c>
      <c r="B1672" s="28">
        <v>35.0</v>
      </c>
      <c r="C1672" s="28">
        <v>53.4934023780049</v>
      </c>
      <c r="D1672" s="28">
        <v>9.99755709406338</v>
      </c>
      <c r="E1672" s="28" t="s">
        <v>25</v>
      </c>
      <c r="F1672" s="28" t="s">
        <v>14</v>
      </c>
      <c r="G1672" s="38"/>
      <c r="H1672" s="38"/>
      <c r="J1672" s="31">
        <f t="shared" si="5"/>
        <v>0</v>
      </c>
    </row>
    <row r="1673">
      <c r="A1673" s="28">
        <v>28.0</v>
      </c>
      <c r="B1673" s="28">
        <v>36.0</v>
      </c>
      <c r="C1673" s="28">
        <v>53.4933898508295</v>
      </c>
      <c r="D1673" s="28">
        <v>9.99779777278536</v>
      </c>
      <c r="E1673" s="28" t="s">
        <v>25</v>
      </c>
      <c r="F1673" s="28" t="s">
        <v>14</v>
      </c>
      <c r="G1673" s="38"/>
      <c r="H1673" s="38"/>
      <c r="J1673" s="31">
        <f t="shared" si="5"/>
        <v>0</v>
      </c>
    </row>
    <row r="1674">
      <c r="A1674" s="28">
        <v>28.0</v>
      </c>
      <c r="B1674" s="28">
        <v>37.0</v>
      </c>
      <c r="C1674" s="28">
        <v>53.493377323654</v>
      </c>
      <c r="D1674" s="28">
        <v>9.99803845143628</v>
      </c>
      <c r="E1674" s="28" t="s">
        <v>25</v>
      </c>
      <c r="F1674" s="28" t="s">
        <v>14</v>
      </c>
      <c r="G1674" s="38"/>
      <c r="H1674" s="38"/>
      <c r="J1674" s="31">
        <f t="shared" si="5"/>
        <v>0</v>
      </c>
    </row>
    <row r="1675">
      <c r="A1675" s="28">
        <v>28.0</v>
      </c>
      <c r="B1675" s="28">
        <v>38.0</v>
      </c>
      <c r="C1675" s="28">
        <v>53.4933647964785</v>
      </c>
      <c r="D1675" s="28">
        <v>9.99827913001604</v>
      </c>
      <c r="E1675" s="28" t="s">
        <v>25</v>
      </c>
      <c r="F1675" s="28" t="s">
        <v>14</v>
      </c>
      <c r="G1675" s="38"/>
      <c r="H1675" s="38"/>
      <c r="J1675" s="31">
        <f t="shared" si="5"/>
        <v>0</v>
      </c>
    </row>
    <row r="1676">
      <c r="A1676" s="28">
        <v>28.0</v>
      </c>
      <c r="B1676" s="28">
        <v>39.0</v>
      </c>
      <c r="C1676" s="28">
        <v>53.4933522693031</v>
      </c>
      <c r="D1676" s="28">
        <v>9.99851980852474</v>
      </c>
      <c r="E1676" s="28" t="s">
        <v>25</v>
      </c>
      <c r="F1676" s="28" t="s">
        <v>14</v>
      </c>
      <c r="G1676" s="38"/>
      <c r="H1676" s="38"/>
      <c r="J1676" s="31">
        <f t="shared" si="5"/>
        <v>0</v>
      </c>
    </row>
    <row r="1677">
      <c r="A1677" s="28">
        <v>28.0</v>
      </c>
      <c r="B1677" s="28">
        <v>40.0</v>
      </c>
      <c r="C1677" s="28">
        <v>53.4933397421276</v>
      </c>
      <c r="D1677" s="28">
        <v>9.99876048696228</v>
      </c>
      <c r="E1677" s="28" t="s">
        <v>15</v>
      </c>
      <c r="F1677" s="28" t="s">
        <v>168</v>
      </c>
      <c r="G1677" s="29" t="s">
        <v>794</v>
      </c>
      <c r="H1677" s="38"/>
      <c r="J1677" s="31">
        <f t="shared" si="5"/>
        <v>1</v>
      </c>
    </row>
    <row r="1678">
      <c r="A1678" s="28">
        <v>28.0</v>
      </c>
      <c r="B1678" s="28">
        <v>41.0</v>
      </c>
      <c r="C1678" s="28">
        <v>53.4933272149522</v>
      </c>
      <c r="D1678" s="28">
        <v>9.99900116532876</v>
      </c>
      <c r="E1678" s="28" t="s">
        <v>15</v>
      </c>
      <c r="F1678" s="28" t="s">
        <v>168</v>
      </c>
      <c r="G1678" s="29" t="s">
        <v>47</v>
      </c>
      <c r="H1678" s="38"/>
      <c r="J1678" s="31">
        <f t="shared" si="5"/>
        <v>44</v>
      </c>
    </row>
    <row r="1679">
      <c r="A1679" s="28">
        <v>28.0</v>
      </c>
      <c r="B1679" s="28">
        <v>42.0</v>
      </c>
      <c r="C1679" s="28">
        <v>53.4933146877767</v>
      </c>
      <c r="D1679" s="28">
        <v>9.99924184362419</v>
      </c>
      <c r="E1679" s="28" t="s">
        <v>15</v>
      </c>
      <c r="F1679" s="28" t="s">
        <v>168</v>
      </c>
      <c r="G1679" s="29" t="s">
        <v>724</v>
      </c>
      <c r="H1679" s="30" t="s">
        <v>795</v>
      </c>
      <c r="J1679" s="31">
        <f t="shared" si="5"/>
        <v>12</v>
      </c>
    </row>
    <row r="1680">
      <c r="A1680" s="28">
        <v>28.0</v>
      </c>
      <c r="B1680" s="28">
        <v>43.0</v>
      </c>
      <c r="C1680" s="28">
        <v>53.4933021606013</v>
      </c>
      <c r="D1680" s="28">
        <v>9.99948252184845</v>
      </c>
      <c r="E1680" s="28" t="s">
        <v>15</v>
      </c>
      <c r="F1680" s="28" t="s">
        <v>168</v>
      </c>
      <c r="G1680" s="29" t="s">
        <v>728</v>
      </c>
      <c r="H1680" s="30" t="s">
        <v>796</v>
      </c>
      <c r="J1680" s="31">
        <f t="shared" si="5"/>
        <v>12</v>
      </c>
    </row>
    <row r="1681">
      <c r="A1681" s="28">
        <v>28.0</v>
      </c>
      <c r="B1681" s="28">
        <v>44.0</v>
      </c>
      <c r="C1681" s="28">
        <v>53.4932896334258</v>
      </c>
      <c r="D1681" s="28">
        <v>9.99972320000165</v>
      </c>
      <c r="E1681" s="28" t="s">
        <v>15</v>
      </c>
      <c r="F1681" s="28" t="s">
        <v>168</v>
      </c>
      <c r="G1681" s="29" t="s">
        <v>776</v>
      </c>
      <c r="H1681" s="30" t="s">
        <v>797</v>
      </c>
      <c r="J1681" s="31">
        <f t="shared" si="5"/>
        <v>7</v>
      </c>
    </row>
    <row r="1682">
      <c r="A1682" s="28">
        <v>28.0</v>
      </c>
      <c r="B1682" s="28">
        <v>45.0</v>
      </c>
      <c r="C1682" s="28">
        <v>53.4932771062504</v>
      </c>
      <c r="D1682" s="28">
        <v>9.99996387808369</v>
      </c>
      <c r="E1682" s="28" t="s">
        <v>15</v>
      </c>
      <c r="F1682" s="28" t="s">
        <v>168</v>
      </c>
      <c r="G1682" s="29" t="s">
        <v>764</v>
      </c>
      <c r="H1682" s="30" t="s">
        <v>798</v>
      </c>
      <c r="J1682" s="31">
        <f t="shared" si="5"/>
        <v>4</v>
      </c>
    </row>
    <row r="1683">
      <c r="A1683" s="28">
        <v>28.0</v>
      </c>
      <c r="B1683" s="28">
        <v>46.0</v>
      </c>
      <c r="C1683" s="28">
        <v>53.4932645790749</v>
      </c>
      <c r="D1683" s="28">
        <v>10.0002045560946</v>
      </c>
      <c r="E1683" s="28" t="s">
        <v>15</v>
      </c>
      <c r="F1683" s="28" t="s">
        <v>168</v>
      </c>
      <c r="G1683" s="29" t="s">
        <v>143</v>
      </c>
      <c r="H1683" s="30" t="s">
        <v>799</v>
      </c>
      <c r="J1683" s="31">
        <f t="shared" si="5"/>
        <v>10</v>
      </c>
    </row>
    <row r="1684">
      <c r="A1684" s="28">
        <v>28.0</v>
      </c>
      <c r="B1684" s="28">
        <v>47.0</v>
      </c>
      <c r="C1684" s="28">
        <v>53.4932520518995</v>
      </c>
      <c r="D1684" s="28">
        <v>10.0004452340346</v>
      </c>
      <c r="E1684" s="28" t="s">
        <v>15</v>
      </c>
      <c r="F1684" s="28" t="s">
        <v>168</v>
      </c>
      <c r="G1684" s="29" t="s">
        <v>776</v>
      </c>
      <c r="H1684" s="30" t="s">
        <v>800</v>
      </c>
      <c r="J1684" s="31">
        <f t="shared" si="5"/>
        <v>7</v>
      </c>
    </row>
    <row r="1685">
      <c r="A1685" s="28">
        <v>28.0</v>
      </c>
      <c r="B1685" s="28">
        <v>48.0</v>
      </c>
      <c r="C1685" s="28">
        <v>53.493239524724</v>
      </c>
      <c r="D1685" s="28">
        <v>10.0006859119034</v>
      </c>
      <c r="E1685" s="28" t="s">
        <v>15</v>
      </c>
      <c r="F1685" s="28" t="s">
        <v>168</v>
      </c>
      <c r="G1685" s="29" t="s">
        <v>801</v>
      </c>
      <c r="H1685" s="30" t="s">
        <v>802</v>
      </c>
      <c r="J1685" s="31">
        <f t="shared" si="5"/>
        <v>1</v>
      </c>
    </row>
    <row r="1686">
      <c r="A1686" s="28">
        <v>28.0</v>
      </c>
      <c r="B1686" s="28">
        <v>49.0</v>
      </c>
      <c r="C1686" s="28">
        <v>53.4932269975486</v>
      </c>
      <c r="D1686" s="28">
        <v>10.0009265897011</v>
      </c>
      <c r="E1686" s="28" t="s">
        <v>15</v>
      </c>
      <c r="F1686" s="28" t="s">
        <v>168</v>
      </c>
      <c r="G1686" s="29" t="s">
        <v>143</v>
      </c>
      <c r="H1686" s="30" t="s">
        <v>803</v>
      </c>
      <c r="J1686" s="31">
        <f t="shared" si="5"/>
        <v>10</v>
      </c>
    </row>
    <row r="1687">
      <c r="A1687" s="28">
        <v>28.0</v>
      </c>
      <c r="B1687" s="28">
        <v>50.0</v>
      </c>
      <c r="C1687" s="28">
        <v>53.4932144703731</v>
      </c>
      <c r="D1687" s="28">
        <v>10.0011672674278</v>
      </c>
      <c r="E1687" s="28" t="s">
        <v>15</v>
      </c>
      <c r="F1687" s="28" t="s">
        <v>168</v>
      </c>
      <c r="G1687" s="29" t="s">
        <v>164</v>
      </c>
      <c r="H1687" s="35" t="s">
        <v>804</v>
      </c>
      <c r="J1687" s="31">
        <f t="shared" si="5"/>
        <v>133</v>
      </c>
    </row>
    <row r="1688">
      <c r="A1688" s="28">
        <v>28.0</v>
      </c>
      <c r="B1688" s="28">
        <v>51.0</v>
      </c>
      <c r="C1688" s="28">
        <v>53.4932019431977</v>
      </c>
      <c r="D1688" s="28">
        <v>10.0014079450833</v>
      </c>
      <c r="E1688" s="28" t="s">
        <v>15</v>
      </c>
      <c r="F1688" s="28" t="s">
        <v>168</v>
      </c>
      <c r="G1688" s="38"/>
      <c r="H1688" s="38"/>
      <c r="J1688" s="31">
        <f t="shared" si="5"/>
        <v>0</v>
      </c>
    </row>
    <row r="1689">
      <c r="A1689" s="28">
        <v>28.0</v>
      </c>
      <c r="B1689" s="28">
        <v>52.0</v>
      </c>
      <c r="C1689" s="28">
        <v>53.4931894160222</v>
      </c>
      <c r="D1689" s="28">
        <v>10.0016486226677</v>
      </c>
      <c r="E1689" s="28" t="s">
        <v>15</v>
      </c>
      <c r="F1689" s="28" t="s">
        <v>168</v>
      </c>
      <c r="G1689" s="29"/>
      <c r="H1689" s="38"/>
      <c r="J1689" s="31">
        <f t="shared" si="5"/>
        <v>0</v>
      </c>
    </row>
    <row r="1690">
      <c r="A1690" s="28">
        <v>28.0</v>
      </c>
      <c r="B1690" s="28">
        <v>53.0</v>
      </c>
      <c r="C1690" s="28">
        <v>53.4931768888468</v>
      </c>
      <c r="D1690" s="28">
        <v>10.0018893001811</v>
      </c>
      <c r="E1690" s="28" t="s">
        <v>15</v>
      </c>
      <c r="F1690" s="28" t="s">
        <v>168</v>
      </c>
      <c r="G1690" s="29" t="s">
        <v>164</v>
      </c>
      <c r="H1690" s="35" t="s">
        <v>805</v>
      </c>
      <c r="J1690" s="31">
        <f t="shared" si="5"/>
        <v>133</v>
      </c>
    </row>
    <row r="1691">
      <c r="A1691" s="28">
        <v>28.0</v>
      </c>
      <c r="B1691" s="28">
        <v>54.0</v>
      </c>
      <c r="C1691" s="28">
        <v>53.4931643616713</v>
      </c>
      <c r="D1691" s="28">
        <v>10.0021299776233</v>
      </c>
      <c r="E1691" s="28" t="s">
        <v>15</v>
      </c>
      <c r="F1691" s="28" t="s">
        <v>168</v>
      </c>
      <c r="G1691" s="38"/>
      <c r="H1691" s="38"/>
      <c r="J1691" s="31">
        <f t="shared" si="5"/>
        <v>0</v>
      </c>
    </row>
    <row r="1692">
      <c r="A1692" s="28">
        <v>28.0</v>
      </c>
      <c r="B1692" s="28">
        <v>55.0</v>
      </c>
      <c r="C1692" s="28">
        <v>53.4931518344959</v>
      </c>
      <c r="D1692" s="28">
        <v>10.0023706549944</v>
      </c>
      <c r="E1692" s="28" t="s">
        <v>15</v>
      </c>
      <c r="F1692" s="28" t="s">
        <v>168</v>
      </c>
      <c r="G1692" s="38"/>
      <c r="H1692" s="38"/>
      <c r="J1692" s="31">
        <f t="shared" si="5"/>
        <v>0</v>
      </c>
    </row>
    <row r="1693">
      <c r="A1693" s="28">
        <v>28.0</v>
      </c>
      <c r="B1693" s="28">
        <v>56.0</v>
      </c>
      <c r="C1693" s="28">
        <v>53.4931393073204</v>
      </c>
      <c r="D1693" s="28">
        <v>10.0026113322944</v>
      </c>
      <c r="E1693" s="28" t="s">
        <v>15</v>
      </c>
      <c r="F1693" s="28" t="s">
        <v>168</v>
      </c>
      <c r="G1693" s="29" t="s">
        <v>164</v>
      </c>
      <c r="H1693" s="35" t="s">
        <v>806</v>
      </c>
      <c r="J1693" s="31">
        <f t="shared" si="5"/>
        <v>133</v>
      </c>
    </row>
    <row r="1694">
      <c r="A1694" s="28">
        <v>28.0</v>
      </c>
      <c r="B1694" s="28">
        <v>57.0</v>
      </c>
      <c r="C1694" s="28">
        <v>53.493126780145</v>
      </c>
      <c r="D1694" s="28">
        <v>10.0028520095233</v>
      </c>
      <c r="E1694" s="28" t="s">
        <v>15</v>
      </c>
      <c r="F1694" s="28" t="s">
        <v>168</v>
      </c>
      <c r="G1694" s="38"/>
      <c r="H1694" s="38"/>
      <c r="J1694" s="31">
        <f t="shared" si="5"/>
        <v>0</v>
      </c>
    </row>
    <row r="1695">
      <c r="A1695" s="28">
        <v>28.0</v>
      </c>
      <c r="B1695" s="28">
        <v>58.0</v>
      </c>
      <c r="C1695" s="28">
        <v>53.4931142529695</v>
      </c>
      <c r="D1695" s="28">
        <v>10.0030926866812</v>
      </c>
      <c r="E1695" s="28" t="s">
        <v>15</v>
      </c>
      <c r="F1695" s="28" t="s">
        <v>168</v>
      </c>
      <c r="G1695" s="38"/>
      <c r="H1695" s="38"/>
      <c r="J1695" s="31">
        <f t="shared" si="5"/>
        <v>0</v>
      </c>
    </row>
    <row r="1696">
      <c r="A1696" s="28">
        <v>28.0</v>
      </c>
      <c r="B1696" s="28">
        <v>59.0</v>
      </c>
      <c r="C1696" s="28">
        <v>53.4931017257941</v>
      </c>
      <c r="D1696" s="28">
        <v>10.0033333637679</v>
      </c>
      <c r="E1696" s="28" t="s">
        <v>15</v>
      </c>
      <c r="F1696" s="28" t="s">
        <v>168</v>
      </c>
      <c r="G1696" s="29" t="s">
        <v>47</v>
      </c>
      <c r="H1696" s="33" t="s">
        <v>807</v>
      </c>
      <c r="J1696" s="31">
        <f t="shared" si="5"/>
        <v>44</v>
      </c>
    </row>
    <row r="1697">
      <c r="A1697" s="28">
        <v>28.0</v>
      </c>
      <c r="B1697" s="28">
        <v>60.0</v>
      </c>
      <c r="C1697" s="28">
        <v>53.4930891986186</v>
      </c>
      <c r="D1697" s="28">
        <v>10.0035740407836</v>
      </c>
      <c r="E1697" s="28" t="s">
        <v>25</v>
      </c>
      <c r="F1697" s="28" t="s">
        <v>14</v>
      </c>
      <c r="G1697" s="29" t="s">
        <v>27</v>
      </c>
      <c r="H1697" s="30" t="str">
        <f>HYPERLINK("https://www.munzee.com/m/DarkHaribo/12578", "DarkHaribo/12578")</f>
        <v>DarkHaribo/12578</v>
      </c>
      <c r="J1697" s="31">
        <f t="shared" si="5"/>
        <v>103</v>
      </c>
    </row>
    <row r="1698">
      <c r="A1698" s="28">
        <v>29.0</v>
      </c>
      <c r="B1698" s="28">
        <v>1.0</v>
      </c>
      <c r="C1698" s="28">
        <v>53.4936851184608</v>
      </c>
      <c r="D1698" s="28">
        <v>9.98935291840666</v>
      </c>
      <c r="E1698" s="28" t="s">
        <v>25</v>
      </c>
      <c r="F1698" s="28" t="s">
        <v>14</v>
      </c>
      <c r="G1698" s="29" t="s">
        <v>47</v>
      </c>
      <c r="H1698" s="33" t="s">
        <v>808</v>
      </c>
      <c r="J1698" s="31">
        <f t="shared" si="5"/>
        <v>44</v>
      </c>
    </row>
    <row r="1699">
      <c r="A1699" s="28">
        <v>29.0</v>
      </c>
      <c r="B1699" s="28">
        <v>2.0</v>
      </c>
      <c r="C1699" s="28">
        <v>53.4936725912853</v>
      </c>
      <c r="D1699" s="28">
        <v>9.98959359873333</v>
      </c>
      <c r="E1699" s="28" t="s">
        <v>15</v>
      </c>
      <c r="F1699" s="28" t="s">
        <v>168</v>
      </c>
      <c r="G1699" s="29" t="s">
        <v>40</v>
      </c>
      <c r="H1699" s="34" t="s">
        <v>809</v>
      </c>
      <c r="J1699" s="31">
        <f t="shared" si="5"/>
        <v>88</v>
      </c>
    </row>
    <row r="1700">
      <c r="A1700" s="28">
        <v>29.0</v>
      </c>
      <c r="B1700" s="28">
        <v>3.0</v>
      </c>
      <c r="C1700" s="28">
        <v>53.4936600641099</v>
      </c>
      <c r="D1700" s="28">
        <v>9.98983427898883</v>
      </c>
      <c r="E1700" s="28" t="s">
        <v>15</v>
      </c>
      <c r="F1700" s="28" t="s">
        <v>168</v>
      </c>
      <c r="G1700" s="29" t="s">
        <v>619</v>
      </c>
      <c r="H1700" s="30" t="s">
        <v>810</v>
      </c>
      <c r="J1700" s="31">
        <f t="shared" si="5"/>
        <v>4</v>
      </c>
    </row>
    <row r="1701">
      <c r="A1701" s="28">
        <v>29.0</v>
      </c>
      <c r="B1701" s="28">
        <v>4.0</v>
      </c>
      <c r="C1701" s="28">
        <v>53.4936475369344</v>
      </c>
      <c r="D1701" s="28">
        <v>9.99007495917328</v>
      </c>
      <c r="E1701" s="28" t="s">
        <v>15</v>
      </c>
      <c r="F1701" s="28" t="s">
        <v>168</v>
      </c>
      <c r="G1701" s="29" t="s">
        <v>143</v>
      </c>
      <c r="H1701" s="33" t="s">
        <v>811</v>
      </c>
      <c r="J1701" s="31">
        <f t="shared" si="5"/>
        <v>10</v>
      </c>
    </row>
    <row r="1702">
      <c r="A1702" s="28">
        <v>29.0</v>
      </c>
      <c r="B1702" s="28">
        <v>5.0</v>
      </c>
      <c r="C1702" s="28">
        <v>53.493635009759</v>
      </c>
      <c r="D1702" s="28">
        <v>9.99031563928667</v>
      </c>
      <c r="E1702" s="28" t="s">
        <v>15</v>
      </c>
      <c r="F1702" s="28" t="s">
        <v>168</v>
      </c>
      <c r="G1702" s="29" t="s">
        <v>40</v>
      </c>
      <c r="H1702" s="36" t="s">
        <v>812</v>
      </c>
      <c r="J1702" s="31">
        <f t="shared" si="5"/>
        <v>88</v>
      </c>
    </row>
    <row r="1703">
      <c r="A1703" s="28">
        <v>29.0</v>
      </c>
      <c r="B1703" s="28">
        <v>6.0</v>
      </c>
      <c r="C1703" s="28">
        <v>53.4936224825835</v>
      </c>
      <c r="D1703" s="28">
        <v>9.99055631932901</v>
      </c>
      <c r="E1703" s="28" t="s">
        <v>15</v>
      </c>
      <c r="F1703" s="28" t="s">
        <v>168</v>
      </c>
      <c r="G1703" s="29" t="s">
        <v>619</v>
      </c>
      <c r="H1703" s="30" t="s">
        <v>813</v>
      </c>
      <c r="J1703" s="31">
        <f t="shared" si="5"/>
        <v>4</v>
      </c>
    </row>
    <row r="1704">
      <c r="A1704" s="28">
        <v>29.0</v>
      </c>
      <c r="B1704" s="28">
        <v>7.0</v>
      </c>
      <c r="C1704" s="28">
        <v>53.493609955408</v>
      </c>
      <c r="D1704" s="28">
        <v>9.99079699930018</v>
      </c>
      <c r="E1704" s="28" t="s">
        <v>15</v>
      </c>
      <c r="F1704" s="28" t="s">
        <v>168</v>
      </c>
      <c r="G1704" s="29" t="s">
        <v>814</v>
      </c>
      <c r="H1704" s="30" t="s">
        <v>815</v>
      </c>
      <c r="I1704" s="47">
        <v>44776.0</v>
      </c>
      <c r="J1704" s="31">
        <f t="shared" si="5"/>
        <v>2</v>
      </c>
    </row>
    <row r="1705">
      <c r="A1705" s="28">
        <v>29.0</v>
      </c>
      <c r="B1705" s="28">
        <v>8.0</v>
      </c>
      <c r="C1705" s="28">
        <v>53.4935974282326</v>
      </c>
      <c r="D1705" s="28">
        <v>9.9910376792003</v>
      </c>
      <c r="E1705" s="28" t="s">
        <v>15</v>
      </c>
      <c r="F1705" s="28" t="s">
        <v>168</v>
      </c>
      <c r="G1705" s="29" t="s">
        <v>40</v>
      </c>
      <c r="H1705" s="36" t="s">
        <v>816</v>
      </c>
      <c r="J1705" s="31">
        <f t="shared" si="5"/>
        <v>88</v>
      </c>
    </row>
    <row r="1706">
      <c r="A1706" s="28">
        <v>29.0</v>
      </c>
      <c r="B1706" s="28">
        <v>9.0</v>
      </c>
      <c r="C1706" s="28">
        <v>53.4935849010571</v>
      </c>
      <c r="D1706" s="28">
        <v>9.99127835902925</v>
      </c>
      <c r="E1706" s="28" t="s">
        <v>15</v>
      </c>
      <c r="F1706" s="28" t="s">
        <v>168</v>
      </c>
      <c r="G1706" s="29" t="s">
        <v>619</v>
      </c>
      <c r="H1706" s="30" t="s">
        <v>817</v>
      </c>
      <c r="J1706" s="31">
        <f t="shared" si="5"/>
        <v>4</v>
      </c>
    </row>
    <row r="1707">
      <c r="A1707" s="28">
        <v>29.0</v>
      </c>
      <c r="B1707" s="28">
        <v>10.0</v>
      </c>
      <c r="C1707" s="28">
        <v>53.4935723738817</v>
      </c>
      <c r="D1707" s="28">
        <v>9.99151903878714</v>
      </c>
      <c r="E1707" s="28" t="s">
        <v>15</v>
      </c>
      <c r="F1707" s="28" t="s">
        <v>168</v>
      </c>
      <c r="G1707" s="29" t="s">
        <v>164</v>
      </c>
      <c r="H1707" s="35" t="s">
        <v>818</v>
      </c>
      <c r="J1707" s="31">
        <f t="shared" si="5"/>
        <v>133</v>
      </c>
    </row>
    <row r="1708">
      <c r="A1708" s="28">
        <v>29.0</v>
      </c>
      <c r="B1708" s="28">
        <v>11.0</v>
      </c>
      <c r="C1708" s="28">
        <v>53.4935598467062</v>
      </c>
      <c r="D1708" s="28">
        <v>9.99175971847398</v>
      </c>
      <c r="E1708" s="28" t="s">
        <v>15</v>
      </c>
      <c r="F1708" s="28" t="s">
        <v>168</v>
      </c>
      <c r="G1708" s="29" t="s">
        <v>40</v>
      </c>
      <c r="H1708" s="36" t="s">
        <v>819</v>
      </c>
      <c r="J1708" s="31">
        <f t="shared" si="5"/>
        <v>88</v>
      </c>
    </row>
    <row r="1709">
      <c r="A1709" s="28">
        <v>29.0</v>
      </c>
      <c r="B1709" s="28">
        <v>12.0</v>
      </c>
      <c r="C1709" s="28">
        <v>53.4935473195308</v>
      </c>
      <c r="D1709" s="28">
        <v>9.99200039808965</v>
      </c>
      <c r="E1709" s="28" t="s">
        <v>15</v>
      </c>
      <c r="F1709" s="28" t="s">
        <v>168</v>
      </c>
      <c r="G1709" s="38"/>
      <c r="H1709" s="38"/>
      <c r="J1709" s="31">
        <f t="shared" si="5"/>
        <v>0</v>
      </c>
    </row>
    <row r="1710">
      <c r="A1710" s="28">
        <v>29.0</v>
      </c>
      <c r="B1710" s="28">
        <v>13.0</v>
      </c>
      <c r="C1710" s="28">
        <v>53.4935347923553</v>
      </c>
      <c r="D1710" s="28">
        <v>9.99224107763427</v>
      </c>
      <c r="E1710" s="28" t="s">
        <v>15</v>
      </c>
      <c r="F1710" s="28" t="s">
        <v>168</v>
      </c>
      <c r="G1710" s="29" t="s">
        <v>164</v>
      </c>
      <c r="H1710" s="35" t="s">
        <v>820</v>
      </c>
      <c r="J1710" s="31">
        <f t="shared" si="5"/>
        <v>133</v>
      </c>
    </row>
    <row r="1711">
      <c r="A1711" s="28">
        <v>29.0</v>
      </c>
      <c r="B1711" s="28">
        <v>14.0</v>
      </c>
      <c r="C1711" s="28">
        <v>53.4935222651799</v>
      </c>
      <c r="D1711" s="28">
        <v>9.99248175710772</v>
      </c>
      <c r="E1711" s="28" t="s">
        <v>15</v>
      </c>
      <c r="F1711" s="28" t="s">
        <v>168</v>
      </c>
      <c r="G1711" s="29" t="s">
        <v>40</v>
      </c>
      <c r="H1711" s="36" t="s">
        <v>821</v>
      </c>
      <c r="J1711" s="31">
        <f t="shared" si="5"/>
        <v>88</v>
      </c>
    </row>
    <row r="1712">
      <c r="A1712" s="28">
        <v>29.0</v>
      </c>
      <c r="B1712" s="28">
        <v>15.0</v>
      </c>
      <c r="C1712" s="28">
        <v>53.4935097380044</v>
      </c>
      <c r="D1712" s="28">
        <v>9.99272243651012</v>
      </c>
      <c r="E1712" s="28" t="s">
        <v>15</v>
      </c>
      <c r="F1712" s="28" t="s">
        <v>168</v>
      </c>
      <c r="G1712" s="38"/>
      <c r="H1712" s="38"/>
      <c r="J1712" s="31">
        <f t="shared" si="5"/>
        <v>0</v>
      </c>
    </row>
    <row r="1713">
      <c r="A1713" s="28">
        <v>29.0</v>
      </c>
      <c r="B1713" s="28">
        <v>16.0</v>
      </c>
      <c r="C1713" s="28">
        <v>53.493497210829</v>
      </c>
      <c r="D1713" s="28">
        <v>9.99296311584134</v>
      </c>
      <c r="E1713" s="28" t="s">
        <v>15</v>
      </c>
      <c r="F1713" s="28" t="s">
        <v>168</v>
      </c>
      <c r="G1713" s="29" t="s">
        <v>164</v>
      </c>
      <c r="H1713" s="35" t="s">
        <v>822</v>
      </c>
      <c r="J1713" s="31">
        <f t="shared" si="5"/>
        <v>133</v>
      </c>
    </row>
    <row r="1714">
      <c r="A1714" s="28">
        <v>29.0</v>
      </c>
      <c r="B1714" s="28">
        <v>17.0</v>
      </c>
      <c r="C1714" s="28">
        <v>53.4934846836535</v>
      </c>
      <c r="D1714" s="28">
        <v>9.99320379510152</v>
      </c>
      <c r="E1714" s="28" t="s">
        <v>15</v>
      </c>
      <c r="F1714" s="28" t="s">
        <v>168</v>
      </c>
      <c r="G1714" s="29" t="s">
        <v>40</v>
      </c>
      <c r="H1714" s="34" t="s">
        <v>823</v>
      </c>
      <c r="J1714" s="31">
        <f t="shared" si="5"/>
        <v>88</v>
      </c>
    </row>
    <row r="1715">
      <c r="A1715" s="28">
        <v>29.0</v>
      </c>
      <c r="B1715" s="28">
        <v>18.0</v>
      </c>
      <c r="C1715" s="28">
        <v>53.4934721564781</v>
      </c>
      <c r="D1715" s="28">
        <v>9.99344447429064</v>
      </c>
      <c r="E1715" s="28" t="s">
        <v>15</v>
      </c>
      <c r="F1715" s="28" t="s">
        <v>168</v>
      </c>
      <c r="G1715" s="38"/>
      <c r="H1715" s="38"/>
      <c r="J1715" s="31">
        <f t="shared" si="5"/>
        <v>0</v>
      </c>
    </row>
    <row r="1716">
      <c r="A1716" s="28">
        <v>29.0</v>
      </c>
      <c r="B1716" s="28">
        <v>19.0</v>
      </c>
      <c r="C1716" s="28">
        <v>53.4934596293026</v>
      </c>
      <c r="D1716" s="28">
        <v>9.9936851534087</v>
      </c>
      <c r="E1716" s="28" t="s">
        <v>15</v>
      </c>
      <c r="F1716" s="28" t="s">
        <v>168</v>
      </c>
      <c r="G1716" s="29" t="s">
        <v>164</v>
      </c>
      <c r="H1716" s="35" t="s">
        <v>824</v>
      </c>
      <c r="J1716" s="31">
        <f t="shared" si="5"/>
        <v>133</v>
      </c>
    </row>
    <row r="1717">
      <c r="A1717" s="28">
        <v>29.0</v>
      </c>
      <c r="B1717" s="28">
        <v>20.0</v>
      </c>
      <c r="C1717" s="28">
        <v>53.4934471021272</v>
      </c>
      <c r="D1717" s="28">
        <v>9.9939258324556</v>
      </c>
      <c r="E1717" s="28" t="s">
        <v>15</v>
      </c>
      <c r="F1717" s="28" t="s">
        <v>168</v>
      </c>
      <c r="G1717" s="29" t="s">
        <v>40</v>
      </c>
      <c r="H1717" s="36" t="s">
        <v>825</v>
      </c>
      <c r="J1717" s="31">
        <f t="shared" si="5"/>
        <v>88</v>
      </c>
    </row>
    <row r="1718">
      <c r="A1718" s="28">
        <v>29.0</v>
      </c>
      <c r="B1718" s="28">
        <v>21.0</v>
      </c>
      <c r="C1718" s="28">
        <v>53.4934345749517</v>
      </c>
      <c r="D1718" s="28">
        <v>9.99416651143144</v>
      </c>
      <c r="E1718" s="28" t="s">
        <v>15</v>
      </c>
      <c r="F1718" s="28" t="s">
        <v>168</v>
      </c>
      <c r="G1718" s="38"/>
      <c r="H1718" s="38"/>
      <c r="J1718" s="31">
        <f t="shared" si="5"/>
        <v>0</v>
      </c>
    </row>
    <row r="1719">
      <c r="A1719" s="28">
        <v>29.0</v>
      </c>
      <c r="B1719" s="28">
        <v>22.0</v>
      </c>
      <c r="C1719" s="28">
        <v>53.4934220477763</v>
      </c>
      <c r="D1719" s="28">
        <v>9.99440719033612</v>
      </c>
      <c r="E1719" s="28" t="s">
        <v>25</v>
      </c>
      <c r="F1719" s="28" t="s">
        <v>14</v>
      </c>
      <c r="G1719" s="38"/>
      <c r="H1719" s="38"/>
      <c r="J1719" s="31">
        <f t="shared" si="5"/>
        <v>0</v>
      </c>
    </row>
    <row r="1720">
      <c r="A1720" s="28">
        <v>29.0</v>
      </c>
      <c r="B1720" s="28">
        <v>23.0</v>
      </c>
      <c r="C1720" s="28">
        <v>53.4934095206008</v>
      </c>
      <c r="D1720" s="28">
        <v>9.99464786916974</v>
      </c>
      <c r="E1720" s="28" t="s">
        <v>25</v>
      </c>
      <c r="F1720" s="28" t="s">
        <v>14</v>
      </c>
      <c r="G1720" s="38"/>
      <c r="H1720" s="38"/>
      <c r="J1720" s="31">
        <f t="shared" si="5"/>
        <v>0</v>
      </c>
    </row>
    <row r="1721">
      <c r="A1721" s="28">
        <v>29.0</v>
      </c>
      <c r="B1721" s="28">
        <v>24.0</v>
      </c>
      <c r="C1721" s="28">
        <v>53.4933969934254</v>
      </c>
      <c r="D1721" s="28">
        <v>9.9948885479323</v>
      </c>
      <c r="E1721" s="28" t="s">
        <v>25</v>
      </c>
      <c r="F1721" s="28" t="s">
        <v>14</v>
      </c>
      <c r="G1721" s="38"/>
      <c r="H1721" s="38"/>
      <c r="J1721" s="31">
        <f t="shared" si="5"/>
        <v>0</v>
      </c>
    </row>
    <row r="1722">
      <c r="A1722" s="28">
        <v>29.0</v>
      </c>
      <c r="B1722" s="28">
        <v>25.0</v>
      </c>
      <c r="C1722" s="28">
        <v>53.4933844662499</v>
      </c>
      <c r="D1722" s="28">
        <v>9.9951292266237</v>
      </c>
      <c r="E1722" s="28" t="s">
        <v>25</v>
      </c>
      <c r="F1722" s="28" t="s">
        <v>14</v>
      </c>
      <c r="G1722" s="38"/>
      <c r="H1722" s="38"/>
      <c r="J1722" s="31">
        <f t="shared" si="5"/>
        <v>0</v>
      </c>
    </row>
    <row r="1723">
      <c r="A1723" s="28">
        <v>29.0</v>
      </c>
      <c r="B1723" s="28">
        <v>26.0</v>
      </c>
      <c r="C1723" s="28">
        <v>53.4933719390745</v>
      </c>
      <c r="D1723" s="28">
        <v>9.99536990524404</v>
      </c>
      <c r="E1723" s="28" t="s">
        <v>25</v>
      </c>
      <c r="F1723" s="28" t="s">
        <v>14</v>
      </c>
      <c r="G1723" s="38"/>
      <c r="H1723" s="38"/>
      <c r="J1723" s="31">
        <f t="shared" si="5"/>
        <v>0</v>
      </c>
    </row>
    <row r="1724">
      <c r="A1724" s="28">
        <v>29.0</v>
      </c>
      <c r="B1724" s="28">
        <v>27.0</v>
      </c>
      <c r="C1724" s="28">
        <v>53.493359411899</v>
      </c>
      <c r="D1724" s="28">
        <v>9.99561058379322</v>
      </c>
      <c r="E1724" s="28" t="s">
        <v>25</v>
      </c>
      <c r="F1724" s="28" t="s">
        <v>14</v>
      </c>
      <c r="G1724" s="38"/>
      <c r="H1724" s="38"/>
      <c r="J1724" s="31">
        <f t="shared" si="5"/>
        <v>0</v>
      </c>
    </row>
    <row r="1725">
      <c r="A1725" s="28">
        <v>29.0</v>
      </c>
      <c r="B1725" s="28">
        <v>28.0</v>
      </c>
      <c r="C1725" s="28">
        <v>53.4933468847236</v>
      </c>
      <c r="D1725" s="28">
        <v>9.99585126227134</v>
      </c>
      <c r="E1725" s="28" t="s">
        <v>25</v>
      </c>
      <c r="F1725" s="28" t="s">
        <v>14</v>
      </c>
      <c r="G1725" s="38"/>
      <c r="H1725" s="38"/>
      <c r="J1725" s="31">
        <f t="shared" si="5"/>
        <v>0</v>
      </c>
    </row>
    <row r="1726">
      <c r="A1726" s="28">
        <v>29.0</v>
      </c>
      <c r="B1726" s="28">
        <v>29.0</v>
      </c>
      <c r="C1726" s="28">
        <v>53.4933343575481</v>
      </c>
      <c r="D1726" s="28">
        <v>9.99609194067829</v>
      </c>
      <c r="E1726" s="28" t="s">
        <v>25</v>
      </c>
      <c r="F1726" s="28" t="s">
        <v>14</v>
      </c>
      <c r="G1726" s="38"/>
      <c r="H1726" s="38"/>
      <c r="J1726" s="31">
        <f t="shared" si="5"/>
        <v>0</v>
      </c>
    </row>
    <row r="1727">
      <c r="A1727" s="28">
        <v>29.0</v>
      </c>
      <c r="B1727" s="28">
        <v>30.0</v>
      </c>
      <c r="C1727" s="28">
        <v>53.4933218303727</v>
      </c>
      <c r="D1727" s="28">
        <v>9.99633261901419</v>
      </c>
      <c r="E1727" s="28" t="s">
        <v>25</v>
      </c>
      <c r="F1727" s="28" t="s">
        <v>14</v>
      </c>
      <c r="G1727" s="38"/>
      <c r="H1727" s="38"/>
      <c r="J1727" s="31">
        <f t="shared" si="5"/>
        <v>0</v>
      </c>
    </row>
    <row r="1728">
      <c r="A1728" s="28">
        <v>29.0</v>
      </c>
      <c r="B1728" s="28">
        <v>31.0</v>
      </c>
      <c r="C1728" s="28">
        <v>53.4933093031972</v>
      </c>
      <c r="D1728" s="28">
        <v>9.99657329727904</v>
      </c>
      <c r="E1728" s="28" t="s">
        <v>25</v>
      </c>
      <c r="F1728" s="28" t="s">
        <v>14</v>
      </c>
      <c r="G1728" s="38"/>
      <c r="H1728" s="38"/>
      <c r="J1728" s="31">
        <f t="shared" si="5"/>
        <v>0</v>
      </c>
    </row>
    <row r="1729">
      <c r="A1729" s="28">
        <v>29.0</v>
      </c>
      <c r="B1729" s="28">
        <v>32.0</v>
      </c>
      <c r="C1729" s="28">
        <v>53.4932967760217</v>
      </c>
      <c r="D1729" s="28">
        <v>9.99681397547283</v>
      </c>
      <c r="E1729" s="28" t="s">
        <v>25</v>
      </c>
      <c r="F1729" s="28" t="s">
        <v>14</v>
      </c>
      <c r="G1729" s="38"/>
      <c r="H1729" s="38"/>
      <c r="J1729" s="31">
        <f t="shared" si="5"/>
        <v>0</v>
      </c>
    </row>
    <row r="1730">
      <c r="A1730" s="28">
        <v>29.0</v>
      </c>
      <c r="B1730" s="28">
        <v>33.0</v>
      </c>
      <c r="C1730" s="28">
        <v>53.4932842488463</v>
      </c>
      <c r="D1730" s="28">
        <v>9.99705465359545</v>
      </c>
      <c r="E1730" s="28" t="s">
        <v>25</v>
      </c>
      <c r="F1730" s="28" t="s">
        <v>14</v>
      </c>
      <c r="G1730" s="38"/>
      <c r="H1730" s="38"/>
      <c r="J1730" s="31">
        <f t="shared" si="5"/>
        <v>0</v>
      </c>
    </row>
    <row r="1731">
      <c r="A1731" s="28">
        <v>29.0</v>
      </c>
      <c r="B1731" s="28">
        <v>34.0</v>
      </c>
      <c r="C1731" s="28">
        <v>53.4932717216708</v>
      </c>
      <c r="D1731" s="28">
        <v>9.99729533164702</v>
      </c>
      <c r="E1731" s="28" t="s">
        <v>25</v>
      </c>
      <c r="F1731" s="28" t="s">
        <v>14</v>
      </c>
      <c r="G1731" s="38"/>
      <c r="H1731" s="38"/>
      <c r="J1731" s="31">
        <f t="shared" si="5"/>
        <v>0</v>
      </c>
    </row>
    <row r="1732">
      <c r="A1732" s="28">
        <v>29.0</v>
      </c>
      <c r="B1732" s="28">
        <v>35.0</v>
      </c>
      <c r="C1732" s="28">
        <v>53.4932591944954</v>
      </c>
      <c r="D1732" s="28">
        <v>9.99753600962742</v>
      </c>
      <c r="E1732" s="28" t="s">
        <v>25</v>
      </c>
      <c r="F1732" s="28" t="s">
        <v>14</v>
      </c>
      <c r="G1732" s="38"/>
      <c r="H1732" s="38"/>
      <c r="J1732" s="31">
        <f t="shared" si="5"/>
        <v>0</v>
      </c>
    </row>
    <row r="1733">
      <c r="A1733" s="28">
        <v>29.0</v>
      </c>
      <c r="B1733" s="28">
        <v>36.0</v>
      </c>
      <c r="C1733" s="28">
        <v>53.4932466673199</v>
      </c>
      <c r="D1733" s="28">
        <v>9.99777668753677</v>
      </c>
      <c r="E1733" s="28" t="s">
        <v>25</v>
      </c>
      <c r="F1733" s="28" t="s">
        <v>14</v>
      </c>
      <c r="G1733" s="38"/>
      <c r="H1733" s="38"/>
      <c r="J1733" s="31">
        <f t="shared" si="5"/>
        <v>0</v>
      </c>
    </row>
    <row r="1734">
      <c r="A1734" s="28">
        <v>29.0</v>
      </c>
      <c r="B1734" s="28">
        <v>37.0</v>
      </c>
      <c r="C1734" s="28">
        <v>53.4932341401445</v>
      </c>
      <c r="D1734" s="28">
        <v>9.99801736537506</v>
      </c>
      <c r="E1734" s="28" t="s">
        <v>25</v>
      </c>
      <c r="F1734" s="28" t="s">
        <v>14</v>
      </c>
      <c r="G1734" s="38"/>
      <c r="H1734" s="38"/>
      <c r="J1734" s="31">
        <f t="shared" si="5"/>
        <v>0</v>
      </c>
    </row>
    <row r="1735">
      <c r="A1735" s="28">
        <v>29.0</v>
      </c>
      <c r="B1735" s="28">
        <v>38.0</v>
      </c>
      <c r="C1735" s="28">
        <v>53.493221612969</v>
      </c>
      <c r="D1735" s="28">
        <v>9.99825804314218</v>
      </c>
      <c r="E1735" s="28" t="s">
        <v>25</v>
      </c>
      <c r="F1735" s="28" t="s">
        <v>14</v>
      </c>
      <c r="G1735" s="38"/>
      <c r="H1735" s="38"/>
      <c r="J1735" s="31">
        <f t="shared" si="5"/>
        <v>0</v>
      </c>
    </row>
    <row r="1736">
      <c r="A1736" s="28">
        <v>29.0</v>
      </c>
      <c r="B1736" s="28">
        <v>39.0</v>
      </c>
      <c r="C1736" s="28">
        <v>53.4932090857936</v>
      </c>
      <c r="D1736" s="28">
        <v>9.99849872083825</v>
      </c>
      <c r="E1736" s="28" t="s">
        <v>25</v>
      </c>
      <c r="F1736" s="28" t="s">
        <v>14</v>
      </c>
      <c r="G1736" s="38"/>
      <c r="H1736" s="38"/>
      <c r="J1736" s="31">
        <f t="shared" si="5"/>
        <v>0</v>
      </c>
    </row>
    <row r="1737">
      <c r="A1737" s="28">
        <v>29.0</v>
      </c>
      <c r="B1737" s="28">
        <v>40.0</v>
      </c>
      <c r="C1737" s="28">
        <v>53.4931965586181</v>
      </c>
      <c r="D1737" s="28">
        <v>9.99873939846315</v>
      </c>
      <c r="E1737" s="28" t="s">
        <v>15</v>
      </c>
      <c r="F1737" s="28" t="s">
        <v>168</v>
      </c>
      <c r="G1737" s="29" t="s">
        <v>189</v>
      </c>
      <c r="H1737" s="30" t="s">
        <v>826</v>
      </c>
      <c r="J1737" s="31">
        <f t="shared" si="5"/>
        <v>40</v>
      </c>
    </row>
    <row r="1738">
      <c r="A1738" s="28">
        <v>29.0</v>
      </c>
      <c r="B1738" s="28">
        <v>41.0</v>
      </c>
      <c r="C1738" s="28">
        <v>53.4931840314427</v>
      </c>
      <c r="D1738" s="28">
        <v>9.998980076017</v>
      </c>
      <c r="E1738" s="28" t="s">
        <v>15</v>
      </c>
      <c r="F1738" s="28" t="s">
        <v>168</v>
      </c>
      <c r="G1738" s="29" t="s">
        <v>827</v>
      </c>
      <c r="H1738" s="30" t="s">
        <v>828</v>
      </c>
      <c r="J1738" s="31">
        <f t="shared" si="5"/>
        <v>2</v>
      </c>
    </row>
    <row r="1739">
      <c r="A1739" s="28">
        <v>29.0</v>
      </c>
      <c r="B1739" s="28">
        <v>42.0</v>
      </c>
      <c r="C1739" s="28">
        <v>53.4931715042672</v>
      </c>
      <c r="D1739" s="28">
        <v>9.99922075349979</v>
      </c>
      <c r="E1739" s="28" t="s">
        <v>15</v>
      </c>
      <c r="F1739" s="28" t="s">
        <v>168</v>
      </c>
      <c r="G1739" s="29" t="s">
        <v>814</v>
      </c>
      <c r="H1739" s="30" t="s">
        <v>829</v>
      </c>
      <c r="I1739" s="47">
        <v>44776.0</v>
      </c>
      <c r="J1739" s="31">
        <f t="shared" si="5"/>
        <v>2</v>
      </c>
    </row>
    <row r="1740">
      <c r="A1740" s="28">
        <v>29.0</v>
      </c>
      <c r="B1740" s="28">
        <v>43.0</v>
      </c>
      <c r="C1740" s="28">
        <v>53.4931589770918</v>
      </c>
      <c r="D1740" s="28">
        <v>9.99946143091142</v>
      </c>
      <c r="E1740" s="28" t="s">
        <v>15</v>
      </c>
      <c r="F1740" s="28" t="s">
        <v>168</v>
      </c>
      <c r="G1740" s="29" t="s">
        <v>189</v>
      </c>
      <c r="H1740" s="30" t="s">
        <v>830</v>
      </c>
      <c r="J1740" s="31">
        <f t="shared" si="5"/>
        <v>40</v>
      </c>
    </row>
    <row r="1741">
      <c r="A1741" s="28">
        <v>29.0</v>
      </c>
      <c r="B1741" s="28">
        <v>44.0</v>
      </c>
      <c r="C1741" s="28">
        <v>53.4931464499163</v>
      </c>
      <c r="D1741" s="28">
        <v>9.99970210825199</v>
      </c>
      <c r="E1741" s="28" t="s">
        <v>15</v>
      </c>
      <c r="F1741" s="28" t="s">
        <v>168</v>
      </c>
      <c r="G1741" s="29" t="s">
        <v>134</v>
      </c>
      <c r="H1741" s="30" t="s">
        <v>831</v>
      </c>
      <c r="J1741" s="31">
        <f t="shared" si="5"/>
        <v>5</v>
      </c>
    </row>
    <row r="1742">
      <c r="A1742" s="28">
        <v>29.0</v>
      </c>
      <c r="B1742" s="28">
        <v>45.0</v>
      </c>
      <c r="C1742" s="28">
        <v>53.4931339227409</v>
      </c>
      <c r="D1742" s="28">
        <v>9.99994278552139</v>
      </c>
      <c r="E1742" s="28" t="s">
        <v>15</v>
      </c>
      <c r="F1742" s="28" t="s">
        <v>168</v>
      </c>
      <c r="G1742" s="29" t="s">
        <v>120</v>
      </c>
      <c r="H1742" s="30" t="s">
        <v>832</v>
      </c>
      <c r="J1742" s="31">
        <f t="shared" si="5"/>
        <v>4</v>
      </c>
    </row>
    <row r="1743">
      <c r="A1743" s="28">
        <v>29.0</v>
      </c>
      <c r="B1743" s="28">
        <v>46.0</v>
      </c>
      <c r="C1743" s="28">
        <v>53.4931213955654</v>
      </c>
      <c r="D1743" s="28">
        <v>10.0001834627197</v>
      </c>
      <c r="E1743" s="28" t="s">
        <v>15</v>
      </c>
      <c r="F1743" s="28" t="s">
        <v>168</v>
      </c>
      <c r="G1743" s="29" t="s">
        <v>189</v>
      </c>
      <c r="H1743" s="30" t="s">
        <v>833</v>
      </c>
      <c r="J1743" s="31">
        <f t="shared" si="5"/>
        <v>40</v>
      </c>
    </row>
    <row r="1744">
      <c r="A1744" s="28">
        <v>29.0</v>
      </c>
      <c r="B1744" s="28">
        <v>47.0</v>
      </c>
      <c r="C1744" s="28">
        <v>53.49310886839</v>
      </c>
      <c r="D1744" s="28">
        <v>10.000424139847</v>
      </c>
      <c r="E1744" s="28" t="s">
        <v>15</v>
      </c>
      <c r="F1744" s="28" t="s">
        <v>168</v>
      </c>
      <c r="G1744" s="29" t="s">
        <v>134</v>
      </c>
      <c r="H1744" s="30" t="s">
        <v>834</v>
      </c>
      <c r="J1744" s="31">
        <f t="shared" si="5"/>
        <v>5</v>
      </c>
    </row>
    <row r="1745">
      <c r="A1745" s="28">
        <v>29.0</v>
      </c>
      <c r="B1745" s="28">
        <v>48.0</v>
      </c>
      <c r="C1745" s="28">
        <v>53.4930963412145</v>
      </c>
      <c r="D1745" s="28">
        <v>10.0006648169032</v>
      </c>
      <c r="E1745" s="28" t="s">
        <v>15</v>
      </c>
      <c r="F1745" s="28" t="s">
        <v>168</v>
      </c>
      <c r="G1745" s="29" t="s">
        <v>125</v>
      </c>
      <c r="H1745" s="30" t="s">
        <v>835</v>
      </c>
      <c r="J1745" s="31">
        <f t="shared" si="5"/>
        <v>5</v>
      </c>
    </row>
    <row r="1746">
      <c r="A1746" s="28">
        <v>29.0</v>
      </c>
      <c r="B1746" s="28">
        <v>49.0</v>
      </c>
      <c r="C1746" s="28">
        <v>53.4930838140391</v>
      </c>
      <c r="D1746" s="28">
        <v>10.0009054938883</v>
      </c>
      <c r="E1746" s="28" t="s">
        <v>15</v>
      </c>
      <c r="F1746" s="28" t="s">
        <v>168</v>
      </c>
      <c r="G1746" s="29" t="s">
        <v>43</v>
      </c>
      <c r="H1746" s="30" t="s">
        <v>836</v>
      </c>
      <c r="J1746" s="31">
        <f t="shared" si="5"/>
        <v>5</v>
      </c>
    </row>
    <row r="1747">
      <c r="A1747" s="28">
        <v>29.0</v>
      </c>
      <c r="B1747" s="28">
        <v>50.0</v>
      </c>
      <c r="C1747" s="28">
        <v>53.4930712868636</v>
      </c>
      <c r="D1747" s="28">
        <v>10.0011461708023</v>
      </c>
      <c r="E1747" s="28" t="s">
        <v>15</v>
      </c>
      <c r="F1747" s="28" t="s">
        <v>168</v>
      </c>
      <c r="G1747" s="29" t="s">
        <v>123</v>
      </c>
      <c r="H1747" s="30" t="s">
        <v>837</v>
      </c>
      <c r="J1747" s="31">
        <f t="shared" si="5"/>
        <v>5</v>
      </c>
    </row>
    <row r="1748">
      <c r="A1748" s="28">
        <v>29.0</v>
      </c>
      <c r="B1748" s="28">
        <v>51.0</v>
      </c>
      <c r="C1748" s="28">
        <v>53.4930587596882</v>
      </c>
      <c r="D1748" s="28">
        <v>10.0013868476453</v>
      </c>
      <c r="E1748" s="28" t="s">
        <v>15</v>
      </c>
      <c r="F1748" s="28" t="s">
        <v>168</v>
      </c>
      <c r="G1748" s="29" t="s">
        <v>111</v>
      </c>
      <c r="H1748" s="30" t="s">
        <v>838</v>
      </c>
      <c r="J1748" s="31">
        <f t="shared" si="5"/>
        <v>5</v>
      </c>
    </row>
    <row r="1749">
      <c r="A1749" s="28">
        <v>29.0</v>
      </c>
      <c r="B1749" s="28">
        <v>52.0</v>
      </c>
      <c r="C1749" s="28">
        <v>53.4930462325127</v>
      </c>
      <c r="D1749" s="28">
        <v>10.0016275244171</v>
      </c>
      <c r="E1749" s="28" t="s">
        <v>15</v>
      </c>
      <c r="F1749" s="28" t="s">
        <v>168</v>
      </c>
      <c r="G1749" s="29" t="s">
        <v>827</v>
      </c>
      <c r="H1749" s="30" t="s">
        <v>839</v>
      </c>
      <c r="J1749" s="31">
        <f t="shared" si="5"/>
        <v>2</v>
      </c>
    </row>
    <row r="1750">
      <c r="A1750" s="28">
        <v>29.0</v>
      </c>
      <c r="B1750" s="28">
        <v>53.0</v>
      </c>
      <c r="C1750" s="28">
        <v>53.4930337053373</v>
      </c>
      <c r="D1750" s="28">
        <v>10.0018682011178</v>
      </c>
      <c r="E1750" s="28" t="s">
        <v>15</v>
      </c>
      <c r="F1750" s="28" t="s">
        <v>168</v>
      </c>
      <c r="G1750" s="29" t="s">
        <v>134</v>
      </c>
      <c r="H1750" s="30" t="s">
        <v>840</v>
      </c>
      <c r="J1750" s="31">
        <f t="shared" si="5"/>
        <v>5</v>
      </c>
    </row>
    <row r="1751">
      <c r="A1751" s="28">
        <v>29.0</v>
      </c>
      <c r="B1751" s="28">
        <v>54.0</v>
      </c>
      <c r="C1751" s="28">
        <v>53.4930211781618</v>
      </c>
      <c r="D1751" s="28">
        <v>10.0021088777474</v>
      </c>
      <c r="E1751" s="28" t="s">
        <v>15</v>
      </c>
      <c r="F1751" s="28" t="s">
        <v>168</v>
      </c>
      <c r="G1751" s="29" t="s">
        <v>125</v>
      </c>
      <c r="H1751" s="30" t="s">
        <v>841</v>
      </c>
      <c r="J1751" s="31">
        <f t="shared" si="5"/>
        <v>5</v>
      </c>
    </row>
    <row r="1752">
      <c r="A1752" s="28">
        <v>29.0</v>
      </c>
      <c r="B1752" s="28">
        <v>55.0</v>
      </c>
      <c r="C1752" s="28">
        <v>53.4930086509864</v>
      </c>
      <c r="D1752" s="28">
        <v>10.0023495543059</v>
      </c>
      <c r="E1752" s="28" t="s">
        <v>15</v>
      </c>
      <c r="F1752" s="28" t="s">
        <v>168</v>
      </c>
      <c r="G1752" s="29" t="s">
        <v>43</v>
      </c>
      <c r="H1752" s="30" t="s">
        <v>842</v>
      </c>
      <c r="J1752" s="31">
        <f t="shared" si="5"/>
        <v>5</v>
      </c>
    </row>
    <row r="1753">
      <c r="A1753" s="28">
        <v>29.0</v>
      </c>
      <c r="B1753" s="28">
        <v>56.0</v>
      </c>
      <c r="C1753" s="28">
        <v>53.4929961238109</v>
      </c>
      <c r="D1753" s="28">
        <v>10.0025902307934</v>
      </c>
      <c r="E1753" s="28" t="s">
        <v>15</v>
      </c>
      <c r="F1753" s="28" t="s">
        <v>168</v>
      </c>
      <c r="G1753" s="29" t="s">
        <v>123</v>
      </c>
      <c r="H1753" s="30" t="s">
        <v>843</v>
      </c>
      <c r="J1753" s="31">
        <f t="shared" si="5"/>
        <v>5</v>
      </c>
    </row>
    <row r="1754">
      <c r="A1754" s="28">
        <v>29.0</v>
      </c>
      <c r="B1754" s="28">
        <v>57.0</v>
      </c>
      <c r="C1754" s="28">
        <v>53.4929835966355</v>
      </c>
      <c r="D1754" s="28">
        <v>10.0028309072097</v>
      </c>
      <c r="E1754" s="28" t="s">
        <v>15</v>
      </c>
      <c r="F1754" s="28" t="s">
        <v>168</v>
      </c>
      <c r="G1754" s="29" t="s">
        <v>111</v>
      </c>
      <c r="H1754" s="30" t="s">
        <v>844</v>
      </c>
      <c r="J1754" s="31">
        <f t="shared" si="5"/>
        <v>5</v>
      </c>
    </row>
    <row r="1755">
      <c r="A1755" s="28">
        <v>29.0</v>
      </c>
      <c r="B1755" s="28">
        <v>58.0</v>
      </c>
      <c r="C1755" s="28">
        <v>53.49297106946</v>
      </c>
      <c r="D1755" s="28">
        <v>10.0030715835549</v>
      </c>
      <c r="E1755" s="28" t="s">
        <v>15</v>
      </c>
      <c r="F1755" s="28" t="s">
        <v>168</v>
      </c>
      <c r="G1755" s="29" t="s">
        <v>120</v>
      </c>
      <c r="H1755" s="30" t="s">
        <v>845</v>
      </c>
      <c r="J1755" s="31">
        <f t="shared" si="5"/>
        <v>4</v>
      </c>
    </row>
    <row r="1756">
      <c r="A1756" s="28">
        <v>29.0</v>
      </c>
      <c r="B1756" s="28">
        <v>59.0</v>
      </c>
      <c r="C1756" s="28">
        <v>53.4929585422846</v>
      </c>
      <c r="D1756" s="28">
        <v>10.003312259829</v>
      </c>
      <c r="E1756" s="28" t="s">
        <v>15</v>
      </c>
      <c r="F1756" s="28" t="s">
        <v>168</v>
      </c>
      <c r="G1756" s="37" t="s">
        <v>130</v>
      </c>
      <c r="H1756" s="35" t="s">
        <v>846</v>
      </c>
      <c r="J1756" s="31">
        <f t="shared" si="5"/>
        <v>4</v>
      </c>
    </row>
    <row r="1757">
      <c r="A1757" s="28">
        <v>29.0</v>
      </c>
      <c r="B1757" s="28">
        <v>60.0</v>
      </c>
      <c r="C1757" s="28">
        <v>53.4929460151091</v>
      </c>
      <c r="D1757" s="28">
        <v>10.003552936032</v>
      </c>
      <c r="E1757" s="28" t="s">
        <v>25</v>
      </c>
      <c r="F1757" s="28" t="s">
        <v>14</v>
      </c>
      <c r="G1757" s="29" t="s">
        <v>94</v>
      </c>
      <c r="H1757" s="33" t="s">
        <v>847</v>
      </c>
      <c r="J1757" s="31">
        <f t="shared" si="5"/>
        <v>42</v>
      </c>
    </row>
    <row r="1758">
      <c r="A1758" s="28">
        <v>30.0</v>
      </c>
      <c r="B1758" s="28">
        <v>1.0</v>
      </c>
      <c r="C1758" s="28">
        <v>53.4935419349512</v>
      </c>
      <c r="D1758" s="28">
        <v>9.98933186167141</v>
      </c>
      <c r="E1758" s="28" t="s">
        <v>25</v>
      </c>
      <c r="F1758" s="28" t="s">
        <v>14</v>
      </c>
      <c r="G1758" s="29" t="s">
        <v>30</v>
      </c>
      <c r="H1758" s="30" t="str">
        <f>HYPERLINK("https://www.munzee.com/m/SachensucherHB/1498/", "SachensucherHB/1498")</f>
        <v>SachensucherHB/1498</v>
      </c>
      <c r="J1758" s="31">
        <f t="shared" si="5"/>
        <v>62</v>
      </c>
    </row>
    <row r="1759">
      <c r="A1759" s="28">
        <v>30.0</v>
      </c>
      <c r="B1759" s="28">
        <v>2.0</v>
      </c>
      <c r="C1759" s="28">
        <v>53.4935294077757</v>
      </c>
      <c r="D1759" s="28">
        <v>9.98957254118545</v>
      </c>
      <c r="E1759" s="28" t="s">
        <v>15</v>
      </c>
      <c r="F1759" s="28" t="s">
        <v>168</v>
      </c>
      <c r="G1759" s="29" t="s">
        <v>214</v>
      </c>
      <c r="H1759" s="30" t="s">
        <v>848</v>
      </c>
      <c r="J1759" s="31">
        <f t="shared" si="5"/>
        <v>25</v>
      </c>
    </row>
    <row r="1760">
      <c r="A1760" s="28">
        <v>30.0</v>
      </c>
      <c r="B1760" s="28">
        <v>3.0</v>
      </c>
      <c r="C1760" s="28">
        <v>53.4935168806003</v>
      </c>
      <c r="D1760" s="28">
        <v>9.98981322062832</v>
      </c>
      <c r="E1760" s="28" t="s">
        <v>15</v>
      </c>
      <c r="F1760" s="28" t="s">
        <v>168</v>
      </c>
      <c r="G1760" s="29" t="s">
        <v>141</v>
      </c>
      <c r="H1760" s="30" t="s">
        <v>849</v>
      </c>
      <c r="J1760" s="31">
        <f t="shared" si="5"/>
        <v>51</v>
      </c>
    </row>
    <row r="1761">
      <c r="A1761" s="28">
        <v>30.0</v>
      </c>
      <c r="B1761" s="28">
        <v>4.0</v>
      </c>
      <c r="C1761" s="28">
        <v>53.4935043534248</v>
      </c>
      <c r="D1761" s="28">
        <v>9.99005390000013</v>
      </c>
      <c r="E1761" s="28" t="s">
        <v>15</v>
      </c>
      <c r="F1761" s="28" t="s">
        <v>168</v>
      </c>
      <c r="G1761" s="29" t="s">
        <v>111</v>
      </c>
      <c r="H1761" s="30" t="s">
        <v>850</v>
      </c>
      <c r="J1761" s="31">
        <f t="shared" si="5"/>
        <v>5</v>
      </c>
    </row>
    <row r="1762">
      <c r="A1762" s="28">
        <v>30.0</v>
      </c>
      <c r="B1762" s="28">
        <v>5.0</v>
      </c>
      <c r="C1762" s="28">
        <v>53.4934918262494</v>
      </c>
      <c r="D1762" s="28">
        <v>9.99029457930089</v>
      </c>
      <c r="E1762" s="28" t="s">
        <v>15</v>
      </c>
      <c r="F1762" s="28" t="s">
        <v>168</v>
      </c>
      <c r="G1762" s="29" t="s">
        <v>214</v>
      </c>
      <c r="H1762" s="30" t="s">
        <v>851</v>
      </c>
      <c r="J1762" s="31">
        <f t="shared" si="5"/>
        <v>25</v>
      </c>
    </row>
    <row r="1763">
      <c r="A1763" s="28">
        <v>30.0</v>
      </c>
      <c r="B1763" s="28">
        <v>6.0</v>
      </c>
      <c r="C1763" s="28">
        <v>53.4934792990739</v>
      </c>
      <c r="D1763" s="28">
        <v>9.99053525853059</v>
      </c>
      <c r="E1763" s="28" t="s">
        <v>15</v>
      </c>
      <c r="F1763" s="28" t="s">
        <v>168</v>
      </c>
      <c r="G1763" s="29" t="s">
        <v>120</v>
      </c>
      <c r="H1763" s="30" t="s">
        <v>852</v>
      </c>
      <c r="J1763" s="31">
        <f t="shared" si="5"/>
        <v>4</v>
      </c>
    </row>
    <row r="1764">
      <c r="A1764" s="28">
        <v>30.0</v>
      </c>
      <c r="B1764" s="28">
        <v>7.0</v>
      </c>
      <c r="C1764" s="28">
        <v>53.4934667718985</v>
      </c>
      <c r="D1764" s="28">
        <v>9.99077593768913</v>
      </c>
      <c r="E1764" s="28" t="s">
        <v>15</v>
      </c>
      <c r="F1764" s="28" t="s">
        <v>168</v>
      </c>
      <c r="G1764" s="29" t="s">
        <v>123</v>
      </c>
      <c r="H1764" s="30" t="s">
        <v>853</v>
      </c>
      <c r="J1764" s="31">
        <f t="shared" si="5"/>
        <v>5</v>
      </c>
    </row>
    <row r="1765">
      <c r="A1765" s="28">
        <v>30.0</v>
      </c>
      <c r="B1765" s="28">
        <v>8.0</v>
      </c>
      <c r="C1765" s="28">
        <v>53.493454244723</v>
      </c>
      <c r="D1765" s="28">
        <v>9.9910166167765</v>
      </c>
      <c r="E1765" s="28" t="s">
        <v>15</v>
      </c>
      <c r="F1765" s="28" t="s">
        <v>168</v>
      </c>
      <c r="G1765" s="29" t="s">
        <v>214</v>
      </c>
      <c r="H1765" s="30" t="s">
        <v>854</v>
      </c>
      <c r="J1765" s="31">
        <f t="shared" si="5"/>
        <v>25</v>
      </c>
    </row>
    <row r="1766">
      <c r="A1766" s="28">
        <v>30.0</v>
      </c>
      <c r="B1766" s="28">
        <v>9.0</v>
      </c>
      <c r="C1766" s="28">
        <v>53.4934417175476</v>
      </c>
      <c r="D1766" s="28">
        <v>9.99125729579282</v>
      </c>
      <c r="E1766" s="28" t="s">
        <v>15</v>
      </c>
      <c r="F1766" s="28" t="s">
        <v>168</v>
      </c>
      <c r="G1766" s="29" t="s">
        <v>43</v>
      </c>
      <c r="H1766" s="30" t="s">
        <v>855</v>
      </c>
      <c r="J1766" s="31">
        <f t="shared" si="5"/>
        <v>5</v>
      </c>
    </row>
    <row r="1767">
      <c r="A1767" s="28">
        <v>30.0</v>
      </c>
      <c r="B1767" s="28">
        <v>10.0</v>
      </c>
      <c r="C1767" s="28">
        <v>53.4934291903721</v>
      </c>
      <c r="D1767" s="28">
        <v>9.99149797473808</v>
      </c>
      <c r="E1767" s="28" t="s">
        <v>15</v>
      </c>
      <c r="F1767" s="28" t="s">
        <v>168</v>
      </c>
      <c r="G1767" s="29" t="s">
        <v>125</v>
      </c>
      <c r="H1767" s="30" t="s">
        <v>856</v>
      </c>
      <c r="J1767" s="31">
        <f t="shared" si="5"/>
        <v>5</v>
      </c>
    </row>
    <row r="1768">
      <c r="A1768" s="28">
        <v>30.0</v>
      </c>
      <c r="B1768" s="28">
        <v>11.0</v>
      </c>
      <c r="C1768" s="28">
        <v>53.4934166631967</v>
      </c>
      <c r="D1768" s="28">
        <v>9.99173865361217</v>
      </c>
      <c r="E1768" s="28" t="s">
        <v>15</v>
      </c>
      <c r="F1768" s="28" t="s">
        <v>168</v>
      </c>
      <c r="G1768" s="29" t="s">
        <v>214</v>
      </c>
      <c r="H1768" s="30" t="s">
        <v>857</v>
      </c>
      <c r="J1768" s="31">
        <f t="shared" si="5"/>
        <v>25</v>
      </c>
    </row>
    <row r="1769">
      <c r="A1769" s="28">
        <v>30.0</v>
      </c>
      <c r="B1769" s="28">
        <v>12.0</v>
      </c>
      <c r="C1769" s="28">
        <v>53.4934041360212</v>
      </c>
      <c r="D1769" s="28">
        <v>9.99197933241521</v>
      </c>
      <c r="E1769" s="28" t="s">
        <v>15</v>
      </c>
      <c r="F1769" s="28" t="s">
        <v>168</v>
      </c>
      <c r="G1769" s="29" t="s">
        <v>30</v>
      </c>
      <c r="H1769" s="33" t="s">
        <v>858</v>
      </c>
      <c r="J1769" s="31">
        <f t="shared" si="5"/>
        <v>62</v>
      </c>
    </row>
    <row r="1770">
      <c r="A1770" s="28">
        <v>30.0</v>
      </c>
      <c r="B1770" s="28">
        <v>13.0</v>
      </c>
      <c r="C1770" s="28">
        <v>53.4933916088458</v>
      </c>
      <c r="D1770" s="28">
        <v>9.99222001114719</v>
      </c>
      <c r="E1770" s="28" t="s">
        <v>15</v>
      </c>
      <c r="F1770" s="28" t="s">
        <v>168</v>
      </c>
      <c r="G1770" s="29" t="s">
        <v>859</v>
      </c>
      <c r="H1770" s="36" t="s">
        <v>860</v>
      </c>
      <c r="J1770" s="31">
        <f t="shared" si="5"/>
        <v>1</v>
      </c>
    </row>
    <row r="1771">
      <c r="A1771" s="28">
        <v>30.0</v>
      </c>
      <c r="B1771" s="28">
        <v>14.0</v>
      </c>
      <c r="C1771" s="28">
        <v>53.4933790816703</v>
      </c>
      <c r="D1771" s="28">
        <v>9.99246068980801</v>
      </c>
      <c r="E1771" s="28" t="s">
        <v>15</v>
      </c>
      <c r="F1771" s="28" t="s">
        <v>168</v>
      </c>
      <c r="J1771" s="31">
        <f>COUNTIF($G$18:$G$3617,G1936)</f>
        <v>1</v>
      </c>
    </row>
    <row r="1772">
      <c r="A1772" s="28">
        <v>30.0</v>
      </c>
      <c r="B1772" s="28">
        <v>15.0</v>
      </c>
      <c r="C1772" s="28">
        <v>53.4933665544948</v>
      </c>
      <c r="D1772" s="28">
        <v>9.99270136839777</v>
      </c>
      <c r="E1772" s="28" t="s">
        <v>15</v>
      </c>
      <c r="F1772" s="28" t="s">
        <v>168</v>
      </c>
      <c r="G1772" s="29" t="s">
        <v>30</v>
      </c>
      <c r="H1772" s="30" t="s">
        <v>861</v>
      </c>
      <c r="J1772" s="31">
        <f t="shared" ref="J1772:J1922" si="6">COUNTIF($G$18:$G$3617,G1772)</f>
        <v>62</v>
      </c>
    </row>
    <row r="1773">
      <c r="A1773" s="28">
        <v>30.0</v>
      </c>
      <c r="B1773" s="28">
        <v>16.0</v>
      </c>
      <c r="C1773" s="28">
        <v>53.4933540273194</v>
      </c>
      <c r="D1773" s="28">
        <v>9.99294204691636</v>
      </c>
      <c r="E1773" s="28" t="s">
        <v>15</v>
      </c>
      <c r="F1773" s="28" t="s">
        <v>168</v>
      </c>
      <c r="G1773" s="38"/>
      <c r="H1773" s="38"/>
      <c r="J1773" s="31">
        <f t="shared" si="6"/>
        <v>0</v>
      </c>
    </row>
    <row r="1774">
      <c r="A1774" s="28">
        <v>30.0</v>
      </c>
      <c r="B1774" s="28">
        <v>17.0</v>
      </c>
      <c r="C1774" s="28">
        <v>53.493341500144</v>
      </c>
      <c r="D1774" s="28">
        <v>9.9931827253639</v>
      </c>
      <c r="E1774" s="28" t="s">
        <v>15</v>
      </c>
      <c r="F1774" s="28" t="s">
        <v>168</v>
      </c>
      <c r="G1774" s="38"/>
      <c r="H1774" s="38"/>
      <c r="J1774" s="31">
        <f t="shared" si="6"/>
        <v>0</v>
      </c>
    </row>
    <row r="1775">
      <c r="A1775" s="28">
        <v>30.0</v>
      </c>
      <c r="B1775" s="28">
        <v>18.0</v>
      </c>
      <c r="C1775" s="28">
        <v>53.4933289729685</v>
      </c>
      <c r="D1775" s="28">
        <v>9.99342340374039</v>
      </c>
      <c r="E1775" s="28" t="s">
        <v>15</v>
      </c>
      <c r="F1775" s="28" t="s">
        <v>168</v>
      </c>
      <c r="G1775" s="29" t="s">
        <v>30</v>
      </c>
      <c r="H1775" s="30" t="s">
        <v>862</v>
      </c>
      <c r="J1775" s="31">
        <f t="shared" si="6"/>
        <v>62</v>
      </c>
    </row>
    <row r="1776">
      <c r="A1776" s="28">
        <v>30.0</v>
      </c>
      <c r="B1776" s="28">
        <v>19.0</v>
      </c>
      <c r="C1776" s="28">
        <v>53.4933164457931</v>
      </c>
      <c r="D1776" s="28">
        <v>9.99366408204582</v>
      </c>
      <c r="E1776" s="28" t="s">
        <v>15</v>
      </c>
      <c r="F1776" s="28" t="s">
        <v>168</v>
      </c>
      <c r="G1776" s="38"/>
      <c r="H1776" s="38"/>
      <c r="J1776" s="31">
        <f t="shared" si="6"/>
        <v>0</v>
      </c>
    </row>
    <row r="1777">
      <c r="A1777" s="28">
        <v>30.0</v>
      </c>
      <c r="B1777" s="28">
        <v>20.0</v>
      </c>
      <c r="C1777" s="28">
        <v>53.4933039186176</v>
      </c>
      <c r="D1777" s="28">
        <v>9.99390476028008</v>
      </c>
      <c r="E1777" s="28" t="s">
        <v>15</v>
      </c>
      <c r="F1777" s="28" t="s">
        <v>168</v>
      </c>
      <c r="G1777" s="29" t="s">
        <v>728</v>
      </c>
      <c r="H1777" s="48" t="s">
        <v>863</v>
      </c>
      <c r="J1777" s="31">
        <f t="shared" si="6"/>
        <v>12</v>
      </c>
    </row>
    <row r="1778">
      <c r="A1778" s="28">
        <v>30.0</v>
      </c>
      <c r="B1778" s="28">
        <v>21.0</v>
      </c>
      <c r="C1778" s="28">
        <v>53.4932913914421</v>
      </c>
      <c r="D1778" s="28">
        <v>9.99414543844329</v>
      </c>
      <c r="E1778" s="28" t="s">
        <v>15</v>
      </c>
      <c r="F1778" s="28" t="s">
        <v>168</v>
      </c>
      <c r="G1778" s="29" t="s">
        <v>724</v>
      </c>
      <c r="H1778" s="30" t="s">
        <v>864</v>
      </c>
      <c r="J1778" s="31">
        <f t="shared" si="6"/>
        <v>12</v>
      </c>
    </row>
    <row r="1779">
      <c r="A1779" s="28">
        <v>30.0</v>
      </c>
      <c r="B1779" s="28">
        <v>22.0</v>
      </c>
      <c r="C1779" s="28">
        <v>53.4932788642667</v>
      </c>
      <c r="D1779" s="28">
        <v>9.99438611653533</v>
      </c>
      <c r="E1779" s="28" t="s">
        <v>25</v>
      </c>
      <c r="F1779" s="28" t="s">
        <v>14</v>
      </c>
      <c r="G1779" s="38"/>
      <c r="H1779" s="38"/>
      <c r="J1779" s="31">
        <f t="shared" si="6"/>
        <v>0</v>
      </c>
    </row>
    <row r="1780">
      <c r="A1780" s="28">
        <v>30.0</v>
      </c>
      <c r="B1780" s="28">
        <v>23.0</v>
      </c>
      <c r="C1780" s="28">
        <v>53.4932663370913</v>
      </c>
      <c r="D1780" s="28">
        <v>9.99462679455632</v>
      </c>
      <c r="E1780" s="28" t="s">
        <v>25</v>
      </c>
      <c r="F1780" s="28" t="s">
        <v>14</v>
      </c>
      <c r="G1780" s="38"/>
      <c r="H1780" s="38"/>
      <c r="J1780" s="31">
        <f t="shared" si="6"/>
        <v>0</v>
      </c>
    </row>
    <row r="1781">
      <c r="A1781" s="28">
        <v>30.0</v>
      </c>
      <c r="B1781" s="28">
        <v>24.0</v>
      </c>
      <c r="C1781" s="28">
        <v>53.4932538099158</v>
      </c>
      <c r="D1781" s="28">
        <v>9.99486747250625</v>
      </c>
      <c r="E1781" s="28" t="s">
        <v>25</v>
      </c>
      <c r="F1781" s="28" t="s">
        <v>14</v>
      </c>
      <c r="G1781" s="38"/>
      <c r="H1781" s="38"/>
      <c r="J1781" s="31">
        <f t="shared" si="6"/>
        <v>0</v>
      </c>
    </row>
    <row r="1782">
      <c r="A1782" s="28">
        <v>30.0</v>
      </c>
      <c r="B1782" s="28">
        <v>25.0</v>
      </c>
      <c r="C1782" s="28">
        <v>53.4932412827403</v>
      </c>
      <c r="D1782" s="28">
        <v>9.99510815038502</v>
      </c>
      <c r="E1782" s="28" t="s">
        <v>25</v>
      </c>
      <c r="F1782" s="28" t="s">
        <v>14</v>
      </c>
      <c r="G1782" s="38"/>
      <c r="H1782" s="38"/>
      <c r="J1782" s="31">
        <f t="shared" si="6"/>
        <v>0</v>
      </c>
    </row>
    <row r="1783">
      <c r="A1783" s="28">
        <v>30.0</v>
      </c>
      <c r="B1783" s="28">
        <v>26.0</v>
      </c>
      <c r="C1783" s="28">
        <v>53.4932287555649</v>
      </c>
      <c r="D1783" s="28">
        <v>9.99534882819273</v>
      </c>
      <c r="E1783" s="28" t="s">
        <v>25</v>
      </c>
      <c r="F1783" s="28" t="s">
        <v>14</v>
      </c>
      <c r="G1783" s="38"/>
      <c r="H1783" s="38"/>
      <c r="J1783" s="31">
        <f t="shared" si="6"/>
        <v>0</v>
      </c>
    </row>
    <row r="1784">
      <c r="A1784" s="28">
        <v>30.0</v>
      </c>
      <c r="B1784" s="28">
        <v>27.0</v>
      </c>
      <c r="C1784" s="28">
        <v>53.4932162283894</v>
      </c>
      <c r="D1784" s="28">
        <v>9.99558950592927</v>
      </c>
      <c r="E1784" s="28" t="s">
        <v>25</v>
      </c>
      <c r="F1784" s="28" t="s">
        <v>14</v>
      </c>
      <c r="G1784" s="38"/>
      <c r="H1784" s="38"/>
      <c r="J1784" s="31">
        <f t="shared" si="6"/>
        <v>0</v>
      </c>
    </row>
    <row r="1785">
      <c r="A1785" s="28">
        <v>30.0</v>
      </c>
      <c r="B1785" s="28">
        <v>28.0</v>
      </c>
      <c r="C1785" s="28">
        <v>53.493203701214</v>
      </c>
      <c r="D1785" s="28">
        <v>9.99583018359476</v>
      </c>
      <c r="E1785" s="28" t="s">
        <v>25</v>
      </c>
      <c r="F1785" s="28" t="s">
        <v>14</v>
      </c>
      <c r="G1785" s="38"/>
      <c r="H1785" s="38"/>
      <c r="J1785" s="31">
        <f t="shared" si="6"/>
        <v>0</v>
      </c>
    </row>
    <row r="1786">
      <c r="A1786" s="28">
        <v>30.0</v>
      </c>
      <c r="B1786" s="28">
        <v>29.0</v>
      </c>
      <c r="C1786" s="28">
        <v>53.4931911740385</v>
      </c>
      <c r="D1786" s="28">
        <v>9.99607086118919</v>
      </c>
      <c r="E1786" s="28" t="s">
        <v>25</v>
      </c>
      <c r="F1786" s="28" t="s">
        <v>14</v>
      </c>
      <c r="G1786" s="38"/>
      <c r="H1786" s="38"/>
      <c r="J1786" s="31">
        <f t="shared" si="6"/>
        <v>0</v>
      </c>
    </row>
    <row r="1787">
      <c r="A1787" s="28">
        <v>30.0</v>
      </c>
      <c r="B1787" s="28">
        <v>30.0</v>
      </c>
      <c r="C1787" s="28">
        <v>53.4931786468631</v>
      </c>
      <c r="D1787" s="28">
        <v>9.99631153871246</v>
      </c>
      <c r="E1787" s="28" t="s">
        <v>25</v>
      </c>
      <c r="F1787" s="28" t="s">
        <v>14</v>
      </c>
      <c r="G1787" s="38"/>
      <c r="H1787" s="38"/>
      <c r="J1787" s="31">
        <f t="shared" si="6"/>
        <v>0</v>
      </c>
    </row>
    <row r="1788">
      <c r="A1788" s="28">
        <v>30.0</v>
      </c>
      <c r="B1788" s="28">
        <v>31.0</v>
      </c>
      <c r="C1788" s="28">
        <v>53.4931661196876</v>
      </c>
      <c r="D1788" s="28">
        <v>9.99655221616467</v>
      </c>
      <c r="E1788" s="28" t="s">
        <v>25</v>
      </c>
      <c r="F1788" s="28" t="s">
        <v>14</v>
      </c>
      <c r="G1788" s="38"/>
      <c r="H1788" s="38"/>
      <c r="J1788" s="31">
        <f t="shared" si="6"/>
        <v>0</v>
      </c>
    </row>
    <row r="1789">
      <c r="A1789" s="28">
        <v>30.0</v>
      </c>
      <c r="B1789" s="28">
        <v>32.0</v>
      </c>
      <c r="C1789" s="28">
        <v>53.4931535925122</v>
      </c>
      <c r="D1789" s="28">
        <v>9.99679289354571</v>
      </c>
      <c r="E1789" s="28" t="s">
        <v>25</v>
      </c>
      <c r="F1789" s="28" t="s">
        <v>14</v>
      </c>
      <c r="G1789" s="38"/>
      <c r="H1789" s="38"/>
      <c r="J1789" s="31">
        <f t="shared" si="6"/>
        <v>0</v>
      </c>
    </row>
    <row r="1790">
      <c r="A1790" s="28">
        <v>30.0</v>
      </c>
      <c r="B1790" s="28">
        <v>33.0</v>
      </c>
      <c r="C1790" s="28">
        <v>53.4931410653367</v>
      </c>
      <c r="D1790" s="28">
        <v>9.9970335708557</v>
      </c>
      <c r="E1790" s="28" t="s">
        <v>25</v>
      </c>
      <c r="F1790" s="28" t="s">
        <v>14</v>
      </c>
      <c r="G1790" s="38"/>
      <c r="H1790" s="38"/>
      <c r="J1790" s="31">
        <f t="shared" si="6"/>
        <v>0</v>
      </c>
    </row>
    <row r="1791">
      <c r="A1791" s="28">
        <v>30.0</v>
      </c>
      <c r="B1791" s="28">
        <v>34.0</v>
      </c>
      <c r="C1791" s="28">
        <v>53.4931285381613</v>
      </c>
      <c r="D1791" s="28">
        <v>9.99727424809464</v>
      </c>
      <c r="E1791" s="28" t="s">
        <v>25</v>
      </c>
      <c r="F1791" s="28" t="s">
        <v>14</v>
      </c>
      <c r="G1791" s="38"/>
      <c r="H1791" s="38"/>
      <c r="J1791" s="31">
        <f t="shared" si="6"/>
        <v>0</v>
      </c>
    </row>
    <row r="1792">
      <c r="A1792" s="28">
        <v>30.0</v>
      </c>
      <c r="B1792" s="28">
        <v>35.0</v>
      </c>
      <c r="C1792" s="28">
        <v>53.4931160109858</v>
      </c>
      <c r="D1792" s="28">
        <v>9.99751492526252</v>
      </c>
      <c r="E1792" s="28" t="s">
        <v>25</v>
      </c>
      <c r="F1792" s="28" t="s">
        <v>14</v>
      </c>
      <c r="G1792" s="38"/>
      <c r="H1792" s="38"/>
      <c r="J1792" s="31">
        <f t="shared" si="6"/>
        <v>0</v>
      </c>
    </row>
    <row r="1793">
      <c r="A1793" s="28">
        <v>30.0</v>
      </c>
      <c r="B1793" s="28">
        <v>36.0</v>
      </c>
      <c r="C1793" s="28">
        <v>53.4931034838104</v>
      </c>
      <c r="D1793" s="28">
        <v>9.99775560235923</v>
      </c>
      <c r="E1793" s="28" t="s">
        <v>25</v>
      </c>
      <c r="F1793" s="28" t="s">
        <v>14</v>
      </c>
      <c r="G1793" s="38"/>
      <c r="H1793" s="38"/>
      <c r="J1793" s="31">
        <f t="shared" si="6"/>
        <v>0</v>
      </c>
    </row>
    <row r="1794">
      <c r="A1794" s="28">
        <v>30.0</v>
      </c>
      <c r="B1794" s="28">
        <v>37.0</v>
      </c>
      <c r="C1794" s="28">
        <v>53.4930909566349</v>
      </c>
      <c r="D1794" s="28">
        <v>9.99799627938489</v>
      </c>
      <c r="E1794" s="28" t="s">
        <v>25</v>
      </c>
      <c r="F1794" s="28" t="s">
        <v>14</v>
      </c>
      <c r="G1794" s="38"/>
      <c r="H1794" s="38"/>
      <c r="J1794" s="31">
        <f t="shared" si="6"/>
        <v>0</v>
      </c>
    </row>
    <row r="1795">
      <c r="A1795" s="28">
        <v>30.0</v>
      </c>
      <c r="B1795" s="28">
        <v>38.0</v>
      </c>
      <c r="C1795" s="28">
        <v>53.4930784294595</v>
      </c>
      <c r="D1795" s="28">
        <v>9.99823695633938</v>
      </c>
      <c r="E1795" s="28" t="s">
        <v>25</v>
      </c>
      <c r="F1795" s="28" t="s">
        <v>14</v>
      </c>
      <c r="G1795" s="38"/>
      <c r="H1795" s="38"/>
      <c r="J1795" s="31">
        <f t="shared" si="6"/>
        <v>0</v>
      </c>
    </row>
    <row r="1796">
      <c r="A1796" s="28">
        <v>30.0</v>
      </c>
      <c r="B1796" s="28">
        <v>39.0</v>
      </c>
      <c r="C1796" s="28">
        <v>53.493065902284</v>
      </c>
      <c r="D1796" s="28">
        <v>9.99847763322282</v>
      </c>
      <c r="E1796" s="28" t="s">
        <v>25</v>
      </c>
      <c r="F1796" s="28" t="s">
        <v>14</v>
      </c>
      <c r="G1796" s="38"/>
      <c r="H1796" s="38"/>
      <c r="J1796" s="31">
        <f t="shared" si="6"/>
        <v>0</v>
      </c>
    </row>
    <row r="1797">
      <c r="A1797" s="28">
        <v>30.0</v>
      </c>
      <c r="B1797" s="28">
        <v>40.0</v>
      </c>
      <c r="C1797" s="28">
        <v>53.4930533751086</v>
      </c>
      <c r="D1797" s="28">
        <v>9.9987183100352</v>
      </c>
      <c r="E1797" s="28" t="s">
        <v>15</v>
      </c>
      <c r="F1797" s="28" t="s">
        <v>168</v>
      </c>
      <c r="G1797" s="29" t="s">
        <v>40</v>
      </c>
      <c r="H1797" s="36" t="s">
        <v>865</v>
      </c>
      <c r="J1797" s="31">
        <f t="shared" si="6"/>
        <v>88</v>
      </c>
    </row>
    <row r="1798">
      <c r="A1798" s="28">
        <v>30.0</v>
      </c>
      <c r="B1798" s="28">
        <v>41.0</v>
      </c>
      <c r="C1798" s="28">
        <v>53.4930408479331</v>
      </c>
      <c r="D1798" s="28">
        <v>9.99895898677641</v>
      </c>
      <c r="E1798" s="28" t="s">
        <v>15</v>
      </c>
      <c r="F1798" s="28" t="s">
        <v>168</v>
      </c>
      <c r="G1798" s="29" t="s">
        <v>30</v>
      </c>
      <c r="H1798" s="30" t="s">
        <v>866</v>
      </c>
      <c r="J1798" s="31">
        <f t="shared" si="6"/>
        <v>62</v>
      </c>
    </row>
    <row r="1799">
      <c r="A1799" s="28">
        <v>30.0</v>
      </c>
      <c r="B1799" s="28">
        <v>42.0</v>
      </c>
      <c r="C1799" s="28">
        <v>53.4930283207577</v>
      </c>
      <c r="D1799" s="28">
        <v>9.99919966344657</v>
      </c>
      <c r="E1799" s="28" t="s">
        <v>15</v>
      </c>
      <c r="F1799" s="28" t="s">
        <v>168</v>
      </c>
      <c r="G1799" s="29" t="s">
        <v>867</v>
      </c>
      <c r="H1799" s="30" t="s">
        <v>868</v>
      </c>
      <c r="J1799" s="31">
        <f t="shared" si="6"/>
        <v>5</v>
      </c>
    </row>
    <row r="1800">
      <c r="A1800" s="28">
        <v>30.0</v>
      </c>
      <c r="B1800" s="28">
        <v>43.0</v>
      </c>
      <c r="C1800" s="28">
        <v>53.4930157935822</v>
      </c>
      <c r="D1800" s="28">
        <v>9.99944034004556</v>
      </c>
      <c r="E1800" s="28" t="s">
        <v>15</v>
      </c>
      <c r="F1800" s="28" t="s">
        <v>168</v>
      </c>
      <c r="G1800" s="29" t="s">
        <v>40</v>
      </c>
      <c r="H1800" s="36" t="s">
        <v>869</v>
      </c>
      <c r="J1800" s="31">
        <f t="shared" si="6"/>
        <v>88</v>
      </c>
    </row>
    <row r="1801">
      <c r="A1801" s="28">
        <v>30.0</v>
      </c>
      <c r="B1801" s="28">
        <v>44.0</v>
      </c>
      <c r="C1801" s="28">
        <v>53.4930032664068</v>
      </c>
      <c r="D1801" s="28">
        <v>9.9996810165735</v>
      </c>
      <c r="E1801" s="28" t="s">
        <v>15</v>
      </c>
      <c r="F1801" s="28" t="s">
        <v>168</v>
      </c>
      <c r="G1801" s="29" t="s">
        <v>30</v>
      </c>
      <c r="H1801" s="30" t="s">
        <v>870</v>
      </c>
      <c r="J1801" s="31">
        <f t="shared" si="6"/>
        <v>62</v>
      </c>
    </row>
    <row r="1802">
      <c r="A1802" s="28">
        <v>30.0</v>
      </c>
      <c r="B1802" s="28">
        <v>45.0</v>
      </c>
      <c r="C1802" s="28">
        <v>53.4929907392313</v>
      </c>
      <c r="D1802" s="28">
        <v>9.99992169303038</v>
      </c>
      <c r="E1802" s="28" t="s">
        <v>15</v>
      </c>
      <c r="F1802" s="28" t="s">
        <v>168</v>
      </c>
      <c r="G1802" s="29" t="s">
        <v>867</v>
      </c>
      <c r="H1802" s="30" t="s">
        <v>871</v>
      </c>
      <c r="J1802" s="31">
        <f t="shared" si="6"/>
        <v>5</v>
      </c>
    </row>
    <row r="1803">
      <c r="A1803" s="28">
        <v>30.0</v>
      </c>
      <c r="B1803" s="28">
        <v>46.0</v>
      </c>
      <c r="C1803" s="28">
        <v>53.4929782120559</v>
      </c>
      <c r="D1803" s="28">
        <v>10.0001623694161</v>
      </c>
      <c r="E1803" s="28" t="s">
        <v>15</v>
      </c>
      <c r="F1803" s="28" t="s">
        <v>168</v>
      </c>
      <c r="G1803" s="29" t="s">
        <v>40</v>
      </c>
      <c r="H1803" s="34" t="s">
        <v>872</v>
      </c>
      <c r="J1803" s="31">
        <f t="shared" si="6"/>
        <v>88</v>
      </c>
    </row>
    <row r="1804">
      <c r="A1804" s="28">
        <v>30.0</v>
      </c>
      <c r="B1804" s="28">
        <v>47.0</v>
      </c>
      <c r="C1804" s="28">
        <v>53.4929656848804</v>
      </c>
      <c r="D1804" s="28">
        <v>10.0004030457307</v>
      </c>
      <c r="E1804" s="28" t="s">
        <v>15</v>
      </c>
      <c r="F1804" s="28" t="s">
        <v>168</v>
      </c>
      <c r="G1804" s="29" t="s">
        <v>30</v>
      </c>
      <c r="H1804" s="30" t="s">
        <v>873</v>
      </c>
      <c r="J1804" s="31">
        <f t="shared" si="6"/>
        <v>62</v>
      </c>
    </row>
    <row r="1805">
      <c r="A1805" s="28">
        <v>30.0</v>
      </c>
      <c r="B1805" s="28">
        <v>48.0</v>
      </c>
      <c r="C1805" s="28">
        <v>53.492953157705</v>
      </c>
      <c r="D1805" s="28">
        <v>10.0006437219743</v>
      </c>
      <c r="E1805" s="28" t="s">
        <v>15</v>
      </c>
      <c r="F1805" s="28" t="s">
        <v>168</v>
      </c>
      <c r="G1805" s="29" t="s">
        <v>867</v>
      </c>
      <c r="H1805" s="30" t="s">
        <v>874</v>
      </c>
      <c r="J1805" s="31">
        <f t="shared" si="6"/>
        <v>5</v>
      </c>
    </row>
    <row r="1806">
      <c r="A1806" s="28">
        <v>30.0</v>
      </c>
      <c r="B1806" s="28">
        <v>49.0</v>
      </c>
      <c r="C1806" s="28">
        <v>53.4929406305295</v>
      </c>
      <c r="D1806" s="28">
        <v>10.0008843981468</v>
      </c>
      <c r="E1806" s="28" t="s">
        <v>15</v>
      </c>
      <c r="F1806" s="28" t="s">
        <v>168</v>
      </c>
      <c r="G1806" s="29" t="s">
        <v>40</v>
      </c>
      <c r="H1806" s="36" t="s">
        <v>875</v>
      </c>
      <c r="J1806" s="31">
        <f t="shared" si="6"/>
        <v>88</v>
      </c>
    </row>
    <row r="1807">
      <c r="A1807" s="28">
        <v>30.0</v>
      </c>
      <c r="B1807" s="28">
        <v>50.0</v>
      </c>
      <c r="C1807" s="28">
        <v>53.492928103354</v>
      </c>
      <c r="D1807" s="28">
        <v>10.0011250742481</v>
      </c>
      <c r="E1807" s="28" t="s">
        <v>15</v>
      </c>
      <c r="F1807" s="28" t="s">
        <v>168</v>
      </c>
      <c r="G1807" s="29" t="s">
        <v>30</v>
      </c>
      <c r="H1807" s="30" t="s">
        <v>876</v>
      </c>
      <c r="J1807" s="31">
        <f t="shared" si="6"/>
        <v>62</v>
      </c>
    </row>
    <row r="1808">
      <c r="A1808" s="28">
        <v>30.0</v>
      </c>
      <c r="B1808" s="28">
        <v>51.0</v>
      </c>
      <c r="C1808" s="28">
        <v>53.4929155761786</v>
      </c>
      <c r="D1808" s="28">
        <v>10.0013657502784</v>
      </c>
      <c r="E1808" s="28" t="s">
        <v>15</v>
      </c>
      <c r="F1808" s="28" t="s">
        <v>168</v>
      </c>
      <c r="G1808" s="29" t="s">
        <v>867</v>
      </c>
      <c r="H1808" s="30" t="s">
        <v>877</v>
      </c>
      <c r="J1808" s="31">
        <f t="shared" si="6"/>
        <v>5</v>
      </c>
    </row>
    <row r="1809">
      <c r="A1809" s="28">
        <v>30.0</v>
      </c>
      <c r="B1809" s="28">
        <v>52.0</v>
      </c>
      <c r="C1809" s="28">
        <v>53.4929030490031</v>
      </c>
      <c r="D1809" s="28">
        <v>10.0016064262375</v>
      </c>
      <c r="E1809" s="28" t="s">
        <v>15</v>
      </c>
      <c r="F1809" s="28" t="s">
        <v>168</v>
      </c>
      <c r="G1809" s="29" t="s">
        <v>40</v>
      </c>
      <c r="H1809" s="36" t="s">
        <v>878</v>
      </c>
      <c r="J1809" s="31">
        <f t="shared" si="6"/>
        <v>88</v>
      </c>
    </row>
    <row r="1810">
      <c r="A1810" s="28">
        <v>30.0</v>
      </c>
      <c r="B1810" s="28">
        <v>53.0</v>
      </c>
      <c r="C1810" s="28">
        <v>53.4928905218277</v>
      </c>
      <c r="D1810" s="28">
        <v>10.0018471021256</v>
      </c>
      <c r="E1810" s="28" t="s">
        <v>15</v>
      </c>
      <c r="F1810" s="28" t="s">
        <v>168</v>
      </c>
      <c r="G1810" s="29" t="s">
        <v>30</v>
      </c>
      <c r="H1810" s="30" t="s">
        <v>879</v>
      </c>
      <c r="J1810" s="31">
        <f t="shared" si="6"/>
        <v>62</v>
      </c>
    </row>
    <row r="1811">
      <c r="A1811" s="28">
        <v>30.0</v>
      </c>
      <c r="B1811" s="28">
        <v>54.0</v>
      </c>
      <c r="C1811" s="28">
        <v>53.4928779946523</v>
      </c>
      <c r="D1811" s="28">
        <v>10.0020877779427</v>
      </c>
      <c r="E1811" s="28" t="s">
        <v>15</v>
      </c>
      <c r="F1811" s="28" t="s">
        <v>168</v>
      </c>
      <c r="G1811" s="29" t="s">
        <v>867</v>
      </c>
      <c r="H1811" s="30" t="s">
        <v>880</v>
      </c>
      <c r="J1811" s="31">
        <f t="shared" si="6"/>
        <v>5</v>
      </c>
    </row>
    <row r="1812">
      <c r="A1812" s="28">
        <v>30.0</v>
      </c>
      <c r="B1812" s="28">
        <v>55.0</v>
      </c>
      <c r="C1812" s="28">
        <v>53.4928654674768</v>
      </c>
      <c r="D1812" s="28">
        <v>10.0023284536886</v>
      </c>
      <c r="E1812" s="28" t="s">
        <v>15</v>
      </c>
      <c r="F1812" s="28" t="s">
        <v>168</v>
      </c>
      <c r="G1812" s="29" t="s">
        <v>40</v>
      </c>
      <c r="H1812" s="34" t="s">
        <v>881</v>
      </c>
      <c r="J1812" s="31">
        <f t="shared" si="6"/>
        <v>88</v>
      </c>
    </row>
    <row r="1813">
      <c r="A1813" s="28">
        <v>30.0</v>
      </c>
      <c r="B1813" s="28">
        <v>56.0</v>
      </c>
      <c r="C1813" s="28">
        <v>53.4928529403014</v>
      </c>
      <c r="D1813" s="28">
        <v>10.0025691293634</v>
      </c>
      <c r="E1813" s="28" t="s">
        <v>15</v>
      </c>
      <c r="F1813" s="28" t="s">
        <v>168</v>
      </c>
      <c r="G1813" s="38"/>
      <c r="H1813" s="38"/>
      <c r="J1813" s="31">
        <f t="shared" si="6"/>
        <v>0</v>
      </c>
    </row>
    <row r="1814">
      <c r="A1814" s="28">
        <v>30.0</v>
      </c>
      <c r="B1814" s="28">
        <v>57.0</v>
      </c>
      <c r="C1814" s="28">
        <v>53.4928404131259</v>
      </c>
      <c r="D1814" s="28">
        <v>10.0028098049672</v>
      </c>
      <c r="E1814" s="28" t="s">
        <v>15</v>
      </c>
      <c r="F1814" s="28" t="s">
        <v>168</v>
      </c>
      <c r="G1814" s="38"/>
      <c r="H1814" s="38"/>
      <c r="J1814" s="31">
        <f t="shared" si="6"/>
        <v>0</v>
      </c>
    </row>
    <row r="1815">
      <c r="A1815" s="28">
        <v>30.0</v>
      </c>
      <c r="B1815" s="28">
        <v>58.0</v>
      </c>
      <c r="C1815" s="28">
        <v>53.4928278859505</v>
      </c>
      <c r="D1815" s="28">
        <v>10.0030504804998</v>
      </c>
      <c r="E1815" s="28" t="s">
        <v>15</v>
      </c>
      <c r="F1815" s="28" t="s">
        <v>168</v>
      </c>
      <c r="G1815" s="29" t="s">
        <v>40</v>
      </c>
      <c r="H1815" s="36" t="s">
        <v>882</v>
      </c>
      <c r="J1815" s="31">
        <f t="shared" si="6"/>
        <v>88</v>
      </c>
    </row>
    <row r="1816">
      <c r="A1816" s="28">
        <v>30.0</v>
      </c>
      <c r="B1816" s="28">
        <v>59.0</v>
      </c>
      <c r="C1816" s="28">
        <v>53.492815358775</v>
      </c>
      <c r="D1816" s="28">
        <v>10.0032911559613</v>
      </c>
      <c r="E1816" s="28" t="s">
        <v>15</v>
      </c>
      <c r="F1816" s="28" t="s">
        <v>168</v>
      </c>
      <c r="G1816" s="37" t="s">
        <v>883</v>
      </c>
      <c r="H1816" s="35" t="s">
        <v>884</v>
      </c>
      <c r="J1816" s="31">
        <f t="shared" si="6"/>
        <v>2</v>
      </c>
    </row>
    <row r="1817">
      <c r="A1817" s="28">
        <v>30.0</v>
      </c>
      <c r="B1817" s="28">
        <v>60.0</v>
      </c>
      <c r="C1817" s="28">
        <v>53.4928028315995</v>
      </c>
      <c r="D1817" s="28">
        <v>10.0035318313517</v>
      </c>
      <c r="E1817" s="28" t="s">
        <v>25</v>
      </c>
      <c r="F1817" s="28" t="s">
        <v>14</v>
      </c>
      <c r="G1817" s="29" t="s">
        <v>164</v>
      </c>
      <c r="H1817" s="35" t="s">
        <v>885</v>
      </c>
      <c r="J1817" s="31">
        <f t="shared" si="6"/>
        <v>133</v>
      </c>
    </row>
    <row r="1818">
      <c r="A1818" s="28">
        <v>31.0</v>
      </c>
      <c r="B1818" s="28">
        <v>1.0</v>
      </c>
      <c r="C1818" s="28">
        <v>53.4933987514416</v>
      </c>
      <c r="D1818" s="28">
        <v>9.98931080500733</v>
      </c>
      <c r="E1818" s="28" t="s">
        <v>25</v>
      </c>
      <c r="F1818" s="28" t="s">
        <v>14</v>
      </c>
      <c r="G1818" s="29" t="s">
        <v>27</v>
      </c>
      <c r="H1818" s="30" t="str">
        <f>HYPERLINK("https://www.munzee.com/m/DarkHaribo/12285", "DarkHaribo/12285")</f>
        <v>DarkHaribo/12285</v>
      </c>
      <c r="J1818" s="31">
        <f t="shared" si="6"/>
        <v>103</v>
      </c>
    </row>
    <row r="1819">
      <c r="A1819" s="28">
        <v>31.0</v>
      </c>
      <c r="B1819" s="28">
        <v>2.0</v>
      </c>
      <c r="C1819" s="28">
        <v>53.4933862242662</v>
      </c>
      <c r="D1819" s="28">
        <v>9.98955148370873</v>
      </c>
      <c r="E1819" s="28" t="s">
        <v>15</v>
      </c>
      <c r="F1819" s="28" t="s">
        <v>168</v>
      </c>
      <c r="G1819" s="29" t="s">
        <v>722</v>
      </c>
      <c r="H1819" s="30" t="s">
        <v>886</v>
      </c>
      <c r="J1819" s="31">
        <f t="shared" si="6"/>
        <v>48</v>
      </c>
    </row>
    <row r="1820">
      <c r="A1820" s="28">
        <v>31.0</v>
      </c>
      <c r="B1820" s="28">
        <v>3.0</v>
      </c>
      <c r="C1820" s="28">
        <v>53.4933736970907</v>
      </c>
      <c r="D1820" s="28">
        <v>9.98979216233897</v>
      </c>
      <c r="E1820" s="28" t="s">
        <v>15</v>
      </c>
      <c r="F1820" s="28" t="s">
        <v>168</v>
      </c>
      <c r="G1820" s="38"/>
      <c r="H1820" s="38"/>
      <c r="J1820" s="31">
        <f t="shared" si="6"/>
        <v>0</v>
      </c>
    </row>
    <row r="1821">
      <c r="A1821" s="28">
        <v>31.0</v>
      </c>
      <c r="B1821" s="28">
        <v>4.0</v>
      </c>
      <c r="C1821" s="28">
        <v>53.4933611699153</v>
      </c>
      <c r="D1821" s="28">
        <v>9.99003284089815</v>
      </c>
      <c r="E1821" s="28" t="s">
        <v>15</v>
      </c>
      <c r="F1821" s="28" t="s">
        <v>168</v>
      </c>
      <c r="G1821" s="38"/>
      <c r="H1821" s="38"/>
      <c r="J1821" s="31">
        <f t="shared" si="6"/>
        <v>0</v>
      </c>
    </row>
    <row r="1822">
      <c r="A1822" s="28">
        <v>31.0</v>
      </c>
      <c r="B1822" s="28">
        <v>5.0</v>
      </c>
      <c r="C1822" s="28">
        <v>53.4933486427398</v>
      </c>
      <c r="D1822" s="28">
        <v>9.99027351938627</v>
      </c>
      <c r="E1822" s="28" t="s">
        <v>15</v>
      </c>
      <c r="F1822" s="28" t="s">
        <v>168</v>
      </c>
      <c r="G1822" s="29" t="s">
        <v>722</v>
      </c>
      <c r="H1822" s="30" t="s">
        <v>887</v>
      </c>
      <c r="J1822" s="31">
        <f t="shared" si="6"/>
        <v>48</v>
      </c>
    </row>
    <row r="1823">
      <c r="A1823" s="28">
        <v>31.0</v>
      </c>
      <c r="B1823" s="28">
        <v>6.0</v>
      </c>
      <c r="C1823" s="28">
        <v>53.4933361155644</v>
      </c>
      <c r="D1823" s="28">
        <v>9.99051419780335</v>
      </c>
      <c r="E1823" s="28" t="s">
        <v>15</v>
      </c>
      <c r="F1823" s="28" t="s">
        <v>168</v>
      </c>
      <c r="G1823" s="29" t="s">
        <v>30</v>
      </c>
      <c r="H1823" s="30" t="s">
        <v>888</v>
      </c>
      <c r="J1823" s="31">
        <f t="shared" si="6"/>
        <v>62</v>
      </c>
    </row>
    <row r="1824">
      <c r="A1824" s="28">
        <v>31.0</v>
      </c>
      <c r="B1824" s="28">
        <v>7.0</v>
      </c>
      <c r="C1824" s="28">
        <v>53.4933235883889</v>
      </c>
      <c r="D1824" s="28">
        <v>9.99075487614925</v>
      </c>
      <c r="E1824" s="28" t="s">
        <v>15</v>
      </c>
      <c r="F1824" s="28" t="s">
        <v>168</v>
      </c>
      <c r="G1824" s="29" t="s">
        <v>889</v>
      </c>
      <c r="H1824" s="36" t="s">
        <v>890</v>
      </c>
      <c r="J1824" s="31">
        <f t="shared" si="6"/>
        <v>1</v>
      </c>
    </row>
    <row r="1825">
      <c r="A1825" s="28">
        <v>31.0</v>
      </c>
      <c r="B1825" s="28">
        <v>8.0</v>
      </c>
      <c r="C1825" s="28">
        <v>53.4933110612135</v>
      </c>
      <c r="D1825" s="28">
        <v>9.99099555442399</v>
      </c>
      <c r="E1825" s="28" t="s">
        <v>15</v>
      </c>
      <c r="F1825" s="28" t="s">
        <v>168</v>
      </c>
      <c r="G1825" s="29" t="s">
        <v>722</v>
      </c>
      <c r="H1825" s="30" t="s">
        <v>891</v>
      </c>
      <c r="J1825" s="31">
        <f t="shared" si="6"/>
        <v>48</v>
      </c>
    </row>
    <row r="1826">
      <c r="A1826" s="28">
        <v>31.0</v>
      </c>
      <c r="B1826" s="28">
        <v>9.0</v>
      </c>
      <c r="C1826" s="28">
        <v>53.493298534038</v>
      </c>
      <c r="D1826" s="28">
        <v>9.99123623262767</v>
      </c>
      <c r="E1826" s="28" t="s">
        <v>15</v>
      </c>
      <c r="F1826" s="28" t="s">
        <v>168</v>
      </c>
      <c r="G1826" s="38"/>
      <c r="H1826" s="38"/>
      <c r="J1826" s="31">
        <f t="shared" si="6"/>
        <v>0</v>
      </c>
    </row>
    <row r="1827">
      <c r="A1827" s="28">
        <v>31.0</v>
      </c>
      <c r="B1827" s="28">
        <v>10.0</v>
      </c>
      <c r="C1827" s="28">
        <v>53.4932860068626</v>
      </c>
      <c r="D1827" s="28">
        <v>9.99147691076029</v>
      </c>
      <c r="E1827" s="28" t="s">
        <v>15</v>
      </c>
      <c r="F1827" s="28" t="s">
        <v>168</v>
      </c>
      <c r="G1827" s="38"/>
      <c r="H1827" s="38"/>
      <c r="J1827" s="31">
        <f t="shared" si="6"/>
        <v>0</v>
      </c>
    </row>
    <row r="1828">
      <c r="A1828" s="28">
        <v>31.0</v>
      </c>
      <c r="B1828" s="28">
        <v>11.0</v>
      </c>
      <c r="C1828" s="28">
        <v>53.4932734796871</v>
      </c>
      <c r="D1828" s="28">
        <v>9.99171758882175</v>
      </c>
      <c r="E1828" s="28" t="s">
        <v>15</v>
      </c>
      <c r="F1828" s="28" t="s">
        <v>168</v>
      </c>
      <c r="G1828" s="29" t="s">
        <v>722</v>
      </c>
      <c r="H1828" s="30" t="s">
        <v>892</v>
      </c>
      <c r="J1828" s="31">
        <f t="shared" si="6"/>
        <v>48</v>
      </c>
    </row>
    <row r="1829">
      <c r="A1829" s="28">
        <v>31.0</v>
      </c>
      <c r="B1829" s="28">
        <v>12.0</v>
      </c>
      <c r="C1829" s="28">
        <v>53.4932609525117</v>
      </c>
      <c r="D1829" s="28">
        <v>9.99195826681216</v>
      </c>
      <c r="E1829" s="28" t="s">
        <v>15</v>
      </c>
      <c r="F1829" s="28" t="s">
        <v>168</v>
      </c>
      <c r="G1829" s="38"/>
      <c r="H1829" s="38"/>
      <c r="J1829" s="31">
        <f t="shared" si="6"/>
        <v>0</v>
      </c>
    </row>
    <row r="1830">
      <c r="A1830" s="28">
        <v>31.0</v>
      </c>
      <c r="B1830" s="28">
        <v>13.0</v>
      </c>
      <c r="C1830" s="28">
        <v>53.4932484253362</v>
      </c>
      <c r="D1830" s="28">
        <v>9.99219894473151</v>
      </c>
      <c r="E1830" s="28" t="s">
        <v>15</v>
      </c>
      <c r="F1830" s="28" t="s">
        <v>168</v>
      </c>
      <c r="G1830" s="38"/>
      <c r="H1830" s="38"/>
      <c r="J1830" s="31">
        <f t="shared" si="6"/>
        <v>0</v>
      </c>
    </row>
    <row r="1831">
      <c r="A1831" s="28">
        <v>31.0</v>
      </c>
      <c r="B1831" s="28">
        <v>14.0</v>
      </c>
      <c r="C1831" s="28">
        <v>53.4932358981608</v>
      </c>
      <c r="D1831" s="28">
        <v>9.99243962257969</v>
      </c>
      <c r="E1831" s="28" t="s">
        <v>15</v>
      </c>
      <c r="F1831" s="28" t="s">
        <v>168</v>
      </c>
      <c r="G1831" s="29" t="s">
        <v>722</v>
      </c>
      <c r="H1831" s="30" t="s">
        <v>893</v>
      </c>
      <c r="J1831" s="31">
        <f t="shared" si="6"/>
        <v>48</v>
      </c>
    </row>
    <row r="1832">
      <c r="A1832" s="28">
        <v>31.0</v>
      </c>
      <c r="B1832" s="28">
        <v>15.0</v>
      </c>
      <c r="C1832" s="28">
        <v>53.4932233709853</v>
      </c>
      <c r="D1832" s="28">
        <v>9.99268030035682</v>
      </c>
      <c r="E1832" s="28" t="s">
        <v>15</v>
      </c>
      <c r="F1832" s="28" t="s">
        <v>168</v>
      </c>
      <c r="G1832" s="38"/>
      <c r="H1832" s="38"/>
      <c r="J1832" s="31">
        <f t="shared" si="6"/>
        <v>0</v>
      </c>
    </row>
    <row r="1833">
      <c r="A1833" s="28">
        <v>31.0</v>
      </c>
      <c r="B1833" s="28">
        <v>16.0</v>
      </c>
      <c r="C1833" s="28">
        <v>53.4932108438099</v>
      </c>
      <c r="D1833" s="28">
        <v>9.99292097806278</v>
      </c>
      <c r="E1833" s="28" t="s">
        <v>15</v>
      </c>
      <c r="F1833" s="28" t="s">
        <v>168</v>
      </c>
      <c r="G1833" s="38"/>
      <c r="H1833" s="38"/>
      <c r="J1833" s="31">
        <f t="shared" si="6"/>
        <v>0</v>
      </c>
    </row>
    <row r="1834">
      <c r="A1834" s="28">
        <v>31.0</v>
      </c>
      <c r="B1834" s="28">
        <v>17.0</v>
      </c>
      <c r="C1834" s="28">
        <v>53.4931983166344</v>
      </c>
      <c r="D1834" s="28">
        <v>9.99316165569769</v>
      </c>
      <c r="E1834" s="28" t="s">
        <v>15</v>
      </c>
      <c r="F1834" s="28" t="s">
        <v>168</v>
      </c>
      <c r="G1834" s="29" t="s">
        <v>722</v>
      </c>
      <c r="H1834" s="30" t="s">
        <v>894</v>
      </c>
      <c r="J1834" s="31">
        <f t="shared" si="6"/>
        <v>48</v>
      </c>
    </row>
    <row r="1835">
      <c r="A1835" s="28">
        <v>31.0</v>
      </c>
      <c r="B1835" s="28">
        <v>18.0</v>
      </c>
      <c r="C1835" s="28">
        <v>53.4931857894589</v>
      </c>
      <c r="D1835" s="28">
        <v>9.99340233326154</v>
      </c>
      <c r="E1835" s="28" t="s">
        <v>15</v>
      </c>
      <c r="F1835" s="28" t="s">
        <v>168</v>
      </c>
      <c r="G1835" s="38"/>
      <c r="H1835" s="38"/>
      <c r="J1835" s="31">
        <f t="shared" si="6"/>
        <v>0</v>
      </c>
    </row>
    <row r="1836">
      <c r="A1836" s="28">
        <v>31.0</v>
      </c>
      <c r="B1836" s="28">
        <v>19.0</v>
      </c>
      <c r="C1836" s="28">
        <v>53.4931732622835</v>
      </c>
      <c r="D1836" s="28">
        <v>9.99364301075434</v>
      </c>
      <c r="E1836" s="28" t="s">
        <v>15</v>
      </c>
      <c r="F1836" s="28" t="s">
        <v>168</v>
      </c>
      <c r="G1836" s="38"/>
      <c r="H1836" s="38"/>
      <c r="J1836" s="31">
        <f t="shared" si="6"/>
        <v>0</v>
      </c>
    </row>
    <row r="1837">
      <c r="A1837" s="28">
        <v>31.0</v>
      </c>
      <c r="B1837" s="28">
        <v>20.0</v>
      </c>
      <c r="C1837" s="28">
        <v>53.493160735108</v>
      </c>
      <c r="D1837" s="28">
        <v>9.99388368817597</v>
      </c>
      <c r="E1837" s="28" t="s">
        <v>25</v>
      </c>
      <c r="F1837" s="28" t="s">
        <v>14</v>
      </c>
      <c r="G1837" s="29" t="s">
        <v>722</v>
      </c>
      <c r="H1837" s="30" t="s">
        <v>895</v>
      </c>
      <c r="J1837" s="31">
        <f t="shared" si="6"/>
        <v>48</v>
      </c>
    </row>
    <row r="1838">
      <c r="A1838" s="28">
        <v>31.0</v>
      </c>
      <c r="B1838" s="28">
        <v>21.0</v>
      </c>
      <c r="C1838" s="28">
        <v>53.4931482079326</v>
      </c>
      <c r="D1838" s="28">
        <v>9.99412436552654</v>
      </c>
      <c r="E1838" s="28" t="s">
        <v>25</v>
      </c>
      <c r="F1838" s="28" t="s">
        <v>14</v>
      </c>
      <c r="G1838" s="38"/>
      <c r="H1838" s="38"/>
      <c r="J1838" s="31">
        <f t="shared" si="6"/>
        <v>0</v>
      </c>
    </row>
    <row r="1839">
      <c r="A1839" s="28">
        <v>31.0</v>
      </c>
      <c r="B1839" s="28">
        <v>22.0</v>
      </c>
      <c r="C1839" s="28">
        <v>53.4931356807571</v>
      </c>
      <c r="D1839" s="28">
        <v>9.99436504280606</v>
      </c>
      <c r="E1839" s="28" t="s">
        <v>25</v>
      </c>
      <c r="F1839" s="28" t="s">
        <v>14</v>
      </c>
      <c r="G1839" s="38"/>
      <c r="H1839" s="38"/>
      <c r="J1839" s="31">
        <f t="shared" si="6"/>
        <v>0</v>
      </c>
    </row>
    <row r="1840">
      <c r="A1840" s="28">
        <v>31.0</v>
      </c>
      <c r="B1840" s="28">
        <v>23.0</v>
      </c>
      <c r="C1840" s="28">
        <v>53.4931231535817</v>
      </c>
      <c r="D1840" s="28">
        <v>9.99460572001442</v>
      </c>
      <c r="E1840" s="28" t="s">
        <v>25</v>
      </c>
      <c r="F1840" s="28" t="s">
        <v>14</v>
      </c>
      <c r="G1840" s="29" t="s">
        <v>722</v>
      </c>
      <c r="H1840" s="30" t="s">
        <v>896</v>
      </c>
      <c r="J1840" s="31">
        <f t="shared" si="6"/>
        <v>48</v>
      </c>
    </row>
    <row r="1841">
      <c r="A1841" s="28">
        <v>31.0</v>
      </c>
      <c r="B1841" s="28">
        <v>24.0</v>
      </c>
      <c r="C1841" s="28">
        <v>53.4931106264062</v>
      </c>
      <c r="D1841" s="28">
        <v>9.9948463971516</v>
      </c>
      <c r="E1841" s="28" t="s">
        <v>25</v>
      </c>
      <c r="F1841" s="28" t="s">
        <v>14</v>
      </c>
      <c r="G1841" s="38"/>
      <c r="H1841" s="38"/>
      <c r="J1841" s="31">
        <f t="shared" si="6"/>
        <v>0</v>
      </c>
    </row>
    <row r="1842">
      <c r="A1842" s="28">
        <v>31.0</v>
      </c>
      <c r="B1842" s="28">
        <v>25.0</v>
      </c>
      <c r="C1842" s="28">
        <v>53.4930980992308</v>
      </c>
      <c r="D1842" s="28">
        <v>9.99508707421773</v>
      </c>
      <c r="E1842" s="28" t="s">
        <v>25</v>
      </c>
      <c r="F1842" s="28" t="s">
        <v>14</v>
      </c>
      <c r="G1842" s="38"/>
      <c r="H1842" s="38"/>
      <c r="J1842" s="31">
        <f t="shared" si="6"/>
        <v>0</v>
      </c>
    </row>
    <row r="1843">
      <c r="A1843" s="28">
        <v>31.0</v>
      </c>
      <c r="B1843" s="28">
        <v>26.0</v>
      </c>
      <c r="C1843" s="28">
        <v>53.4930855720553</v>
      </c>
      <c r="D1843" s="28">
        <v>9.99532775121281</v>
      </c>
      <c r="E1843" s="28" t="s">
        <v>25</v>
      </c>
      <c r="F1843" s="28" t="s">
        <v>14</v>
      </c>
      <c r="G1843" s="29" t="s">
        <v>722</v>
      </c>
      <c r="H1843" s="30" t="s">
        <v>897</v>
      </c>
      <c r="J1843" s="31">
        <f t="shared" si="6"/>
        <v>48</v>
      </c>
    </row>
    <row r="1844">
      <c r="A1844" s="28">
        <v>31.0</v>
      </c>
      <c r="B1844" s="28">
        <v>27.0</v>
      </c>
      <c r="C1844" s="28">
        <v>53.4930730448799</v>
      </c>
      <c r="D1844" s="28">
        <v>9.99556842813672</v>
      </c>
      <c r="E1844" s="28" t="s">
        <v>25</v>
      </c>
      <c r="F1844" s="28" t="s">
        <v>14</v>
      </c>
      <c r="G1844" s="38"/>
      <c r="H1844" s="38"/>
      <c r="J1844" s="31">
        <f t="shared" si="6"/>
        <v>0</v>
      </c>
    </row>
    <row r="1845">
      <c r="A1845" s="28">
        <v>31.0</v>
      </c>
      <c r="B1845" s="28">
        <v>28.0</v>
      </c>
      <c r="C1845" s="28">
        <v>53.4930605177044</v>
      </c>
      <c r="D1845" s="28">
        <v>9.99580910498957</v>
      </c>
      <c r="E1845" s="28" t="s">
        <v>25</v>
      </c>
      <c r="F1845" s="28" t="s">
        <v>14</v>
      </c>
      <c r="G1845" s="38"/>
      <c r="H1845" s="38"/>
      <c r="J1845" s="31">
        <f t="shared" si="6"/>
        <v>0</v>
      </c>
    </row>
    <row r="1846">
      <c r="A1846" s="28">
        <v>31.0</v>
      </c>
      <c r="B1846" s="28">
        <v>29.0</v>
      </c>
      <c r="C1846" s="28">
        <v>53.493047990529</v>
      </c>
      <c r="D1846" s="28">
        <v>9.99604978177137</v>
      </c>
      <c r="E1846" s="28" t="s">
        <v>25</v>
      </c>
      <c r="F1846" s="28" t="s">
        <v>14</v>
      </c>
      <c r="G1846" s="38"/>
      <c r="H1846" s="38"/>
      <c r="J1846" s="31">
        <f t="shared" si="6"/>
        <v>0</v>
      </c>
    </row>
    <row r="1847">
      <c r="A1847" s="28">
        <v>31.0</v>
      </c>
      <c r="B1847" s="28">
        <v>30.0</v>
      </c>
      <c r="C1847" s="28">
        <v>53.4930354633535</v>
      </c>
      <c r="D1847" s="28">
        <v>9.996290458482</v>
      </c>
      <c r="E1847" s="28" t="s">
        <v>25</v>
      </c>
      <c r="F1847" s="28" t="s">
        <v>14</v>
      </c>
      <c r="G1847" s="29" t="s">
        <v>722</v>
      </c>
      <c r="H1847" s="30" t="s">
        <v>898</v>
      </c>
      <c r="J1847" s="31">
        <f t="shared" si="6"/>
        <v>48</v>
      </c>
    </row>
    <row r="1848">
      <c r="A1848" s="28">
        <v>31.0</v>
      </c>
      <c r="B1848" s="28">
        <v>31.0</v>
      </c>
      <c r="C1848" s="28">
        <v>53.4930229361781</v>
      </c>
      <c r="D1848" s="28">
        <v>9.99653113512158</v>
      </c>
      <c r="E1848" s="28" t="s">
        <v>25</v>
      </c>
      <c r="F1848" s="28" t="s">
        <v>14</v>
      </c>
      <c r="G1848" s="38"/>
      <c r="H1848" s="38"/>
      <c r="J1848" s="31">
        <f t="shared" si="6"/>
        <v>0</v>
      </c>
    </row>
    <row r="1849">
      <c r="A1849" s="28">
        <v>31.0</v>
      </c>
      <c r="B1849" s="28">
        <v>32.0</v>
      </c>
      <c r="C1849" s="28">
        <v>53.4930104090026</v>
      </c>
      <c r="D1849" s="28">
        <v>9.99677181169011</v>
      </c>
      <c r="E1849" s="28" t="s">
        <v>25</v>
      </c>
      <c r="F1849" s="28" t="s">
        <v>14</v>
      </c>
      <c r="G1849" s="38"/>
      <c r="H1849" s="38"/>
      <c r="J1849" s="31">
        <f t="shared" si="6"/>
        <v>0</v>
      </c>
    </row>
    <row r="1850">
      <c r="A1850" s="28">
        <v>31.0</v>
      </c>
      <c r="B1850" s="28">
        <v>33.0</v>
      </c>
      <c r="C1850" s="28">
        <v>53.4929978818272</v>
      </c>
      <c r="D1850" s="28">
        <v>9.99701248818746</v>
      </c>
      <c r="E1850" s="28" t="s">
        <v>25</v>
      </c>
      <c r="F1850" s="28" t="s">
        <v>14</v>
      </c>
      <c r="G1850" s="29" t="s">
        <v>722</v>
      </c>
      <c r="H1850" s="30" t="s">
        <v>899</v>
      </c>
      <c r="J1850" s="31">
        <f t="shared" si="6"/>
        <v>48</v>
      </c>
    </row>
    <row r="1851">
      <c r="A1851" s="28">
        <v>31.0</v>
      </c>
      <c r="B1851" s="28">
        <v>34.0</v>
      </c>
      <c r="C1851" s="28">
        <v>53.4929853546517</v>
      </c>
      <c r="D1851" s="28">
        <v>9.99725316461376</v>
      </c>
      <c r="E1851" s="28" t="s">
        <v>25</v>
      </c>
      <c r="F1851" s="28" t="s">
        <v>14</v>
      </c>
      <c r="G1851" s="38"/>
      <c r="H1851" s="38"/>
      <c r="J1851" s="31">
        <f t="shared" si="6"/>
        <v>0</v>
      </c>
    </row>
    <row r="1852">
      <c r="A1852" s="28">
        <v>31.0</v>
      </c>
      <c r="B1852" s="28">
        <v>35.0</v>
      </c>
      <c r="C1852" s="28">
        <v>53.4929728274763</v>
      </c>
      <c r="D1852" s="28">
        <v>9.9974938409689</v>
      </c>
      <c r="E1852" s="28" t="s">
        <v>25</v>
      </c>
      <c r="F1852" s="28" t="s">
        <v>14</v>
      </c>
      <c r="G1852" s="38"/>
      <c r="H1852" s="38"/>
      <c r="J1852" s="31">
        <f t="shared" si="6"/>
        <v>0</v>
      </c>
    </row>
    <row r="1853">
      <c r="A1853" s="28">
        <v>31.0</v>
      </c>
      <c r="B1853" s="28">
        <v>36.0</v>
      </c>
      <c r="C1853" s="28">
        <v>53.4929603003008</v>
      </c>
      <c r="D1853" s="28">
        <v>9.99773451725298</v>
      </c>
      <c r="E1853" s="28" t="s">
        <v>25</v>
      </c>
      <c r="F1853" s="28" t="s">
        <v>14</v>
      </c>
      <c r="G1853" s="29" t="s">
        <v>722</v>
      </c>
      <c r="H1853" s="30" t="s">
        <v>900</v>
      </c>
      <c r="J1853" s="31">
        <f t="shared" si="6"/>
        <v>48</v>
      </c>
    </row>
    <row r="1854">
      <c r="A1854" s="28">
        <v>31.0</v>
      </c>
      <c r="B1854" s="28">
        <v>37.0</v>
      </c>
      <c r="C1854" s="28">
        <v>53.4929477731254</v>
      </c>
      <c r="D1854" s="28">
        <v>9.997975193466</v>
      </c>
      <c r="E1854" s="28" t="s">
        <v>25</v>
      </c>
      <c r="F1854" s="28" t="s">
        <v>14</v>
      </c>
      <c r="G1854" s="38"/>
      <c r="H1854" s="38"/>
      <c r="J1854" s="31">
        <f t="shared" si="6"/>
        <v>0</v>
      </c>
    </row>
    <row r="1855">
      <c r="A1855" s="28">
        <v>31.0</v>
      </c>
      <c r="B1855" s="28">
        <v>38.0</v>
      </c>
      <c r="C1855" s="28">
        <v>53.4929352459499</v>
      </c>
      <c r="D1855" s="28">
        <v>9.99821586960797</v>
      </c>
      <c r="E1855" s="28" t="s">
        <v>25</v>
      </c>
      <c r="F1855" s="28" t="s">
        <v>14</v>
      </c>
      <c r="G1855" s="38"/>
      <c r="H1855" s="38"/>
      <c r="J1855" s="31">
        <f t="shared" si="6"/>
        <v>0</v>
      </c>
    </row>
    <row r="1856">
      <c r="A1856" s="28">
        <v>31.0</v>
      </c>
      <c r="B1856" s="28">
        <v>39.0</v>
      </c>
      <c r="C1856" s="28">
        <v>53.4929227187745</v>
      </c>
      <c r="D1856" s="28">
        <v>9.99845654567877</v>
      </c>
      <c r="E1856" s="28" t="s">
        <v>25</v>
      </c>
      <c r="F1856" s="28" t="s">
        <v>14</v>
      </c>
      <c r="G1856" s="29" t="s">
        <v>722</v>
      </c>
      <c r="H1856" s="30" t="s">
        <v>901</v>
      </c>
      <c r="J1856" s="31">
        <f t="shared" si="6"/>
        <v>48</v>
      </c>
    </row>
    <row r="1857">
      <c r="A1857" s="28">
        <v>31.0</v>
      </c>
      <c r="B1857" s="28">
        <v>40.0</v>
      </c>
      <c r="C1857" s="28">
        <v>53.492910191599</v>
      </c>
      <c r="D1857" s="28">
        <v>9.99869722167852</v>
      </c>
      <c r="E1857" s="28" t="s">
        <v>25</v>
      </c>
      <c r="F1857" s="28" t="s">
        <v>14</v>
      </c>
      <c r="G1857" s="38"/>
      <c r="H1857" s="38"/>
      <c r="J1857" s="31">
        <f t="shared" si="6"/>
        <v>0</v>
      </c>
    </row>
    <row r="1858">
      <c r="A1858" s="28">
        <v>31.0</v>
      </c>
      <c r="B1858" s="28">
        <v>41.0</v>
      </c>
      <c r="C1858" s="28">
        <v>53.4928976644236</v>
      </c>
      <c r="D1858" s="28">
        <v>9.99893789760722</v>
      </c>
      <c r="E1858" s="28" t="s">
        <v>15</v>
      </c>
      <c r="F1858" s="28" t="s">
        <v>168</v>
      </c>
      <c r="G1858" s="29" t="s">
        <v>902</v>
      </c>
      <c r="H1858" s="30" t="s">
        <v>903</v>
      </c>
      <c r="I1858" s="28"/>
      <c r="J1858" s="31">
        <f t="shared" si="6"/>
        <v>2</v>
      </c>
    </row>
    <row r="1859">
      <c r="A1859" s="28">
        <v>31.0</v>
      </c>
      <c r="B1859" s="28">
        <v>42.0</v>
      </c>
      <c r="C1859" s="28">
        <v>53.4928851372481</v>
      </c>
      <c r="D1859" s="28">
        <v>9.99917857346474</v>
      </c>
      <c r="E1859" s="28" t="s">
        <v>15</v>
      </c>
      <c r="F1859" s="28" t="s">
        <v>168</v>
      </c>
      <c r="G1859" s="29" t="s">
        <v>724</v>
      </c>
      <c r="H1859" s="30" t="s">
        <v>904</v>
      </c>
      <c r="J1859" s="31">
        <f t="shared" si="6"/>
        <v>12</v>
      </c>
    </row>
    <row r="1860">
      <c r="A1860" s="28">
        <v>31.0</v>
      </c>
      <c r="B1860" s="28">
        <v>43.0</v>
      </c>
      <c r="C1860" s="28">
        <v>53.4928726100726</v>
      </c>
      <c r="D1860" s="28">
        <v>9.99941924925121</v>
      </c>
      <c r="E1860" s="28" t="s">
        <v>15</v>
      </c>
      <c r="F1860" s="28" t="s">
        <v>168</v>
      </c>
      <c r="G1860" s="29" t="s">
        <v>728</v>
      </c>
      <c r="H1860" s="30" t="s">
        <v>905</v>
      </c>
      <c r="J1860" s="31">
        <f t="shared" si="6"/>
        <v>12</v>
      </c>
    </row>
    <row r="1861">
      <c r="A1861" s="28">
        <v>31.0</v>
      </c>
      <c r="B1861" s="28">
        <v>44.0</v>
      </c>
      <c r="C1861" s="28">
        <v>53.4928600828972</v>
      </c>
      <c r="D1861" s="28">
        <v>9.99965992496652</v>
      </c>
      <c r="E1861" s="28" t="s">
        <v>15</v>
      </c>
      <c r="F1861" s="28" t="s">
        <v>168</v>
      </c>
      <c r="G1861" s="29" t="s">
        <v>902</v>
      </c>
      <c r="H1861" s="30" t="s">
        <v>906</v>
      </c>
      <c r="I1861" s="28" t="s">
        <v>907</v>
      </c>
      <c r="J1861" s="31">
        <f t="shared" si="6"/>
        <v>2</v>
      </c>
    </row>
    <row r="1862">
      <c r="A1862" s="28">
        <v>31.0</v>
      </c>
      <c r="B1862" s="28">
        <v>45.0</v>
      </c>
      <c r="C1862" s="28">
        <v>53.4928475557217</v>
      </c>
      <c r="D1862" s="28">
        <v>9.99990060061077</v>
      </c>
      <c r="E1862" s="28" t="s">
        <v>15</v>
      </c>
      <c r="F1862" s="28" t="s">
        <v>168</v>
      </c>
      <c r="G1862" s="29" t="s">
        <v>722</v>
      </c>
      <c r="H1862" s="30" t="s">
        <v>908</v>
      </c>
      <c r="J1862" s="31">
        <f t="shared" si="6"/>
        <v>48</v>
      </c>
    </row>
    <row r="1863">
      <c r="A1863" s="28">
        <v>31.0</v>
      </c>
      <c r="B1863" s="28">
        <v>46.0</v>
      </c>
      <c r="C1863" s="28">
        <v>53.4928350285463</v>
      </c>
      <c r="D1863" s="28">
        <v>10.0001412761839</v>
      </c>
      <c r="E1863" s="28" t="s">
        <v>15</v>
      </c>
      <c r="F1863" s="28" t="s">
        <v>168</v>
      </c>
      <c r="G1863" s="38"/>
      <c r="H1863" s="38"/>
      <c r="J1863" s="31">
        <f t="shared" si="6"/>
        <v>0</v>
      </c>
    </row>
    <row r="1864">
      <c r="A1864" s="28">
        <v>31.0</v>
      </c>
      <c r="B1864" s="28">
        <v>47.0</v>
      </c>
      <c r="C1864" s="28">
        <v>53.4928225013708</v>
      </c>
      <c r="D1864" s="28">
        <v>10.0003819516859</v>
      </c>
      <c r="E1864" s="28" t="s">
        <v>15</v>
      </c>
      <c r="F1864" s="28" t="s">
        <v>168</v>
      </c>
      <c r="G1864" s="38"/>
      <c r="H1864" s="38"/>
      <c r="J1864" s="31">
        <f t="shared" si="6"/>
        <v>0</v>
      </c>
    </row>
    <row r="1865">
      <c r="A1865" s="28">
        <v>31.0</v>
      </c>
      <c r="B1865" s="28">
        <v>48.0</v>
      </c>
      <c r="C1865" s="28">
        <v>53.4928099741954</v>
      </c>
      <c r="D1865" s="28">
        <v>10.0006226271169</v>
      </c>
      <c r="E1865" s="28" t="s">
        <v>15</v>
      </c>
      <c r="F1865" s="28" t="s">
        <v>168</v>
      </c>
      <c r="G1865" s="29" t="s">
        <v>722</v>
      </c>
      <c r="H1865" s="30" t="s">
        <v>909</v>
      </c>
      <c r="J1865" s="31">
        <f t="shared" si="6"/>
        <v>48</v>
      </c>
    </row>
    <row r="1866">
      <c r="A1866" s="28">
        <v>31.0</v>
      </c>
      <c r="B1866" s="28">
        <v>49.0</v>
      </c>
      <c r="C1866" s="28">
        <v>53.4927974470199</v>
      </c>
      <c r="D1866" s="28">
        <v>10.0008633024767</v>
      </c>
      <c r="E1866" s="28" t="s">
        <v>15</v>
      </c>
      <c r="F1866" s="28" t="s">
        <v>168</v>
      </c>
      <c r="G1866" s="38"/>
      <c r="H1866" s="38"/>
      <c r="J1866" s="31">
        <f t="shared" si="6"/>
        <v>0</v>
      </c>
    </row>
    <row r="1867">
      <c r="A1867" s="28">
        <v>31.0</v>
      </c>
      <c r="B1867" s="28">
        <v>50.0</v>
      </c>
      <c r="C1867" s="28">
        <v>53.4927849198445</v>
      </c>
      <c r="D1867" s="28">
        <v>10.0011039777655</v>
      </c>
      <c r="E1867" s="28" t="s">
        <v>15</v>
      </c>
      <c r="F1867" s="28" t="s">
        <v>168</v>
      </c>
      <c r="G1867" s="38"/>
      <c r="H1867" s="38"/>
      <c r="J1867" s="31">
        <f t="shared" si="6"/>
        <v>0</v>
      </c>
    </row>
    <row r="1868">
      <c r="A1868" s="28">
        <v>31.0</v>
      </c>
      <c r="B1868" s="28">
        <v>51.0</v>
      </c>
      <c r="C1868" s="28">
        <v>53.492772392669</v>
      </c>
      <c r="D1868" s="28">
        <v>10.0013446529832</v>
      </c>
      <c r="E1868" s="28" t="s">
        <v>15</v>
      </c>
      <c r="F1868" s="28" t="s">
        <v>168</v>
      </c>
      <c r="G1868" s="29" t="s">
        <v>722</v>
      </c>
      <c r="H1868" s="30" t="s">
        <v>910</v>
      </c>
      <c r="J1868" s="31">
        <f t="shared" si="6"/>
        <v>48</v>
      </c>
    </row>
    <row r="1869">
      <c r="A1869" s="28">
        <v>31.0</v>
      </c>
      <c r="B1869" s="28">
        <v>52.0</v>
      </c>
      <c r="C1869" s="28">
        <v>53.4927598654936</v>
      </c>
      <c r="D1869" s="28">
        <v>10.0015853281297</v>
      </c>
      <c r="E1869" s="28" t="s">
        <v>15</v>
      </c>
      <c r="F1869" s="28" t="s">
        <v>168</v>
      </c>
      <c r="G1869" s="38"/>
      <c r="H1869" s="38"/>
      <c r="J1869" s="31">
        <f t="shared" si="6"/>
        <v>0</v>
      </c>
    </row>
    <row r="1870">
      <c r="A1870" s="28">
        <v>31.0</v>
      </c>
      <c r="B1870" s="28">
        <v>53.0</v>
      </c>
      <c r="C1870" s="28">
        <v>53.4927473383181</v>
      </c>
      <c r="D1870" s="28">
        <v>10.0018260032052</v>
      </c>
      <c r="E1870" s="28" t="s">
        <v>15</v>
      </c>
      <c r="F1870" s="28" t="s">
        <v>168</v>
      </c>
      <c r="G1870" s="38"/>
      <c r="H1870" s="38"/>
      <c r="J1870" s="31">
        <f t="shared" si="6"/>
        <v>0</v>
      </c>
    </row>
    <row r="1871">
      <c r="A1871" s="28">
        <v>31.0</v>
      </c>
      <c r="B1871" s="28">
        <v>54.0</v>
      </c>
      <c r="C1871" s="28">
        <v>53.4927348111427</v>
      </c>
      <c r="D1871" s="28">
        <v>10.0020666782096</v>
      </c>
      <c r="E1871" s="28" t="s">
        <v>15</v>
      </c>
      <c r="F1871" s="28" t="s">
        <v>168</v>
      </c>
      <c r="G1871" s="29" t="s">
        <v>722</v>
      </c>
      <c r="H1871" s="30" t="s">
        <v>911</v>
      </c>
      <c r="J1871" s="31">
        <f t="shared" si="6"/>
        <v>48</v>
      </c>
    </row>
    <row r="1872">
      <c r="A1872" s="28">
        <v>31.0</v>
      </c>
      <c r="B1872" s="28">
        <v>55.0</v>
      </c>
      <c r="C1872" s="28">
        <v>53.4927222839672</v>
      </c>
      <c r="D1872" s="28">
        <v>10.0023073531428</v>
      </c>
      <c r="E1872" s="28" t="s">
        <v>15</v>
      </c>
      <c r="F1872" s="28" t="s">
        <v>168</v>
      </c>
      <c r="G1872" s="38"/>
      <c r="H1872" s="38"/>
      <c r="J1872" s="31">
        <f t="shared" si="6"/>
        <v>0</v>
      </c>
    </row>
    <row r="1873">
      <c r="A1873" s="28">
        <v>31.0</v>
      </c>
      <c r="B1873" s="28">
        <v>56.0</v>
      </c>
      <c r="C1873" s="28">
        <v>53.4927097567918</v>
      </c>
      <c r="D1873" s="28">
        <v>10.002548028005</v>
      </c>
      <c r="E1873" s="28" t="s">
        <v>15</v>
      </c>
      <c r="F1873" s="28" t="s">
        <v>168</v>
      </c>
      <c r="G1873" s="38"/>
      <c r="H1873" s="38"/>
      <c r="J1873" s="31">
        <f t="shared" si="6"/>
        <v>0</v>
      </c>
    </row>
    <row r="1874">
      <c r="A1874" s="28">
        <v>31.0</v>
      </c>
      <c r="B1874" s="28">
        <v>57.0</v>
      </c>
      <c r="C1874" s="28">
        <v>53.4926972296163</v>
      </c>
      <c r="D1874" s="28">
        <v>10.0027887027962</v>
      </c>
      <c r="E1874" s="28" t="s">
        <v>15</v>
      </c>
      <c r="F1874" s="28" t="s">
        <v>168</v>
      </c>
      <c r="G1874" s="38"/>
      <c r="H1874" s="38"/>
      <c r="J1874" s="31">
        <f t="shared" si="6"/>
        <v>0</v>
      </c>
    </row>
    <row r="1875">
      <c r="A1875" s="28">
        <v>31.0</v>
      </c>
      <c r="B1875" s="28">
        <v>58.0</v>
      </c>
      <c r="C1875" s="28">
        <v>53.4926847024409</v>
      </c>
      <c r="D1875" s="28">
        <v>10.0030293775162</v>
      </c>
      <c r="E1875" s="28" t="s">
        <v>15</v>
      </c>
      <c r="F1875" s="28" t="s">
        <v>168</v>
      </c>
      <c r="G1875" s="38"/>
      <c r="H1875" s="38"/>
      <c r="J1875" s="31">
        <f t="shared" si="6"/>
        <v>0</v>
      </c>
    </row>
    <row r="1876">
      <c r="A1876" s="28">
        <v>31.0</v>
      </c>
      <c r="B1876" s="28">
        <v>59.0</v>
      </c>
      <c r="C1876" s="28">
        <v>53.4926721752654</v>
      </c>
      <c r="D1876" s="28">
        <v>10.0032700521651</v>
      </c>
      <c r="E1876" s="28" t="s">
        <v>15</v>
      </c>
      <c r="F1876" s="28" t="s">
        <v>168</v>
      </c>
      <c r="G1876" s="29" t="s">
        <v>912</v>
      </c>
      <c r="H1876" s="30" t="str">
        <f>HYPERLINK("https://www.munzee.com/m/TheEvilPoles/1773/a", "TheEvilPoles/1773")</f>
        <v>TheEvilPoles/1773</v>
      </c>
      <c r="J1876" s="31">
        <f t="shared" si="6"/>
        <v>1</v>
      </c>
    </row>
    <row r="1877">
      <c r="A1877" s="28">
        <v>31.0</v>
      </c>
      <c r="B1877" s="28">
        <v>60.0</v>
      </c>
      <c r="C1877" s="28">
        <v>53.49265964809</v>
      </c>
      <c r="D1877" s="28">
        <v>10.0035107267428</v>
      </c>
      <c r="E1877" s="28" t="s">
        <v>25</v>
      </c>
      <c r="F1877" s="28" t="s">
        <v>14</v>
      </c>
      <c r="G1877" s="29" t="s">
        <v>27</v>
      </c>
      <c r="H1877" s="30" t="str">
        <f>HYPERLINK("https://www.munzee.com/m/DarkHaribo/12444/", "DarkHaribo/12444")</f>
        <v>DarkHaribo/12444</v>
      </c>
      <c r="J1877" s="31">
        <f t="shared" si="6"/>
        <v>103</v>
      </c>
    </row>
    <row r="1878">
      <c r="A1878" s="28">
        <v>32.0</v>
      </c>
      <c r="B1878" s="28">
        <v>1.0</v>
      </c>
      <c r="C1878" s="28">
        <v>53.4932555679321</v>
      </c>
      <c r="D1878" s="28">
        <v>9.9892897484143</v>
      </c>
      <c r="E1878" s="28" t="s">
        <v>25</v>
      </c>
      <c r="F1878" s="28" t="s">
        <v>14</v>
      </c>
      <c r="G1878" s="29" t="s">
        <v>47</v>
      </c>
      <c r="H1878" s="33" t="s">
        <v>913</v>
      </c>
      <c r="J1878" s="31">
        <f t="shared" si="6"/>
        <v>44</v>
      </c>
    </row>
    <row r="1879">
      <c r="A1879" s="28">
        <v>32.0</v>
      </c>
      <c r="B1879" s="28">
        <v>2.0</v>
      </c>
      <c r="C1879" s="28">
        <v>53.4932430407566</v>
      </c>
      <c r="D1879" s="28">
        <v>9.98953042630307</v>
      </c>
      <c r="E1879" s="28" t="s">
        <v>15</v>
      </c>
      <c r="F1879" s="28" t="s">
        <v>168</v>
      </c>
      <c r="G1879" s="29" t="s">
        <v>317</v>
      </c>
      <c r="H1879" s="30" t="str">
        <f>HYPERLINK("https://www.munzee.com/m/ivwarrior/4500/", "ivwarrior/4500")</f>
        <v>ivwarrior/4500</v>
      </c>
      <c r="J1879" s="31">
        <f t="shared" si="6"/>
        <v>6</v>
      </c>
    </row>
    <row r="1880">
      <c r="A1880" s="28">
        <v>32.0</v>
      </c>
      <c r="B1880" s="28">
        <v>3.0</v>
      </c>
      <c r="C1880" s="28">
        <v>53.4932305135812</v>
      </c>
      <c r="D1880" s="28">
        <v>9.98977110412079</v>
      </c>
      <c r="E1880" s="28" t="s">
        <v>15</v>
      </c>
      <c r="F1880" s="28" t="s">
        <v>168</v>
      </c>
      <c r="G1880" s="29" t="s">
        <v>164</v>
      </c>
      <c r="H1880" s="35" t="s">
        <v>914</v>
      </c>
      <c r="J1880" s="31">
        <f t="shared" si="6"/>
        <v>133</v>
      </c>
    </row>
    <row r="1881">
      <c r="A1881" s="28">
        <v>32.0</v>
      </c>
      <c r="B1881" s="28">
        <v>4.0</v>
      </c>
      <c r="C1881" s="28">
        <v>53.4932179864057</v>
      </c>
      <c r="D1881" s="28">
        <v>9.99001178186733</v>
      </c>
      <c r="E1881" s="28" t="s">
        <v>15</v>
      </c>
      <c r="F1881" s="28" t="s">
        <v>168</v>
      </c>
      <c r="G1881" s="29" t="s">
        <v>364</v>
      </c>
      <c r="H1881" s="36" t="s">
        <v>915</v>
      </c>
      <c r="J1881" s="31">
        <f t="shared" si="6"/>
        <v>17</v>
      </c>
    </row>
    <row r="1882">
      <c r="A1882" s="28">
        <v>32.0</v>
      </c>
      <c r="B1882" s="28">
        <v>5.0</v>
      </c>
      <c r="C1882" s="28">
        <v>53.4932054592303</v>
      </c>
      <c r="D1882" s="28">
        <v>9.99025245954283</v>
      </c>
      <c r="E1882" s="28" t="s">
        <v>15</v>
      </c>
      <c r="F1882" s="28" t="s">
        <v>168</v>
      </c>
      <c r="G1882" s="38"/>
      <c r="H1882" s="38"/>
      <c r="J1882" s="31">
        <f t="shared" si="6"/>
        <v>0</v>
      </c>
    </row>
    <row r="1883">
      <c r="A1883" s="28">
        <v>32.0</v>
      </c>
      <c r="B1883" s="28">
        <v>6.0</v>
      </c>
      <c r="C1883" s="28">
        <v>53.4931929320548</v>
      </c>
      <c r="D1883" s="28">
        <v>9.99049313714726</v>
      </c>
      <c r="E1883" s="28" t="s">
        <v>15</v>
      </c>
      <c r="F1883" s="28" t="s">
        <v>168</v>
      </c>
      <c r="G1883" s="29" t="s">
        <v>317</v>
      </c>
      <c r="H1883" s="30" t="str">
        <f>HYPERLINK("https://www.munzee.com/m/ivwarrior/4454/", "ivwarrior/4454")</f>
        <v>ivwarrior/4454</v>
      </c>
      <c r="J1883" s="31">
        <f t="shared" si="6"/>
        <v>6</v>
      </c>
    </row>
    <row r="1884">
      <c r="A1884" s="28">
        <v>32.0</v>
      </c>
      <c r="B1884" s="28">
        <v>7.0</v>
      </c>
      <c r="C1884" s="28">
        <v>53.4931804048793</v>
      </c>
      <c r="D1884" s="28">
        <v>9.99073381468053</v>
      </c>
      <c r="E1884" s="28" t="s">
        <v>15</v>
      </c>
      <c r="F1884" s="28" t="s">
        <v>168</v>
      </c>
      <c r="G1884" s="29" t="s">
        <v>724</v>
      </c>
      <c r="H1884" s="36" t="s">
        <v>916</v>
      </c>
      <c r="J1884" s="31">
        <f t="shared" si="6"/>
        <v>12</v>
      </c>
    </row>
    <row r="1885">
      <c r="A1885" s="28">
        <v>32.0</v>
      </c>
      <c r="B1885" s="28">
        <v>8.0</v>
      </c>
      <c r="C1885" s="28">
        <v>53.4931678777039</v>
      </c>
      <c r="D1885" s="28">
        <v>9.99097449214275</v>
      </c>
      <c r="E1885" s="28" t="s">
        <v>15</v>
      </c>
      <c r="F1885" s="28" t="s">
        <v>168</v>
      </c>
      <c r="G1885" s="29" t="s">
        <v>728</v>
      </c>
      <c r="H1885" s="30" t="s">
        <v>917</v>
      </c>
      <c r="J1885" s="31">
        <f t="shared" si="6"/>
        <v>12</v>
      </c>
    </row>
    <row r="1886">
      <c r="A1886" s="28">
        <v>32.0</v>
      </c>
      <c r="B1886" s="28">
        <v>9.0</v>
      </c>
      <c r="C1886" s="28">
        <v>53.4931553505284</v>
      </c>
      <c r="D1886" s="28">
        <v>9.9912151695338</v>
      </c>
      <c r="E1886" s="28" t="s">
        <v>15</v>
      </c>
      <c r="F1886" s="28" t="s">
        <v>168</v>
      </c>
      <c r="G1886" s="29" t="s">
        <v>164</v>
      </c>
      <c r="H1886" s="35" t="s">
        <v>918</v>
      </c>
      <c r="J1886" s="31">
        <f t="shared" si="6"/>
        <v>133</v>
      </c>
    </row>
    <row r="1887">
      <c r="A1887" s="28">
        <v>32.0</v>
      </c>
      <c r="B1887" s="28">
        <v>10.0</v>
      </c>
      <c r="C1887" s="28">
        <v>53.493142823353</v>
      </c>
      <c r="D1887" s="28">
        <v>9.99145584685379</v>
      </c>
      <c r="E1887" s="28" t="s">
        <v>15</v>
      </c>
      <c r="F1887" s="28" t="s">
        <v>168</v>
      </c>
      <c r="G1887" s="29" t="s">
        <v>364</v>
      </c>
      <c r="H1887" s="36" t="s">
        <v>919</v>
      </c>
      <c r="J1887" s="31">
        <f t="shared" si="6"/>
        <v>17</v>
      </c>
    </row>
    <row r="1888">
      <c r="A1888" s="28">
        <v>32.0</v>
      </c>
      <c r="B1888" s="28">
        <v>11.0</v>
      </c>
      <c r="C1888" s="28">
        <v>53.4931302961775</v>
      </c>
      <c r="D1888" s="28">
        <v>9.99169652410273</v>
      </c>
      <c r="E1888" s="28" t="s">
        <v>15</v>
      </c>
      <c r="F1888" s="28" t="s">
        <v>168</v>
      </c>
      <c r="G1888" s="38"/>
      <c r="H1888" s="38"/>
      <c r="J1888" s="31">
        <f t="shared" si="6"/>
        <v>0</v>
      </c>
    </row>
    <row r="1889">
      <c r="A1889" s="28">
        <v>32.0</v>
      </c>
      <c r="B1889" s="28">
        <v>12.0</v>
      </c>
      <c r="C1889" s="28">
        <v>53.4931177690021</v>
      </c>
      <c r="D1889" s="28">
        <v>9.9919372012805</v>
      </c>
      <c r="E1889" s="28" t="s">
        <v>15</v>
      </c>
      <c r="F1889" s="28" t="s">
        <v>168</v>
      </c>
      <c r="G1889" s="29" t="s">
        <v>164</v>
      </c>
      <c r="H1889" s="35" t="s">
        <v>920</v>
      </c>
      <c r="J1889" s="31">
        <f t="shared" si="6"/>
        <v>133</v>
      </c>
    </row>
    <row r="1890">
      <c r="A1890" s="28">
        <v>32.0</v>
      </c>
      <c r="B1890" s="28">
        <v>13.0</v>
      </c>
      <c r="C1890" s="28">
        <v>53.4931052418266</v>
      </c>
      <c r="D1890" s="28">
        <v>9.99217787838722</v>
      </c>
      <c r="E1890" s="28" t="s">
        <v>15</v>
      </c>
      <c r="F1890" s="28" t="s">
        <v>168</v>
      </c>
      <c r="G1890" s="29" t="s">
        <v>364</v>
      </c>
      <c r="H1890" s="36" t="s">
        <v>921</v>
      </c>
      <c r="J1890" s="31">
        <f t="shared" si="6"/>
        <v>17</v>
      </c>
    </row>
    <row r="1891">
      <c r="A1891" s="28">
        <v>32.0</v>
      </c>
      <c r="B1891" s="28">
        <v>14.0</v>
      </c>
      <c r="C1891" s="28">
        <v>53.4930927146512</v>
      </c>
      <c r="D1891" s="28">
        <v>9.99241855542277</v>
      </c>
      <c r="E1891" s="28" t="s">
        <v>15</v>
      </c>
      <c r="F1891" s="28" t="s">
        <v>168</v>
      </c>
      <c r="G1891" s="38"/>
      <c r="H1891" s="38"/>
      <c r="J1891" s="31">
        <f t="shared" si="6"/>
        <v>0</v>
      </c>
    </row>
    <row r="1892">
      <c r="A1892" s="28">
        <v>32.0</v>
      </c>
      <c r="B1892" s="28">
        <v>15.0</v>
      </c>
      <c r="C1892" s="28">
        <v>53.4930801874757</v>
      </c>
      <c r="D1892" s="28">
        <v>9.99265923238726</v>
      </c>
      <c r="E1892" s="28" t="s">
        <v>15</v>
      </c>
      <c r="F1892" s="28" t="s">
        <v>168</v>
      </c>
      <c r="G1892" s="29" t="s">
        <v>164</v>
      </c>
      <c r="H1892" s="35" t="s">
        <v>922</v>
      </c>
      <c r="J1892" s="31">
        <f t="shared" si="6"/>
        <v>133</v>
      </c>
    </row>
    <row r="1893">
      <c r="A1893" s="28">
        <v>32.0</v>
      </c>
      <c r="B1893" s="28">
        <v>16.0</v>
      </c>
      <c r="C1893" s="28">
        <v>53.4930676603003</v>
      </c>
      <c r="D1893" s="28">
        <v>9.9928999092807</v>
      </c>
      <c r="E1893" s="28" t="s">
        <v>15</v>
      </c>
      <c r="F1893" s="28" t="s">
        <v>168</v>
      </c>
      <c r="G1893" s="29" t="s">
        <v>364</v>
      </c>
      <c r="H1893" s="36" t="s">
        <v>923</v>
      </c>
      <c r="J1893" s="31">
        <f t="shared" si="6"/>
        <v>17</v>
      </c>
    </row>
    <row r="1894">
      <c r="A1894" s="28">
        <v>32.0</v>
      </c>
      <c r="B1894" s="28">
        <v>17.0</v>
      </c>
      <c r="C1894" s="28">
        <v>53.4930551331249</v>
      </c>
      <c r="D1894" s="28">
        <v>9.99314058610298</v>
      </c>
      <c r="E1894" s="28" t="s">
        <v>25</v>
      </c>
      <c r="F1894" s="28" t="s">
        <v>14</v>
      </c>
      <c r="G1894" s="38"/>
      <c r="H1894" s="38"/>
      <c r="J1894" s="31">
        <f t="shared" si="6"/>
        <v>0</v>
      </c>
    </row>
    <row r="1895">
      <c r="A1895" s="28">
        <v>32.0</v>
      </c>
      <c r="B1895" s="28">
        <v>18.0</v>
      </c>
      <c r="C1895" s="28">
        <v>53.4930426059494</v>
      </c>
      <c r="D1895" s="28">
        <v>9.9933812628542</v>
      </c>
      <c r="E1895" s="28" t="s">
        <v>25</v>
      </c>
      <c r="F1895" s="28" t="s">
        <v>14</v>
      </c>
      <c r="G1895" s="38"/>
      <c r="H1895" s="38"/>
      <c r="J1895" s="31">
        <f t="shared" si="6"/>
        <v>0</v>
      </c>
    </row>
    <row r="1896">
      <c r="A1896" s="28">
        <v>32.0</v>
      </c>
      <c r="B1896" s="28">
        <v>19.0</v>
      </c>
      <c r="C1896" s="28">
        <v>53.4930300787739</v>
      </c>
      <c r="D1896" s="28">
        <v>9.99362193953436</v>
      </c>
      <c r="E1896" s="28" t="s">
        <v>25</v>
      </c>
      <c r="F1896" s="28" t="s">
        <v>14</v>
      </c>
      <c r="G1896" s="38"/>
      <c r="H1896" s="38"/>
      <c r="J1896" s="31">
        <f t="shared" si="6"/>
        <v>0</v>
      </c>
    </row>
    <row r="1897">
      <c r="A1897" s="28">
        <v>32.0</v>
      </c>
      <c r="B1897" s="28">
        <v>20.0</v>
      </c>
      <c r="C1897" s="28">
        <v>53.4930175515985</v>
      </c>
      <c r="D1897" s="28">
        <v>9.99386261614336</v>
      </c>
      <c r="E1897" s="28" t="s">
        <v>25</v>
      </c>
      <c r="F1897" s="28" t="s">
        <v>14</v>
      </c>
      <c r="G1897" s="38"/>
      <c r="H1897" s="38"/>
      <c r="J1897" s="31">
        <f t="shared" si="6"/>
        <v>0</v>
      </c>
    </row>
    <row r="1898">
      <c r="A1898" s="28">
        <v>32.0</v>
      </c>
      <c r="B1898" s="28">
        <v>21.0</v>
      </c>
      <c r="C1898" s="28">
        <v>53.493005024423</v>
      </c>
      <c r="D1898" s="28">
        <v>9.9941032926813</v>
      </c>
      <c r="E1898" s="28" t="s">
        <v>25</v>
      </c>
      <c r="F1898" s="28" t="s">
        <v>14</v>
      </c>
      <c r="G1898" s="38"/>
      <c r="H1898" s="38"/>
      <c r="J1898" s="31">
        <f t="shared" si="6"/>
        <v>0</v>
      </c>
    </row>
    <row r="1899">
      <c r="A1899" s="28">
        <v>32.0</v>
      </c>
      <c r="B1899" s="28">
        <v>22.0</v>
      </c>
      <c r="C1899" s="28">
        <v>53.4929924972476</v>
      </c>
      <c r="D1899" s="28">
        <v>9.99434396914807</v>
      </c>
      <c r="E1899" s="28" t="s">
        <v>25</v>
      </c>
      <c r="F1899" s="28" t="s">
        <v>14</v>
      </c>
      <c r="G1899" s="38"/>
      <c r="H1899" s="38"/>
      <c r="J1899" s="31">
        <f t="shared" si="6"/>
        <v>0</v>
      </c>
    </row>
    <row r="1900">
      <c r="A1900" s="28">
        <v>32.0</v>
      </c>
      <c r="B1900" s="28">
        <v>23.0</v>
      </c>
      <c r="C1900" s="28">
        <v>53.4929799700721</v>
      </c>
      <c r="D1900" s="28">
        <v>9.99458464554379</v>
      </c>
      <c r="E1900" s="28" t="s">
        <v>25</v>
      </c>
      <c r="F1900" s="28" t="s">
        <v>14</v>
      </c>
      <c r="G1900" s="38"/>
      <c r="H1900" s="38"/>
      <c r="J1900" s="31">
        <f t="shared" si="6"/>
        <v>0</v>
      </c>
    </row>
    <row r="1901">
      <c r="A1901" s="28">
        <v>32.0</v>
      </c>
      <c r="B1901" s="28">
        <v>24.0</v>
      </c>
      <c r="C1901" s="28">
        <v>53.4929674428967</v>
      </c>
      <c r="D1901" s="28">
        <v>9.99482532186846</v>
      </c>
      <c r="E1901" s="28" t="s">
        <v>25</v>
      </c>
      <c r="F1901" s="28" t="s">
        <v>14</v>
      </c>
      <c r="G1901" s="38"/>
      <c r="H1901" s="38"/>
      <c r="J1901" s="31">
        <f t="shared" si="6"/>
        <v>0</v>
      </c>
    </row>
    <row r="1902">
      <c r="A1902" s="28">
        <v>32.0</v>
      </c>
      <c r="B1902" s="28">
        <v>25.0</v>
      </c>
      <c r="C1902" s="28">
        <v>53.4929549157212</v>
      </c>
      <c r="D1902" s="28">
        <v>9.99506599812207</v>
      </c>
      <c r="E1902" s="28" t="s">
        <v>25</v>
      </c>
      <c r="F1902" s="28" t="s">
        <v>14</v>
      </c>
      <c r="G1902" s="38"/>
      <c r="H1902" s="38"/>
      <c r="J1902" s="31">
        <f t="shared" si="6"/>
        <v>0</v>
      </c>
    </row>
    <row r="1903">
      <c r="A1903" s="28">
        <v>32.0</v>
      </c>
      <c r="B1903" s="28">
        <v>26.0</v>
      </c>
      <c r="C1903" s="28">
        <v>53.4929423885458</v>
      </c>
      <c r="D1903" s="28">
        <v>9.99530667430451</v>
      </c>
      <c r="E1903" s="28" t="s">
        <v>25</v>
      </c>
      <c r="F1903" s="28" t="s">
        <v>14</v>
      </c>
      <c r="G1903" s="38"/>
      <c r="H1903" s="38"/>
      <c r="J1903" s="31">
        <f t="shared" si="6"/>
        <v>0</v>
      </c>
    </row>
    <row r="1904">
      <c r="A1904" s="28">
        <v>32.0</v>
      </c>
      <c r="B1904" s="28">
        <v>27.0</v>
      </c>
      <c r="C1904" s="28">
        <v>53.4929298613703</v>
      </c>
      <c r="D1904" s="28">
        <v>9.9955473504159</v>
      </c>
      <c r="E1904" s="28" t="s">
        <v>25</v>
      </c>
      <c r="F1904" s="28" t="s">
        <v>14</v>
      </c>
      <c r="G1904" s="38"/>
      <c r="H1904" s="38"/>
      <c r="J1904" s="31">
        <f t="shared" si="6"/>
        <v>0</v>
      </c>
    </row>
    <row r="1905">
      <c r="A1905" s="28">
        <v>32.0</v>
      </c>
      <c r="B1905" s="28">
        <v>28.0</v>
      </c>
      <c r="C1905" s="28">
        <v>53.4929173341949</v>
      </c>
      <c r="D1905" s="28">
        <v>9.99578802645612</v>
      </c>
      <c r="E1905" s="28" t="s">
        <v>25</v>
      </c>
      <c r="F1905" s="28" t="s">
        <v>14</v>
      </c>
      <c r="G1905" s="38"/>
      <c r="H1905" s="38"/>
      <c r="J1905" s="31">
        <f t="shared" si="6"/>
        <v>0</v>
      </c>
    </row>
    <row r="1906">
      <c r="A1906" s="28">
        <v>32.0</v>
      </c>
      <c r="B1906" s="28">
        <v>29.0</v>
      </c>
      <c r="C1906" s="28">
        <v>53.4929048070194</v>
      </c>
      <c r="D1906" s="28">
        <v>9.99602870242529</v>
      </c>
      <c r="E1906" s="28" t="s">
        <v>25</v>
      </c>
      <c r="F1906" s="28" t="s">
        <v>14</v>
      </c>
      <c r="G1906" s="38"/>
      <c r="H1906" s="38"/>
      <c r="J1906" s="31">
        <f t="shared" si="6"/>
        <v>0</v>
      </c>
    </row>
    <row r="1907">
      <c r="A1907" s="28">
        <v>32.0</v>
      </c>
      <c r="B1907" s="28">
        <v>30.0</v>
      </c>
      <c r="C1907" s="28">
        <v>53.492892279844</v>
      </c>
      <c r="D1907" s="28">
        <v>9.9962693783234</v>
      </c>
      <c r="E1907" s="28" t="s">
        <v>25</v>
      </c>
      <c r="F1907" s="28" t="s">
        <v>14</v>
      </c>
      <c r="G1907" s="38"/>
      <c r="H1907" s="38"/>
      <c r="J1907" s="31">
        <f t="shared" si="6"/>
        <v>0</v>
      </c>
    </row>
    <row r="1908">
      <c r="A1908" s="28">
        <v>32.0</v>
      </c>
      <c r="B1908" s="28">
        <v>31.0</v>
      </c>
      <c r="C1908" s="28">
        <v>53.4928797526685</v>
      </c>
      <c r="D1908" s="28">
        <v>9.99651005415034</v>
      </c>
      <c r="E1908" s="28" t="s">
        <v>25</v>
      </c>
      <c r="F1908" s="28" t="s">
        <v>14</v>
      </c>
      <c r="G1908" s="38"/>
      <c r="H1908" s="38"/>
      <c r="J1908" s="31">
        <f t="shared" si="6"/>
        <v>0</v>
      </c>
    </row>
    <row r="1909">
      <c r="A1909" s="28">
        <v>32.0</v>
      </c>
      <c r="B1909" s="28">
        <v>32.0</v>
      </c>
      <c r="C1909" s="28">
        <v>53.492867225493</v>
      </c>
      <c r="D1909" s="28">
        <v>9.99675072990623</v>
      </c>
      <c r="E1909" s="28" t="s">
        <v>25</v>
      </c>
      <c r="F1909" s="28" t="s">
        <v>14</v>
      </c>
      <c r="G1909" s="38"/>
      <c r="H1909" s="38"/>
      <c r="J1909" s="31">
        <f t="shared" si="6"/>
        <v>0</v>
      </c>
    </row>
    <row r="1910">
      <c r="A1910" s="28">
        <v>32.0</v>
      </c>
      <c r="B1910" s="28">
        <v>33.0</v>
      </c>
      <c r="C1910" s="28">
        <v>53.4928546983176</v>
      </c>
      <c r="D1910" s="28">
        <v>9.99699140559096</v>
      </c>
      <c r="E1910" s="28" t="s">
        <v>25</v>
      </c>
      <c r="F1910" s="28" t="s">
        <v>14</v>
      </c>
      <c r="G1910" s="38"/>
      <c r="H1910" s="38"/>
      <c r="J1910" s="31">
        <f t="shared" si="6"/>
        <v>0</v>
      </c>
    </row>
    <row r="1911">
      <c r="A1911" s="28">
        <v>32.0</v>
      </c>
      <c r="B1911" s="28">
        <v>34.0</v>
      </c>
      <c r="C1911" s="28">
        <v>53.4928421711421</v>
      </c>
      <c r="D1911" s="28">
        <v>9.99723208120463</v>
      </c>
      <c r="E1911" s="28" t="s">
        <v>25</v>
      </c>
      <c r="F1911" s="28" t="s">
        <v>14</v>
      </c>
      <c r="G1911" s="38"/>
      <c r="H1911" s="38"/>
      <c r="J1911" s="31">
        <f t="shared" si="6"/>
        <v>0</v>
      </c>
    </row>
    <row r="1912">
      <c r="A1912" s="28">
        <v>32.0</v>
      </c>
      <c r="B1912" s="28">
        <v>35.0</v>
      </c>
      <c r="C1912" s="28">
        <v>53.4928296439667</v>
      </c>
      <c r="D1912" s="28">
        <v>9.99747275674724</v>
      </c>
      <c r="E1912" s="28" t="s">
        <v>25</v>
      </c>
      <c r="F1912" s="28" t="s">
        <v>14</v>
      </c>
      <c r="G1912" s="38"/>
      <c r="H1912" s="38"/>
      <c r="J1912" s="31">
        <f t="shared" si="6"/>
        <v>0</v>
      </c>
    </row>
    <row r="1913">
      <c r="A1913" s="28">
        <v>32.0</v>
      </c>
      <c r="B1913" s="28">
        <v>36.0</v>
      </c>
      <c r="C1913" s="28">
        <v>53.4928171167912</v>
      </c>
      <c r="D1913" s="28">
        <v>9.99771343221868</v>
      </c>
      <c r="E1913" s="28" t="s">
        <v>25</v>
      </c>
      <c r="F1913" s="28" t="s">
        <v>14</v>
      </c>
      <c r="G1913" s="38"/>
      <c r="H1913" s="38"/>
      <c r="J1913" s="31">
        <f t="shared" si="6"/>
        <v>0</v>
      </c>
    </row>
    <row r="1914">
      <c r="A1914" s="28">
        <v>32.0</v>
      </c>
      <c r="B1914" s="28">
        <v>37.0</v>
      </c>
      <c r="C1914" s="28">
        <v>53.4928045896158</v>
      </c>
      <c r="D1914" s="28">
        <v>9.99795410761908</v>
      </c>
      <c r="E1914" s="28" t="s">
        <v>25</v>
      </c>
      <c r="F1914" s="28" t="s">
        <v>14</v>
      </c>
      <c r="G1914" s="38"/>
      <c r="H1914" s="38"/>
      <c r="J1914" s="31">
        <f t="shared" si="6"/>
        <v>0</v>
      </c>
    </row>
    <row r="1915">
      <c r="A1915" s="28">
        <v>32.0</v>
      </c>
      <c r="B1915" s="28">
        <v>38.0</v>
      </c>
      <c r="C1915" s="28">
        <v>53.4927920624404</v>
      </c>
      <c r="D1915" s="28">
        <v>9.99819478294841</v>
      </c>
      <c r="E1915" s="28" t="s">
        <v>25</v>
      </c>
      <c r="F1915" s="28" t="s">
        <v>14</v>
      </c>
      <c r="G1915" s="38"/>
      <c r="H1915" s="38"/>
      <c r="J1915" s="31">
        <f t="shared" si="6"/>
        <v>0</v>
      </c>
    </row>
    <row r="1916">
      <c r="A1916" s="28">
        <v>32.0</v>
      </c>
      <c r="B1916" s="28">
        <v>39.0</v>
      </c>
      <c r="C1916" s="28">
        <v>53.4927795352649</v>
      </c>
      <c r="D1916" s="28">
        <v>9.99843545820658</v>
      </c>
      <c r="E1916" s="28" t="s">
        <v>25</v>
      </c>
      <c r="F1916" s="28" t="s">
        <v>14</v>
      </c>
      <c r="G1916" s="38"/>
      <c r="H1916" s="38"/>
      <c r="J1916" s="31">
        <f t="shared" si="6"/>
        <v>0</v>
      </c>
    </row>
    <row r="1917">
      <c r="A1917" s="28">
        <v>32.0</v>
      </c>
      <c r="B1917" s="28">
        <v>40.0</v>
      </c>
      <c r="C1917" s="28">
        <v>53.4927670080895</v>
      </c>
      <c r="D1917" s="28">
        <v>9.9986761333937</v>
      </c>
      <c r="E1917" s="28" t="s">
        <v>25</v>
      </c>
      <c r="F1917" s="28" t="s">
        <v>14</v>
      </c>
      <c r="G1917" s="38"/>
      <c r="H1917" s="38"/>
      <c r="J1917" s="31">
        <f t="shared" si="6"/>
        <v>0</v>
      </c>
    </row>
    <row r="1918">
      <c r="A1918" s="28">
        <v>32.0</v>
      </c>
      <c r="B1918" s="28">
        <v>41.0</v>
      </c>
      <c r="C1918" s="28">
        <v>53.492754480914</v>
      </c>
      <c r="D1918" s="28">
        <v>9.99891680850976</v>
      </c>
      <c r="E1918" s="28" t="s">
        <v>25</v>
      </c>
      <c r="F1918" s="28" t="s">
        <v>14</v>
      </c>
      <c r="G1918" s="38"/>
      <c r="H1918" s="38"/>
      <c r="J1918" s="31">
        <f t="shared" si="6"/>
        <v>0</v>
      </c>
    </row>
    <row r="1919">
      <c r="A1919" s="28">
        <v>32.0</v>
      </c>
      <c r="B1919" s="28">
        <v>42.0</v>
      </c>
      <c r="C1919" s="28">
        <v>53.4927419537386</v>
      </c>
      <c r="D1919" s="28">
        <v>9.99915748355465</v>
      </c>
      <c r="E1919" s="28" t="s">
        <v>25</v>
      </c>
      <c r="F1919" s="28" t="s">
        <v>14</v>
      </c>
      <c r="G1919" s="38"/>
      <c r="H1919" s="38"/>
      <c r="J1919" s="31">
        <f t="shared" si="6"/>
        <v>0</v>
      </c>
    </row>
    <row r="1920">
      <c r="A1920" s="28">
        <v>32.0</v>
      </c>
      <c r="B1920" s="28">
        <v>43.0</v>
      </c>
      <c r="C1920" s="28">
        <v>53.4927294265631</v>
      </c>
      <c r="D1920" s="28">
        <v>9.99939815852849</v>
      </c>
      <c r="E1920" s="28" t="s">
        <v>15</v>
      </c>
      <c r="F1920" s="28" t="s">
        <v>168</v>
      </c>
      <c r="G1920" s="29" t="s">
        <v>164</v>
      </c>
      <c r="H1920" s="35" t="s">
        <v>924</v>
      </c>
      <c r="J1920" s="31">
        <f t="shared" si="6"/>
        <v>133</v>
      </c>
    </row>
    <row r="1921">
      <c r="A1921" s="28">
        <v>32.0</v>
      </c>
      <c r="B1921" s="28">
        <v>44.0</v>
      </c>
      <c r="C1921" s="28">
        <v>53.4927168993876</v>
      </c>
      <c r="D1921" s="28">
        <v>9.99963883343116</v>
      </c>
      <c r="E1921" s="28" t="s">
        <v>15</v>
      </c>
      <c r="F1921" s="28" t="s">
        <v>168</v>
      </c>
      <c r="G1921" s="38"/>
      <c r="H1921" s="38"/>
      <c r="J1921" s="31">
        <f t="shared" si="6"/>
        <v>0</v>
      </c>
    </row>
    <row r="1922">
      <c r="A1922" s="28">
        <v>32.0</v>
      </c>
      <c r="B1922" s="28">
        <v>45.0</v>
      </c>
      <c r="C1922" s="28">
        <v>53.4927043722122</v>
      </c>
      <c r="D1922" s="28">
        <v>9.99987950826278</v>
      </c>
      <c r="E1922" s="28" t="s">
        <v>15</v>
      </c>
      <c r="F1922" s="28" t="s">
        <v>168</v>
      </c>
      <c r="G1922" s="38"/>
      <c r="H1922" s="38"/>
      <c r="J1922" s="31">
        <f t="shared" si="6"/>
        <v>0</v>
      </c>
    </row>
    <row r="1923">
      <c r="A1923" s="28">
        <v>32.0</v>
      </c>
      <c r="B1923" s="28">
        <v>46.0</v>
      </c>
      <c r="C1923" s="28">
        <v>53.4926918450367</v>
      </c>
      <c r="D1923" s="28">
        <v>10.0001201830233</v>
      </c>
      <c r="E1923" s="28" t="s">
        <v>15</v>
      </c>
      <c r="F1923" s="28" t="s">
        <v>168</v>
      </c>
      <c r="G1923" s="29" t="s">
        <v>643</v>
      </c>
      <c r="H1923" s="30" t="s">
        <v>925</v>
      </c>
      <c r="J1923" s="31">
        <f>COUNTIF($G$18:$G$3617,#REF!)</f>
        <v>0</v>
      </c>
    </row>
    <row r="1924">
      <c r="A1924" s="28">
        <v>32.0</v>
      </c>
      <c r="B1924" s="28">
        <v>47.0</v>
      </c>
      <c r="C1924" s="28">
        <v>53.4926793178613</v>
      </c>
      <c r="D1924" s="28">
        <v>10.0003608577128</v>
      </c>
      <c r="E1924" s="28" t="s">
        <v>15</v>
      </c>
      <c r="F1924" s="28" t="s">
        <v>168</v>
      </c>
      <c r="G1924" s="29" t="s">
        <v>724</v>
      </c>
      <c r="H1924" s="36" t="s">
        <v>926</v>
      </c>
      <c r="J1924" s="31">
        <f t="shared" ref="J1924:J1926" si="7">COUNTIF($G$18:$G$3617,G1924)</f>
        <v>12</v>
      </c>
    </row>
    <row r="1925">
      <c r="A1925" s="28">
        <v>32.0</v>
      </c>
      <c r="B1925" s="28">
        <v>48.0</v>
      </c>
      <c r="C1925" s="28">
        <v>53.4926667906858</v>
      </c>
      <c r="D1925" s="28">
        <v>10.0006015323311</v>
      </c>
      <c r="E1925" s="28" t="s">
        <v>15</v>
      </c>
      <c r="F1925" s="28" t="s">
        <v>168</v>
      </c>
      <c r="G1925" s="29" t="s">
        <v>728</v>
      </c>
      <c r="H1925" s="30" t="s">
        <v>927</v>
      </c>
      <c r="J1925" s="31">
        <f t="shared" si="7"/>
        <v>12</v>
      </c>
    </row>
    <row r="1926">
      <c r="A1926" s="28">
        <v>32.0</v>
      </c>
      <c r="B1926" s="28">
        <v>49.0</v>
      </c>
      <c r="C1926" s="28">
        <v>53.4926542635104</v>
      </c>
      <c r="D1926" s="28">
        <v>10.0008422068784</v>
      </c>
      <c r="E1926" s="28" t="s">
        <v>15</v>
      </c>
      <c r="F1926" s="28" t="s">
        <v>168</v>
      </c>
      <c r="G1926" s="29" t="s">
        <v>164</v>
      </c>
      <c r="H1926" s="35" t="s">
        <v>928</v>
      </c>
      <c r="J1926" s="31">
        <f t="shared" si="7"/>
        <v>133</v>
      </c>
    </row>
    <row r="1927">
      <c r="A1927" s="28">
        <v>32.0</v>
      </c>
      <c r="B1927" s="28">
        <v>50.0</v>
      </c>
      <c r="C1927" s="28">
        <v>53.4926417363349</v>
      </c>
      <c r="D1927" s="28">
        <v>10.0010828813547</v>
      </c>
      <c r="E1927" s="28" t="s">
        <v>15</v>
      </c>
      <c r="F1927" s="28" t="s">
        <v>168</v>
      </c>
      <c r="H1927" s="38"/>
      <c r="J1927" s="31">
        <f>COUNTIF($G$18:$G$3617,G1923)</f>
        <v>3</v>
      </c>
    </row>
    <row r="1928">
      <c r="A1928" s="28">
        <v>32.0</v>
      </c>
      <c r="B1928" s="28">
        <v>51.0</v>
      </c>
      <c r="C1928" s="28">
        <v>53.4926292091595</v>
      </c>
      <c r="D1928" s="28">
        <v>10.0013235557597</v>
      </c>
      <c r="E1928" s="28" t="s">
        <v>15</v>
      </c>
      <c r="F1928" s="28" t="s">
        <v>168</v>
      </c>
      <c r="G1928" s="38"/>
      <c r="H1928" s="38"/>
      <c r="J1928" s="31">
        <f t="shared" ref="J1928:J1935" si="8">COUNTIF($G$18:$G$3617,G1928)</f>
        <v>0</v>
      </c>
    </row>
    <row r="1929">
      <c r="A1929" s="28">
        <v>32.0</v>
      </c>
      <c r="B1929" s="28">
        <v>52.0</v>
      </c>
      <c r="C1929" s="28">
        <v>53.492616681984</v>
      </c>
      <c r="D1929" s="28">
        <v>10.0015642300937</v>
      </c>
      <c r="E1929" s="28" t="s">
        <v>15</v>
      </c>
      <c r="F1929" s="28" t="s">
        <v>168</v>
      </c>
      <c r="G1929" s="29" t="s">
        <v>164</v>
      </c>
      <c r="H1929" s="35" t="s">
        <v>929</v>
      </c>
      <c r="J1929" s="31">
        <f t="shared" si="8"/>
        <v>133</v>
      </c>
    </row>
    <row r="1930">
      <c r="A1930" s="28">
        <v>32.0</v>
      </c>
      <c r="B1930" s="28">
        <v>53.0</v>
      </c>
      <c r="C1930" s="28">
        <v>53.4926041548086</v>
      </c>
      <c r="D1930" s="28">
        <v>10.0018049043567</v>
      </c>
      <c r="E1930" s="28" t="s">
        <v>15</v>
      </c>
      <c r="F1930" s="28" t="s">
        <v>168</v>
      </c>
      <c r="G1930" s="38"/>
      <c r="H1930" s="38"/>
      <c r="J1930" s="31">
        <f t="shared" si="8"/>
        <v>0</v>
      </c>
    </row>
    <row r="1931">
      <c r="A1931" s="28">
        <v>32.0</v>
      </c>
      <c r="B1931" s="28">
        <v>54.0</v>
      </c>
      <c r="C1931" s="28">
        <v>53.4925916276331</v>
      </c>
      <c r="D1931" s="28">
        <v>10.0020455785485</v>
      </c>
      <c r="E1931" s="28" t="s">
        <v>15</v>
      </c>
      <c r="F1931" s="28" t="s">
        <v>168</v>
      </c>
      <c r="G1931" s="38"/>
      <c r="H1931" s="38"/>
      <c r="J1931" s="31">
        <f t="shared" si="8"/>
        <v>0</v>
      </c>
    </row>
    <row r="1932">
      <c r="A1932" s="28">
        <v>32.0</v>
      </c>
      <c r="B1932" s="28">
        <v>55.0</v>
      </c>
      <c r="C1932" s="28">
        <v>53.4925791004577</v>
      </c>
      <c r="D1932" s="28">
        <v>10.0022862526692</v>
      </c>
      <c r="E1932" s="28" t="s">
        <v>15</v>
      </c>
      <c r="F1932" s="28" t="s">
        <v>168</v>
      </c>
      <c r="G1932" s="29" t="s">
        <v>164</v>
      </c>
      <c r="H1932" s="35" t="s">
        <v>930</v>
      </c>
      <c r="J1932" s="31">
        <f t="shared" si="8"/>
        <v>133</v>
      </c>
    </row>
    <row r="1933">
      <c r="A1933" s="28">
        <v>32.0</v>
      </c>
      <c r="B1933" s="28">
        <v>56.0</v>
      </c>
      <c r="C1933" s="28">
        <v>53.4925665732823</v>
      </c>
      <c r="D1933" s="28">
        <v>10.0025269267189</v>
      </c>
      <c r="E1933" s="28" t="s">
        <v>15</v>
      </c>
      <c r="F1933" s="28" t="s">
        <v>168</v>
      </c>
      <c r="G1933" s="38"/>
      <c r="H1933" s="38"/>
      <c r="J1933" s="31">
        <f t="shared" si="8"/>
        <v>0</v>
      </c>
    </row>
    <row r="1934">
      <c r="A1934" s="28">
        <v>32.0</v>
      </c>
      <c r="B1934" s="28">
        <v>57.0</v>
      </c>
      <c r="C1934" s="28">
        <v>53.4925540461068</v>
      </c>
      <c r="D1934" s="28">
        <v>10.0027676006974</v>
      </c>
      <c r="E1934" s="28" t="s">
        <v>15</v>
      </c>
      <c r="F1934" s="28" t="s">
        <v>168</v>
      </c>
      <c r="G1934" s="38"/>
      <c r="H1934" s="38"/>
      <c r="J1934" s="31">
        <f t="shared" si="8"/>
        <v>0</v>
      </c>
    </row>
    <row r="1935">
      <c r="A1935" s="28">
        <v>32.0</v>
      </c>
      <c r="B1935" s="28">
        <v>58.0</v>
      </c>
      <c r="C1935" s="28">
        <v>53.4925415189314</v>
      </c>
      <c r="D1935" s="28">
        <v>10.0030082746048</v>
      </c>
      <c r="E1935" s="28" t="s">
        <v>15</v>
      </c>
      <c r="F1935" s="28" t="s">
        <v>168</v>
      </c>
      <c r="G1935" s="38"/>
      <c r="H1935" s="38"/>
      <c r="J1935" s="31">
        <f t="shared" si="8"/>
        <v>0</v>
      </c>
    </row>
    <row r="1936">
      <c r="A1936" s="28">
        <v>32.0</v>
      </c>
      <c r="B1936" s="28">
        <v>59.0</v>
      </c>
      <c r="C1936" s="28">
        <v>53.4925289917559</v>
      </c>
      <c r="D1936" s="28">
        <v>10.0032489484411</v>
      </c>
      <c r="E1936" s="28" t="s">
        <v>15</v>
      </c>
      <c r="F1936" s="28" t="s">
        <v>168</v>
      </c>
      <c r="G1936" s="29" t="s">
        <v>931</v>
      </c>
      <c r="H1936" s="30" t="s">
        <v>932</v>
      </c>
      <c r="I1936" s="28" t="s">
        <v>933</v>
      </c>
      <c r="J1936" s="31">
        <f>COUNTIF($G$18:$G$3617,#REF!)</f>
        <v>0</v>
      </c>
    </row>
    <row r="1937">
      <c r="A1937" s="28">
        <v>32.0</v>
      </c>
      <c r="B1937" s="28">
        <v>60.0</v>
      </c>
      <c r="C1937" s="28">
        <v>53.4925164645805</v>
      </c>
      <c r="D1937" s="28">
        <v>10.0034896222064</v>
      </c>
      <c r="E1937" s="28" t="s">
        <v>25</v>
      </c>
      <c r="F1937" s="28" t="s">
        <v>14</v>
      </c>
      <c r="G1937" s="29" t="s">
        <v>94</v>
      </c>
      <c r="H1937" s="33" t="s">
        <v>934</v>
      </c>
      <c r="J1937" s="31">
        <f t="shared" ref="J1937:J3409" si="9">COUNTIF($G$18:$G$3617,G1937)</f>
        <v>42</v>
      </c>
    </row>
    <row r="1938">
      <c r="A1938" s="28">
        <v>33.0</v>
      </c>
      <c r="B1938" s="28">
        <v>1.0</v>
      </c>
      <c r="C1938" s="28">
        <v>53.4931123844225</v>
      </c>
      <c r="D1938" s="28">
        <v>9.98926869189233</v>
      </c>
      <c r="E1938" s="28" t="s">
        <v>25</v>
      </c>
      <c r="F1938" s="28" t="s">
        <v>14</v>
      </c>
      <c r="G1938" s="29" t="s">
        <v>30</v>
      </c>
      <c r="H1938" s="30" t="str">
        <f>HYPERLINK("https://www.munzee.com/m/SachensucherHB/1547/", "SachensucherHB/1547")</f>
        <v>SachensucherHB/1547</v>
      </c>
      <c r="J1938" s="31">
        <f t="shared" si="9"/>
        <v>62</v>
      </c>
    </row>
    <row r="1939">
      <c r="A1939" s="28">
        <v>33.0</v>
      </c>
      <c r="B1939" s="28">
        <v>2.0</v>
      </c>
      <c r="C1939" s="28">
        <v>53.493099857247</v>
      </c>
      <c r="D1939" s="28">
        <v>9.98950936896847</v>
      </c>
      <c r="E1939" s="28" t="s">
        <v>15</v>
      </c>
      <c r="F1939" s="28" t="s">
        <v>168</v>
      </c>
      <c r="G1939" s="29" t="s">
        <v>724</v>
      </c>
      <c r="H1939" s="30" t="s">
        <v>935</v>
      </c>
      <c r="J1939" s="31">
        <f t="shared" si="9"/>
        <v>12</v>
      </c>
    </row>
    <row r="1940">
      <c r="A1940" s="28">
        <v>33.0</v>
      </c>
      <c r="B1940" s="28">
        <v>3.0</v>
      </c>
      <c r="C1940" s="28">
        <v>53.4930873300716</v>
      </c>
      <c r="D1940" s="28">
        <v>9.98975004597355</v>
      </c>
      <c r="E1940" s="28" t="s">
        <v>15</v>
      </c>
      <c r="F1940" s="28" t="s">
        <v>168</v>
      </c>
      <c r="G1940" s="29" t="s">
        <v>728</v>
      </c>
      <c r="H1940" s="30" t="s">
        <v>936</v>
      </c>
      <c r="J1940" s="31">
        <f t="shared" si="9"/>
        <v>12</v>
      </c>
    </row>
    <row r="1941">
      <c r="A1941" s="28">
        <v>33.0</v>
      </c>
      <c r="B1941" s="28">
        <v>4.0</v>
      </c>
      <c r="C1941" s="28">
        <v>53.4930748028961</v>
      </c>
      <c r="D1941" s="28">
        <v>9.98999072290746</v>
      </c>
      <c r="E1941" s="28" t="s">
        <v>15</v>
      </c>
      <c r="F1941" s="28" t="s">
        <v>168</v>
      </c>
      <c r="G1941" s="38"/>
      <c r="H1941" s="38"/>
      <c r="J1941" s="31">
        <f t="shared" si="9"/>
        <v>0</v>
      </c>
    </row>
    <row r="1942">
      <c r="A1942" s="28">
        <v>33.0</v>
      </c>
      <c r="B1942" s="28">
        <v>5.0</v>
      </c>
      <c r="C1942" s="28">
        <v>53.4930622757207</v>
      </c>
      <c r="D1942" s="28">
        <v>9.99023139977032</v>
      </c>
      <c r="E1942" s="28" t="s">
        <v>15</v>
      </c>
      <c r="F1942" s="28" t="s">
        <v>168</v>
      </c>
      <c r="G1942" s="38"/>
      <c r="H1942" s="38"/>
      <c r="J1942" s="31">
        <f t="shared" si="9"/>
        <v>0</v>
      </c>
    </row>
    <row r="1943">
      <c r="A1943" s="28">
        <v>33.0</v>
      </c>
      <c r="B1943" s="28">
        <v>6.0</v>
      </c>
      <c r="C1943" s="28">
        <v>53.4930497485452</v>
      </c>
      <c r="D1943" s="28">
        <v>9.99047207656212</v>
      </c>
      <c r="E1943" s="28" t="s">
        <v>15</v>
      </c>
      <c r="F1943" s="28" t="s">
        <v>168</v>
      </c>
      <c r="G1943" s="38"/>
      <c r="H1943" s="38"/>
      <c r="J1943" s="31">
        <f t="shared" si="9"/>
        <v>0</v>
      </c>
    </row>
    <row r="1944">
      <c r="A1944" s="28">
        <v>33.0</v>
      </c>
      <c r="B1944" s="28">
        <v>7.0</v>
      </c>
      <c r="C1944" s="28">
        <v>53.4930372213698</v>
      </c>
      <c r="D1944" s="28">
        <v>9.99071275328276</v>
      </c>
      <c r="E1944" s="28" t="s">
        <v>15</v>
      </c>
      <c r="F1944" s="28" t="s">
        <v>168</v>
      </c>
      <c r="G1944" s="38"/>
      <c r="H1944" s="38"/>
      <c r="J1944" s="31">
        <f t="shared" si="9"/>
        <v>0</v>
      </c>
    </row>
    <row r="1945">
      <c r="A1945" s="28">
        <v>33.0</v>
      </c>
      <c r="B1945" s="28">
        <v>8.0</v>
      </c>
      <c r="C1945" s="28">
        <v>53.4930246941943</v>
      </c>
      <c r="D1945" s="28">
        <v>9.99095342993234</v>
      </c>
      <c r="E1945" s="28" t="s">
        <v>15</v>
      </c>
      <c r="F1945" s="28" t="s">
        <v>168</v>
      </c>
      <c r="G1945" s="38"/>
      <c r="H1945" s="38"/>
      <c r="J1945" s="31">
        <f t="shared" si="9"/>
        <v>0</v>
      </c>
    </row>
    <row r="1946">
      <c r="A1946" s="28">
        <v>33.0</v>
      </c>
      <c r="B1946" s="28">
        <v>9.0</v>
      </c>
      <c r="C1946" s="28">
        <v>53.4930121670189</v>
      </c>
      <c r="D1946" s="28">
        <v>9.99119410651087</v>
      </c>
      <c r="E1946" s="28" t="s">
        <v>15</v>
      </c>
      <c r="F1946" s="28" t="s">
        <v>168</v>
      </c>
      <c r="G1946" s="38"/>
      <c r="H1946" s="38"/>
      <c r="J1946" s="31">
        <f t="shared" si="9"/>
        <v>0</v>
      </c>
    </row>
    <row r="1947">
      <c r="A1947" s="28">
        <v>33.0</v>
      </c>
      <c r="B1947" s="28">
        <v>10.0</v>
      </c>
      <c r="C1947" s="28">
        <v>53.4929996398434</v>
      </c>
      <c r="D1947" s="28">
        <v>9.99143478301823</v>
      </c>
      <c r="E1947" s="28" t="s">
        <v>15</v>
      </c>
      <c r="F1947" s="28" t="s">
        <v>168</v>
      </c>
      <c r="G1947" s="38"/>
      <c r="H1947" s="38"/>
      <c r="J1947" s="31">
        <f t="shared" si="9"/>
        <v>0</v>
      </c>
    </row>
    <row r="1948">
      <c r="A1948" s="28">
        <v>33.0</v>
      </c>
      <c r="B1948" s="28">
        <v>11.0</v>
      </c>
      <c r="C1948" s="28">
        <v>53.492987112668</v>
      </c>
      <c r="D1948" s="28">
        <v>9.99167545945454</v>
      </c>
      <c r="E1948" s="28" t="s">
        <v>15</v>
      </c>
      <c r="F1948" s="28" t="s">
        <v>168</v>
      </c>
      <c r="G1948" s="38"/>
      <c r="H1948" s="38"/>
      <c r="J1948" s="31">
        <f t="shared" si="9"/>
        <v>0</v>
      </c>
    </row>
    <row r="1949">
      <c r="A1949" s="28">
        <v>33.0</v>
      </c>
      <c r="B1949" s="28">
        <v>12.0</v>
      </c>
      <c r="C1949" s="28">
        <v>53.4929745854925</v>
      </c>
      <c r="D1949" s="28">
        <v>9.99191613581967</v>
      </c>
      <c r="E1949" s="28" t="s">
        <v>15</v>
      </c>
      <c r="F1949" s="28" t="s">
        <v>168</v>
      </c>
      <c r="G1949" s="38"/>
      <c r="H1949" s="38"/>
      <c r="J1949" s="31">
        <f t="shared" si="9"/>
        <v>0</v>
      </c>
    </row>
    <row r="1950">
      <c r="A1950" s="28">
        <v>33.0</v>
      </c>
      <c r="B1950" s="28">
        <v>13.0</v>
      </c>
      <c r="C1950" s="28">
        <v>53.4929620583171</v>
      </c>
      <c r="D1950" s="28">
        <v>9.99215681211376</v>
      </c>
      <c r="E1950" s="28" t="s">
        <v>15</v>
      </c>
      <c r="F1950" s="28" t="s">
        <v>168</v>
      </c>
      <c r="G1950" s="38"/>
      <c r="H1950" s="38"/>
      <c r="J1950" s="31">
        <f t="shared" si="9"/>
        <v>0</v>
      </c>
    </row>
    <row r="1951">
      <c r="A1951" s="28">
        <v>33.0</v>
      </c>
      <c r="B1951" s="28">
        <v>14.0</v>
      </c>
      <c r="C1951" s="28">
        <v>53.4929495311416</v>
      </c>
      <c r="D1951" s="28">
        <v>9.99239748833679</v>
      </c>
      <c r="E1951" s="28" t="s">
        <v>25</v>
      </c>
      <c r="F1951" s="28" t="s">
        <v>14</v>
      </c>
      <c r="G1951" s="38"/>
      <c r="H1951" s="38"/>
      <c r="J1951" s="31">
        <f t="shared" si="9"/>
        <v>0</v>
      </c>
    </row>
    <row r="1952">
      <c r="A1952" s="28">
        <v>33.0</v>
      </c>
      <c r="B1952" s="28">
        <v>15.0</v>
      </c>
      <c r="C1952" s="28">
        <v>53.4929370039662</v>
      </c>
      <c r="D1952" s="28">
        <v>9.99263816448865</v>
      </c>
      <c r="E1952" s="28" t="s">
        <v>25</v>
      </c>
      <c r="F1952" s="28" t="s">
        <v>14</v>
      </c>
      <c r="G1952" s="38"/>
      <c r="H1952" s="38"/>
      <c r="J1952" s="31">
        <f t="shared" si="9"/>
        <v>0</v>
      </c>
    </row>
    <row r="1953">
      <c r="A1953" s="28">
        <v>33.0</v>
      </c>
      <c r="B1953" s="28">
        <v>16.0</v>
      </c>
      <c r="C1953" s="28">
        <v>53.4929244767907</v>
      </c>
      <c r="D1953" s="28">
        <v>9.99287884056946</v>
      </c>
      <c r="E1953" s="28" t="s">
        <v>25</v>
      </c>
      <c r="F1953" s="28" t="s">
        <v>14</v>
      </c>
      <c r="G1953" s="38"/>
      <c r="H1953" s="38"/>
      <c r="J1953" s="31">
        <f t="shared" si="9"/>
        <v>0</v>
      </c>
    </row>
    <row r="1954">
      <c r="A1954" s="28">
        <v>33.0</v>
      </c>
      <c r="B1954" s="28">
        <v>17.0</v>
      </c>
      <c r="C1954" s="28">
        <v>53.4929119496153</v>
      </c>
      <c r="D1954" s="28">
        <v>9.9931195165791</v>
      </c>
      <c r="E1954" s="28" t="s">
        <v>25</v>
      </c>
      <c r="F1954" s="28" t="s">
        <v>14</v>
      </c>
      <c r="G1954" s="38"/>
      <c r="H1954" s="38"/>
      <c r="J1954" s="31">
        <f t="shared" si="9"/>
        <v>0</v>
      </c>
    </row>
    <row r="1955">
      <c r="A1955" s="28">
        <v>33.0</v>
      </c>
      <c r="B1955" s="28">
        <v>18.0</v>
      </c>
      <c r="C1955" s="28">
        <v>53.4928994224398</v>
      </c>
      <c r="D1955" s="28">
        <v>9.99336019251768</v>
      </c>
      <c r="E1955" s="28" t="s">
        <v>25</v>
      </c>
      <c r="F1955" s="28" t="s">
        <v>14</v>
      </c>
      <c r="G1955" s="38"/>
      <c r="H1955" s="38"/>
      <c r="J1955" s="31">
        <f t="shared" si="9"/>
        <v>0</v>
      </c>
    </row>
    <row r="1956">
      <c r="A1956" s="28">
        <v>33.0</v>
      </c>
      <c r="B1956" s="28">
        <v>19.0</v>
      </c>
      <c r="C1956" s="28">
        <v>53.4928868952644</v>
      </c>
      <c r="D1956" s="28">
        <v>9.99360086838521</v>
      </c>
      <c r="E1956" s="28" t="s">
        <v>25</v>
      </c>
      <c r="F1956" s="28" t="s">
        <v>14</v>
      </c>
      <c r="G1956" s="38"/>
      <c r="H1956" s="38"/>
      <c r="J1956" s="31">
        <f t="shared" si="9"/>
        <v>0</v>
      </c>
    </row>
    <row r="1957">
      <c r="A1957" s="28">
        <v>33.0</v>
      </c>
      <c r="B1957" s="28">
        <v>20.0</v>
      </c>
      <c r="C1957" s="28">
        <v>53.4928743680889</v>
      </c>
      <c r="D1957" s="28">
        <v>9.99384154418157</v>
      </c>
      <c r="E1957" s="28" t="s">
        <v>25</v>
      </c>
      <c r="F1957" s="28" t="s">
        <v>14</v>
      </c>
      <c r="G1957" s="38"/>
      <c r="H1957" s="38"/>
      <c r="J1957" s="31">
        <f t="shared" si="9"/>
        <v>0</v>
      </c>
    </row>
    <row r="1958">
      <c r="A1958" s="28">
        <v>33.0</v>
      </c>
      <c r="B1958" s="28">
        <v>21.0</v>
      </c>
      <c r="C1958" s="28">
        <v>53.4928618409135</v>
      </c>
      <c r="D1958" s="28">
        <v>9.99408221990688</v>
      </c>
      <c r="E1958" s="28" t="s">
        <v>25</v>
      </c>
      <c r="F1958" s="28" t="s">
        <v>14</v>
      </c>
      <c r="G1958" s="38"/>
      <c r="H1958" s="38"/>
      <c r="J1958" s="31">
        <f t="shared" si="9"/>
        <v>0</v>
      </c>
    </row>
    <row r="1959">
      <c r="A1959" s="28">
        <v>33.0</v>
      </c>
      <c r="B1959" s="28">
        <v>22.0</v>
      </c>
      <c r="C1959" s="28">
        <v>53.492849313738</v>
      </c>
      <c r="D1959" s="28">
        <v>9.99432289556114</v>
      </c>
      <c r="E1959" s="28" t="s">
        <v>25</v>
      </c>
      <c r="F1959" s="28" t="s">
        <v>14</v>
      </c>
      <c r="G1959" s="38"/>
      <c r="H1959" s="38"/>
      <c r="J1959" s="31">
        <f t="shared" si="9"/>
        <v>0</v>
      </c>
    </row>
    <row r="1960">
      <c r="A1960" s="28">
        <v>33.0</v>
      </c>
      <c r="B1960" s="28">
        <v>23.0</v>
      </c>
      <c r="C1960" s="28">
        <v>53.4928367865626</v>
      </c>
      <c r="D1960" s="28">
        <v>9.99456357114422</v>
      </c>
      <c r="E1960" s="28" t="s">
        <v>25</v>
      </c>
      <c r="F1960" s="28" t="s">
        <v>14</v>
      </c>
      <c r="G1960" s="38"/>
      <c r="H1960" s="38"/>
      <c r="J1960" s="31">
        <f t="shared" si="9"/>
        <v>0</v>
      </c>
    </row>
    <row r="1961">
      <c r="A1961" s="28">
        <v>33.0</v>
      </c>
      <c r="B1961" s="28">
        <v>24.0</v>
      </c>
      <c r="C1961" s="28">
        <v>53.4928242593871</v>
      </c>
      <c r="D1961" s="28">
        <v>9.99480424665625</v>
      </c>
      <c r="E1961" s="28" t="s">
        <v>25</v>
      </c>
      <c r="F1961" s="28" t="s">
        <v>14</v>
      </c>
      <c r="G1961" s="38"/>
      <c r="H1961" s="38"/>
      <c r="J1961" s="31">
        <f t="shared" si="9"/>
        <v>0</v>
      </c>
    </row>
    <row r="1962">
      <c r="A1962" s="28">
        <v>33.0</v>
      </c>
      <c r="B1962" s="28">
        <v>25.0</v>
      </c>
      <c r="C1962" s="28">
        <v>53.4928117322117</v>
      </c>
      <c r="D1962" s="28">
        <v>9.99504492209723</v>
      </c>
      <c r="E1962" s="28" t="s">
        <v>25</v>
      </c>
      <c r="F1962" s="28" t="s">
        <v>14</v>
      </c>
      <c r="G1962" s="38"/>
      <c r="H1962" s="38"/>
      <c r="J1962" s="31">
        <f t="shared" si="9"/>
        <v>0</v>
      </c>
    </row>
    <row r="1963">
      <c r="A1963" s="28">
        <v>33.0</v>
      </c>
      <c r="B1963" s="28">
        <v>26.0</v>
      </c>
      <c r="C1963" s="28">
        <v>53.4927992050362</v>
      </c>
      <c r="D1963" s="28">
        <v>9.99528559746704</v>
      </c>
      <c r="E1963" s="28" t="s">
        <v>15</v>
      </c>
      <c r="F1963" s="28" t="s">
        <v>168</v>
      </c>
      <c r="G1963" s="38"/>
      <c r="H1963" s="38"/>
      <c r="J1963" s="31">
        <f t="shared" si="9"/>
        <v>0</v>
      </c>
    </row>
    <row r="1964">
      <c r="A1964" s="28">
        <v>33.0</v>
      </c>
      <c r="B1964" s="28">
        <v>27.0</v>
      </c>
      <c r="C1964" s="28">
        <v>53.4927866778608</v>
      </c>
      <c r="D1964" s="28">
        <v>9.9955262727658</v>
      </c>
      <c r="E1964" s="28" t="s">
        <v>15</v>
      </c>
      <c r="F1964" s="28" t="s">
        <v>168</v>
      </c>
      <c r="G1964" s="38"/>
      <c r="H1964" s="38"/>
      <c r="J1964" s="31">
        <f t="shared" si="9"/>
        <v>0</v>
      </c>
    </row>
    <row r="1965">
      <c r="A1965" s="28">
        <v>33.0</v>
      </c>
      <c r="B1965" s="28">
        <v>28.0</v>
      </c>
      <c r="C1965" s="28">
        <v>53.4927741506853</v>
      </c>
      <c r="D1965" s="28">
        <v>9.99576694799338</v>
      </c>
      <c r="E1965" s="28" t="s">
        <v>15</v>
      </c>
      <c r="F1965" s="28" t="s">
        <v>168</v>
      </c>
      <c r="G1965" s="38"/>
      <c r="H1965" s="38"/>
      <c r="J1965" s="31">
        <f t="shared" si="9"/>
        <v>0</v>
      </c>
    </row>
    <row r="1966">
      <c r="A1966" s="28">
        <v>33.0</v>
      </c>
      <c r="B1966" s="28">
        <v>29.0</v>
      </c>
      <c r="C1966" s="28">
        <v>53.4927616235099</v>
      </c>
      <c r="D1966" s="28">
        <v>9.99600762314992</v>
      </c>
      <c r="E1966" s="28" t="s">
        <v>25</v>
      </c>
      <c r="F1966" s="28" t="s">
        <v>14</v>
      </c>
      <c r="G1966" s="38"/>
      <c r="H1966" s="38"/>
      <c r="J1966" s="31">
        <f t="shared" si="9"/>
        <v>0</v>
      </c>
    </row>
    <row r="1967">
      <c r="A1967" s="28">
        <v>33.0</v>
      </c>
      <c r="B1967" s="28">
        <v>30.0</v>
      </c>
      <c r="C1967" s="28">
        <v>53.4927490963344</v>
      </c>
      <c r="D1967" s="28">
        <v>9.9962482982354</v>
      </c>
      <c r="E1967" s="28" t="s">
        <v>25</v>
      </c>
      <c r="F1967" s="28" t="s">
        <v>14</v>
      </c>
      <c r="G1967" s="38"/>
      <c r="H1967" s="38"/>
      <c r="J1967" s="31">
        <f t="shared" si="9"/>
        <v>0</v>
      </c>
    </row>
    <row r="1968">
      <c r="A1968" s="28">
        <v>33.0</v>
      </c>
      <c r="B1968" s="28">
        <v>31.0</v>
      </c>
      <c r="C1968" s="28">
        <v>53.492736569159</v>
      </c>
      <c r="D1968" s="28">
        <v>9.99648897324982</v>
      </c>
      <c r="E1968" s="28" t="s">
        <v>25</v>
      </c>
      <c r="F1968" s="28" t="s">
        <v>14</v>
      </c>
      <c r="G1968" s="38"/>
      <c r="H1968" s="38"/>
      <c r="J1968" s="31">
        <f t="shared" si="9"/>
        <v>0</v>
      </c>
    </row>
    <row r="1969">
      <c r="A1969" s="28">
        <v>33.0</v>
      </c>
      <c r="B1969" s="28">
        <v>32.0</v>
      </c>
      <c r="C1969" s="28">
        <v>53.4927240419836</v>
      </c>
      <c r="D1969" s="28">
        <v>9.99672964819308</v>
      </c>
      <c r="E1969" s="28" t="s">
        <v>15</v>
      </c>
      <c r="F1969" s="28" t="s">
        <v>168</v>
      </c>
      <c r="G1969" s="29" t="s">
        <v>937</v>
      </c>
      <c r="H1969" s="30" t="s">
        <v>938</v>
      </c>
      <c r="J1969" s="31">
        <f t="shared" si="9"/>
        <v>1</v>
      </c>
    </row>
    <row r="1970">
      <c r="A1970" s="28">
        <v>33.0</v>
      </c>
      <c r="B1970" s="28">
        <v>33.0</v>
      </c>
      <c r="C1970" s="28">
        <v>53.4927115148081</v>
      </c>
      <c r="D1970" s="28">
        <v>9.99697032306528</v>
      </c>
      <c r="E1970" s="28" t="s">
        <v>15</v>
      </c>
      <c r="F1970" s="28" t="s">
        <v>168</v>
      </c>
      <c r="G1970" s="29" t="s">
        <v>40</v>
      </c>
      <c r="H1970" s="30" t="str">
        <f>HYPERLINK("https://www.munzee.com/m/csThanner/1954", "csThanner/1954")</f>
        <v>csThanner/1954</v>
      </c>
      <c r="J1970" s="31">
        <f t="shared" si="9"/>
        <v>88</v>
      </c>
    </row>
    <row r="1971">
      <c r="A1971" s="28">
        <v>33.0</v>
      </c>
      <c r="B1971" s="28">
        <v>34.0</v>
      </c>
      <c r="C1971" s="28">
        <v>53.4926989876327</v>
      </c>
      <c r="D1971" s="28">
        <v>9.99721099786643</v>
      </c>
      <c r="E1971" s="28" t="s">
        <v>15</v>
      </c>
      <c r="F1971" s="28" t="s">
        <v>168</v>
      </c>
      <c r="G1971" s="29" t="s">
        <v>497</v>
      </c>
      <c r="H1971" s="30" t="str">
        <f>HYPERLINK("https://www.munzee.com/m/hulapalu/431", "hulapalu/431")</f>
        <v>hulapalu/431</v>
      </c>
      <c r="J1971" s="31">
        <f t="shared" si="9"/>
        <v>4</v>
      </c>
    </row>
    <row r="1972">
      <c r="A1972" s="28">
        <v>33.0</v>
      </c>
      <c r="B1972" s="28">
        <v>35.0</v>
      </c>
      <c r="C1972" s="28">
        <v>53.4926864604572</v>
      </c>
      <c r="D1972" s="28">
        <v>9.99745167259641</v>
      </c>
      <c r="E1972" s="28" t="s">
        <v>25</v>
      </c>
      <c r="F1972" s="28" t="s">
        <v>14</v>
      </c>
      <c r="G1972" s="38"/>
      <c r="H1972" s="38"/>
      <c r="J1972" s="31">
        <f t="shared" si="9"/>
        <v>0</v>
      </c>
    </row>
    <row r="1973">
      <c r="A1973" s="28">
        <v>33.0</v>
      </c>
      <c r="B1973" s="28">
        <v>36.0</v>
      </c>
      <c r="C1973" s="28">
        <v>53.4926739332817</v>
      </c>
      <c r="D1973" s="28">
        <v>9.99769234725533</v>
      </c>
      <c r="E1973" s="28" t="s">
        <v>25</v>
      </c>
      <c r="F1973" s="28" t="s">
        <v>14</v>
      </c>
      <c r="G1973" s="38"/>
      <c r="H1973" s="38"/>
      <c r="J1973" s="31">
        <f t="shared" si="9"/>
        <v>0</v>
      </c>
    </row>
    <row r="1974">
      <c r="A1974" s="28">
        <v>33.0</v>
      </c>
      <c r="B1974" s="28">
        <v>37.0</v>
      </c>
      <c r="C1974" s="28">
        <v>53.4926614061063</v>
      </c>
      <c r="D1974" s="28">
        <v>9.99793302184321</v>
      </c>
      <c r="E1974" s="28" t="s">
        <v>25</v>
      </c>
      <c r="F1974" s="28" t="s">
        <v>14</v>
      </c>
      <c r="G1974" s="38"/>
      <c r="H1974" s="38"/>
      <c r="J1974" s="31">
        <f t="shared" si="9"/>
        <v>0</v>
      </c>
    </row>
    <row r="1975">
      <c r="A1975" s="28">
        <v>33.0</v>
      </c>
      <c r="B1975" s="28">
        <v>38.0</v>
      </c>
      <c r="C1975" s="28">
        <v>53.4926488789308</v>
      </c>
      <c r="D1975" s="28">
        <v>9.99817369635991</v>
      </c>
      <c r="E1975" s="28" t="s">
        <v>25</v>
      </c>
      <c r="F1975" s="28" t="s">
        <v>14</v>
      </c>
      <c r="G1975" s="38"/>
      <c r="H1975" s="38"/>
      <c r="J1975" s="31">
        <f t="shared" si="9"/>
        <v>0</v>
      </c>
    </row>
    <row r="1976">
      <c r="A1976" s="28">
        <v>33.0</v>
      </c>
      <c r="B1976" s="28">
        <v>39.0</v>
      </c>
      <c r="C1976" s="28">
        <v>53.4926363517554</v>
      </c>
      <c r="D1976" s="28">
        <v>9.99841437080556</v>
      </c>
      <c r="E1976" s="28" t="s">
        <v>25</v>
      </c>
      <c r="F1976" s="28" t="s">
        <v>14</v>
      </c>
      <c r="G1976" s="38"/>
      <c r="H1976" s="38"/>
      <c r="J1976" s="31">
        <f t="shared" si="9"/>
        <v>0</v>
      </c>
    </row>
    <row r="1977">
      <c r="A1977" s="28">
        <v>33.0</v>
      </c>
      <c r="B1977" s="28">
        <v>40.0</v>
      </c>
      <c r="C1977" s="28">
        <v>53.4926238245799</v>
      </c>
      <c r="D1977" s="28">
        <v>9.99865504518004</v>
      </c>
      <c r="E1977" s="28" t="s">
        <v>25</v>
      </c>
      <c r="F1977" s="28" t="s">
        <v>14</v>
      </c>
      <c r="G1977" s="38"/>
      <c r="H1977" s="38"/>
      <c r="J1977" s="31">
        <f t="shared" si="9"/>
        <v>0</v>
      </c>
    </row>
    <row r="1978">
      <c r="A1978" s="28">
        <v>33.0</v>
      </c>
      <c r="B1978" s="28">
        <v>41.0</v>
      </c>
      <c r="C1978" s="28">
        <v>53.4926112974045</v>
      </c>
      <c r="D1978" s="28">
        <v>9.99889571948347</v>
      </c>
      <c r="E1978" s="28" t="s">
        <v>25</v>
      </c>
      <c r="F1978" s="28" t="s">
        <v>14</v>
      </c>
      <c r="G1978" s="38"/>
      <c r="H1978" s="38"/>
      <c r="J1978" s="31">
        <f t="shared" si="9"/>
        <v>0</v>
      </c>
    </row>
    <row r="1979">
      <c r="A1979" s="28">
        <v>33.0</v>
      </c>
      <c r="B1979" s="28">
        <v>42.0</v>
      </c>
      <c r="C1979" s="28">
        <v>53.492598770229</v>
      </c>
      <c r="D1979" s="28">
        <v>9.99913639371584</v>
      </c>
      <c r="E1979" s="28" t="s">
        <v>25</v>
      </c>
      <c r="F1979" s="28" t="s">
        <v>14</v>
      </c>
      <c r="G1979" s="38"/>
      <c r="H1979" s="38"/>
      <c r="J1979" s="31">
        <f t="shared" si="9"/>
        <v>0</v>
      </c>
    </row>
    <row r="1980">
      <c r="A1980" s="28">
        <v>33.0</v>
      </c>
      <c r="B1980" s="28">
        <v>43.0</v>
      </c>
      <c r="C1980" s="28">
        <v>53.4925862430536</v>
      </c>
      <c r="D1980" s="28">
        <v>9.99937706787704</v>
      </c>
      <c r="E1980" s="28" t="s">
        <v>25</v>
      </c>
      <c r="F1980" s="28" t="s">
        <v>14</v>
      </c>
      <c r="G1980" s="38"/>
      <c r="H1980" s="38"/>
      <c r="J1980" s="31">
        <f t="shared" si="9"/>
        <v>0</v>
      </c>
    </row>
    <row r="1981">
      <c r="A1981" s="28">
        <v>33.0</v>
      </c>
      <c r="B1981" s="28">
        <v>44.0</v>
      </c>
      <c r="C1981" s="28">
        <v>53.4925737158782</v>
      </c>
      <c r="D1981" s="28">
        <v>9.9996177419672</v>
      </c>
      <c r="E1981" s="28" t="s">
        <v>25</v>
      </c>
      <c r="F1981" s="28" t="s">
        <v>14</v>
      </c>
      <c r="G1981" s="38"/>
      <c r="H1981" s="38"/>
      <c r="J1981" s="31">
        <f t="shared" si="9"/>
        <v>0</v>
      </c>
    </row>
    <row r="1982">
      <c r="A1982" s="28">
        <v>33.0</v>
      </c>
      <c r="B1982" s="28">
        <v>45.0</v>
      </c>
      <c r="C1982" s="28">
        <v>53.4925611887027</v>
      </c>
      <c r="D1982" s="28">
        <v>9.99985841598618</v>
      </c>
      <c r="E1982" s="28" t="s">
        <v>15</v>
      </c>
      <c r="F1982" s="28" t="s">
        <v>168</v>
      </c>
      <c r="G1982" s="29" t="s">
        <v>40</v>
      </c>
      <c r="H1982" s="33" t="s">
        <v>939</v>
      </c>
      <c r="J1982" s="31">
        <f t="shared" si="9"/>
        <v>88</v>
      </c>
    </row>
    <row r="1983">
      <c r="A1983" s="28">
        <v>33.0</v>
      </c>
      <c r="B1983" s="28">
        <v>46.0</v>
      </c>
      <c r="C1983" s="28">
        <v>53.4925486615273</v>
      </c>
      <c r="D1983" s="28">
        <v>10.0000990899341</v>
      </c>
      <c r="E1983" s="28" t="s">
        <v>15</v>
      </c>
      <c r="F1983" s="28" t="s">
        <v>168</v>
      </c>
      <c r="G1983" s="38"/>
      <c r="H1983" s="38"/>
      <c r="J1983" s="31">
        <f t="shared" si="9"/>
        <v>0</v>
      </c>
    </row>
    <row r="1984">
      <c r="A1984" s="28">
        <v>33.0</v>
      </c>
      <c r="B1984" s="28">
        <v>47.0</v>
      </c>
      <c r="C1984" s="28">
        <v>53.4925361343518</v>
      </c>
      <c r="D1984" s="28">
        <v>10.0003397638109</v>
      </c>
      <c r="E1984" s="28" t="s">
        <v>15</v>
      </c>
      <c r="F1984" s="28" t="s">
        <v>168</v>
      </c>
      <c r="G1984" s="38"/>
      <c r="H1984" s="38"/>
      <c r="J1984" s="31">
        <f t="shared" si="9"/>
        <v>0</v>
      </c>
    </row>
    <row r="1985">
      <c r="A1985" s="28">
        <v>33.0</v>
      </c>
      <c r="B1985" s="28">
        <v>48.0</v>
      </c>
      <c r="C1985" s="28">
        <v>53.4925236071763</v>
      </c>
      <c r="D1985" s="28">
        <v>10.0005804376166</v>
      </c>
      <c r="E1985" s="28" t="s">
        <v>15</v>
      </c>
      <c r="F1985" s="28" t="s">
        <v>168</v>
      </c>
      <c r="G1985" s="29" t="s">
        <v>40</v>
      </c>
      <c r="H1985" s="33" t="s">
        <v>940</v>
      </c>
      <c r="J1985" s="31">
        <f t="shared" si="9"/>
        <v>88</v>
      </c>
    </row>
    <row r="1986">
      <c r="A1986" s="28">
        <v>33.0</v>
      </c>
      <c r="B1986" s="28">
        <v>49.0</v>
      </c>
      <c r="C1986" s="28">
        <v>53.4925110800009</v>
      </c>
      <c r="D1986" s="28">
        <v>10.0008211113513</v>
      </c>
      <c r="E1986" s="28" t="s">
        <v>15</v>
      </c>
      <c r="F1986" s="28" t="s">
        <v>168</v>
      </c>
      <c r="G1986" s="38"/>
      <c r="H1986" s="38"/>
      <c r="J1986" s="31">
        <f t="shared" si="9"/>
        <v>0</v>
      </c>
    </row>
    <row r="1987">
      <c r="A1987" s="28">
        <v>33.0</v>
      </c>
      <c r="B1987" s="28">
        <v>50.0</v>
      </c>
      <c r="C1987" s="28">
        <v>53.4924985528254</v>
      </c>
      <c r="D1987" s="28">
        <v>10.0010617850149</v>
      </c>
      <c r="E1987" s="28" t="s">
        <v>15</v>
      </c>
      <c r="F1987" s="28" t="s">
        <v>168</v>
      </c>
      <c r="G1987" s="38"/>
      <c r="H1987" s="38"/>
      <c r="J1987" s="31">
        <f t="shared" si="9"/>
        <v>0</v>
      </c>
    </row>
    <row r="1988">
      <c r="A1988" s="28">
        <v>33.0</v>
      </c>
      <c r="B1988" s="28">
        <v>51.0</v>
      </c>
      <c r="C1988" s="28">
        <v>53.49248602565</v>
      </c>
      <c r="D1988" s="28">
        <v>10.0013024586073</v>
      </c>
      <c r="E1988" s="28" t="s">
        <v>15</v>
      </c>
      <c r="F1988" s="28" t="s">
        <v>168</v>
      </c>
      <c r="G1988" s="29" t="s">
        <v>40</v>
      </c>
      <c r="H1988" s="33" t="s">
        <v>941</v>
      </c>
      <c r="J1988" s="31">
        <f t="shared" si="9"/>
        <v>88</v>
      </c>
    </row>
    <row r="1989">
      <c r="A1989" s="28">
        <v>33.0</v>
      </c>
      <c r="B1989" s="28">
        <v>52.0</v>
      </c>
      <c r="C1989" s="28">
        <v>53.4924734984746</v>
      </c>
      <c r="D1989" s="28">
        <v>10.0015431321287</v>
      </c>
      <c r="E1989" s="28" t="s">
        <v>15</v>
      </c>
      <c r="F1989" s="28" t="s">
        <v>168</v>
      </c>
      <c r="G1989" s="38"/>
      <c r="H1989" s="38"/>
      <c r="J1989" s="31">
        <f t="shared" si="9"/>
        <v>0</v>
      </c>
    </row>
    <row r="1990">
      <c r="A1990" s="28">
        <v>33.0</v>
      </c>
      <c r="B1990" s="28">
        <v>53.0</v>
      </c>
      <c r="C1990" s="28">
        <v>53.4924609712991</v>
      </c>
      <c r="D1990" s="28">
        <v>10.001783805579</v>
      </c>
      <c r="E1990" s="28" t="s">
        <v>15</v>
      </c>
      <c r="F1990" s="28" t="s">
        <v>168</v>
      </c>
      <c r="G1990" s="38"/>
      <c r="H1990" s="38"/>
      <c r="J1990" s="31">
        <f t="shared" si="9"/>
        <v>0</v>
      </c>
    </row>
    <row r="1991">
      <c r="A1991" s="28">
        <v>33.0</v>
      </c>
      <c r="B1991" s="28">
        <v>54.0</v>
      </c>
      <c r="C1991" s="28">
        <v>53.4924484441237</v>
      </c>
      <c r="D1991" s="28">
        <v>10.0020244789582</v>
      </c>
      <c r="E1991" s="28" t="s">
        <v>15</v>
      </c>
      <c r="F1991" s="28" t="s">
        <v>168</v>
      </c>
      <c r="G1991" s="29" t="s">
        <v>40</v>
      </c>
      <c r="H1991" s="33" t="s">
        <v>942</v>
      </c>
      <c r="J1991" s="31">
        <f t="shared" si="9"/>
        <v>88</v>
      </c>
    </row>
    <row r="1992">
      <c r="A1992" s="28">
        <v>33.0</v>
      </c>
      <c r="B1992" s="28">
        <v>55.0</v>
      </c>
      <c r="C1992" s="28">
        <v>53.4924359169482</v>
      </c>
      <c r="D1992" s="28">
        <v>10.0022651522663</v>
      </c>
      <c r="E1992" s="28" t="s">
        <v>15</v>
      </c>
      <c r="F1992" s="28" t="s">
        <v>168</v>
      </c>
      <c r="G1992" s="38"/>
      <c r="H1992" s="38"/>
      <c r="J1992" s="31">
        <f t="shared" si="9"/>
        <v>0</v>
      </c>
    </row>
    <row r="1993">
      <c r="A1993" s="28">
        <v>33.0</v>
      </c>
      <c r="B1993" s="28">
        <v>56.0</v>
      </c>
      <c r="C1993" s="28">
        <v>53.4924233897728</v>
      </c>
      <c r="D1993" s="28">
        <v>10.0025058255033</v>
      </c>
      <c r="E1993" s="28" t="s">
        <v>15</v>
      </c>
      <c r="F1993" s="28" t="s">
        <v>168</v>
      </c>
      <c r="G1993" s="38"/>
      <c r="H1993" s="38"/>
      <c r="J1993" s="31">
        <f t="shared" si="9"/>
        <v>0</v>
      </c>
    </row>
    <row r="1994">
      <c r="A1994" s="28">
        <v>33.0</v>
      </c>
      <c r="B1994" s="28">
        <v>57.0</v>
      </c>
      <c r="C1994" s="28">
        <v>53.4924108625973</v>
      </c>
      <c r="D1994" s="28">
        <v>10.0027464986692</v>
      </c>
      <c r="E1994" s="28" t="s">
        <v>15</v>
      </c>
      <c r="F1994" s="28" t="s">
        <v>168</v>
      </c>
      <c r="G1994" s="29" t="s">
        <v>40</v>
      </c>
      <c r="H1994" s="49" t="s">
        <v>943</v>
      </c>
      <c r="J1994" s="31">
        <f t="shared" si="9"/>
        <v>88</v>
      </c>
    </row>
    <row r="1995">
      <c r="A1995" s="28">
        <v>33.0</v>
      </c>
      <c r="B1995" s="28">
        <v>58.0</v>
      </c>
      <c r="C1995" s="28">
        <v>53.4923983354219</v>
      </c>
      <c r="D1995" s="28">
        <v>10.002987171764</v>
      </c>
      <c r="E1995" s="28" t="s">
        <v>15</v>
      </c>
      <c r="F1995" s="28" t="s">
        <v>168</v>
      </c>
      <c r="G1995" s="38"/>
      <c r="H1995" s="38"/>
      <c r="J1995" s="31">
        <f t="shared" si="9"/>
        <v>0</v>
      </c>
    </row>
    <row r="1996">
      <c r="A1996" s="28">
        <v>33.0</v>
      </c>
      <c r="B1996" s="28">
        <v>59.0</v>
      </c>
      <c r="C1996" s="28">
        <v>53.4923858082464</v>
      </c>
      <c r="D1996" s="28">
        <v>10.0032278447878</v>
      </c>
      <c r="E1996" s="28" t="s">
        <v>15</v>
      </c>
      <c r="F1996" s="28" t="s">
        <v>168</v>
      </c>
      <c r="G1996" s="38"/>
      <c r="H1996" s="38"/>
      <c r="J1996" s="31">
        <f t="shared" si="9"/>
        <v>0</v>
      </c>
    </row>
    <row r="1997">
      <c r="A1997" s="28">
        <v>33.0</v>
      </c>
      <c r="B1997" s="28">
        <v>60.0</v>
      </c>
      <c r="C1997" s="28">
        <v>53.4923732810709</v>
      </c>
      <c r="D1997" s="28">
        <v>10.0034685177404</v>
      </c>
      <c r="E1997" s="28" t="s">
        <v>25</v>
      </c>
      <c r="F1997" s="28" t="s">
        <v>14</v>
      </c>
      <c r="G1997" s="29" t="s">
        <v>164</v>
      </c>
      <c r="H1997" s="35" t="s">
        <v>944</v>
      </c>
      <c r="J1997" s="31">
        <f t="shared" si="9"/>
        <v>133</v>
      </c>
    </row>
    <row r="1998">
      <c r="A1998" s="28">
        <v>34.0</v>
      </c>
      <c r="B1998" s="28">
        <v>1.0</v>
      </c>
      <c r="C1998" s="28">
        <v>53.4929692009129</v>
      </c>
      <c r="D1998" s="28">
        <v>9.98924763544141</v>
      </c>
      <c r="E1998" s="28" t="s">
        <v>25</v>
      </c>
      <c r="F1998" s="28" t="s">
        <v>14</v>
      </c>
      <c r="G1998" s="29" t="s">
        <v>27</v>
      </c>
      <c r="H1998" s="30" t="str">
        <f>HYPERLINK("https://www.munzee.com/m/DarkHaribo/12288", "DarkHaribo/12288")</f>
        <v>DarkHaribo/12288</v>
      </c>
      <c r="J1998" s="31">
        <f t="shared" si="9"/>
        <v>103</v>
      </c>
    </row>
    <row r="1999">
      <c r="A1999" s="28">
        <v>34.0</v>
      </c>
      <c r="B1999" s="28">
        <v>2.0</v>
      </c>
      <c r="C1999" s="28">
        <v>53.4929566737375</v>
      </c>
      <c r="D1999" s="28">
        <v>9.98948831170491</v>
      </c>
      <c r="E1999" s="28" t="s">
        <v>15</v>
      </c>
      <c r="F1999" s="28" t="s">
        <v>168</v>
      </c>
      <c r="G1999" s="29" t="s">
        <v>722</v>
      </c>
      <c r="H1999" s="30" t="s">
        <v>945</v>
      </c>
      <c r="J1999" s="31">
        <f t="shared" si="9"/>
        <v>48</v>
      </c>
    </row>
    <row r="2000">
      <c r="A2000" s="28">
        <v>34.0</v>
      </c>
      <c r="B2000" s="28">
        <v>3.0</v>
      </c>
      <c r="C2000" s="28">
        <v>53.492944146562</v>
      </c>
      <c r="D2000" s="28">
        <v>9.98972898789736</v>
      </c>
      <c r="E2000" s="28" t="s">
        <v>15</v>
      </c>
      <c r="F2000" s="28" t="s">
        <v>168</v>
      </c>
      <c r="G2000" s="38"/>
      <c r="H2000" s="38"/>
      <c r="J2000" s="31">
        <f t="shared" si="9"/>
        <v>0</v>
      </c>
    </row>
    <row r="2001">
      <c r="A2001" s="28">
        <v>34.0</v>
      </c>
      <c r="B2001" s="28">
        <v>4.0</v>
      </c>
      <c r="C2001" s="28">
        <v>53.4929316193866</v>
      </c>
      <c r="D2001" s="28">
        <v>9.98996966401864</v>
      </c>
      <c r="E2001" s="28" t="s">
        <v>15</v>
      </c>
      <c r="F2001" s="28" t="s">
        <v>168</v>
      </c>
      <c r="G2001" s="38"/>
      <c r="H2001" s="38"/>
      <c r="J2001" s="31">
        <f t="shared" si="9"/>
        <v>0</v>
      </c>
    </row>
    <row r="2002">
      <c r="A2002" s="28">
        <v>34.0</v>
      </c>
      <c r="B2002" s="28">
        <v>5.0</v>
      </c>
      <c r="C2002" s="28">
        <v>53.4929190922111</v>
      </c>
      <c r="D2002" s="28">
        <v>9.99021034006887</v>
      </c>
      <c r="E2002" s="28" t="s">
        <v>15</v>
      </c>
      <c r="F2002" s="28" t="s">
        <v>168</v>
      </c>
      <c r="G2002" s="29" t="s">
        <v>30</v>
      </c>
      <c r="H2002" s="30" t="s">
        <v>946</v>
      </c>
      <c r="J2002" s="31">
        <f t="shared" si="9"/>
        <v>62</v>
      </c>
    </row>
    <row r="2003">
      <c r="A2003" s="28">
        <v>34.0</v>
      </c>
      <c r="B2003" s="28">
        <v>6.0</v>
      </c>
      <c r="C2003" s="28">
        <v>53.4929065650357</v>
      </c>
      <c r="D2003" s="28">
        <v>9.99045101604804</v>
      </c>
      <c r="E2003" s="28" t="s">
        <v>15</v>
      </c>
      <c r="F2003" s="28" t="s">
        <v>168</v>
      </c>
      <c r="G2003" s="29" t="s">
        <v>722</v>
      </c>
      <c r="H2003" s="30" t="s">
        <v>947</v>
      </c>
      <c r="J2003" s="31">
        <f t="shared" si="9"/>
        <v>48</v>
      </c>
    </row>
    <row r="2004">
      <c r="A2004" s="28">
        <v>34.0</v>
      </c>
      <c r="B2004" s="28">
        <v>7.0</v>
      </c>
      <c r="C2004" s="28">
        <v>53.4928940378602</v>
      </c>
      <c r="D2004" s="28">
        <v>9.99069169195604</v>
      </c>
      <c r="E2004" s="28" t="s">
        <v>25</v>
      </c>
      <c r="F2004" s="28" t="s">
        <v>14</v>
      </c>
      <c r="G2004" s="38"/>
      <c r="H2004" s="38"/>
      <c r="J2004" s="31">
        <f t="shared" si="9"/>
        <v>0</v>
      </c>
    </row>
    <row r="2005">
      <c r="A2005" s="28">
        <v>34.0</v>
      </c>
      <c r="B2005" s="28">
        <v>8.0</v>
      </c>
      <c r="C2005" s="28">
        <v>53.4928815106848</v>
      </c>
      <c r="D2005" s="28">
        <v>9.99093236779299</v>
      </c>
      <c r="E2005" s="28" t="s">
        <v>25</v>
      </c>
      <c r="F2005" s="28" t="s">
        <v>14</v>
      </c>
      <c r="G2005" s="38"/>
      <c r="H2005" s="38"/>
      <c r="J2005" s="31">
        <f t="shared" si="9"/>
        <v>0</v>
      </c>
    </row>
    <row r="2006">
      <c r="A2006" s="28">
        <v>34.0</v>
      </c>
      <c r="B2006" s="28">
        <v>9.0</v>
      </c>
      <c r="C2006" s="28">
        <v>53.4928689835093</v>
      </c>
      <c r="D2006" s="28">
        <v>9.99117304355888</v>
      </c>
      <c r="E2006" s="28" t="s">
        <v>25</v>
      </c>
      <c r="F2006" s="28" t="s">
        <v>14</v>
      </c>
      <c r="G2006" s="29" t="s">
        <v>722</v>
      </c>
      <c r="H2006" s="30" t="s">
        <v>948</v>
      </c>
      <c r="J2006" s="31">
        <f t="shared" si="9"/>
        <v>48</v>
      </c>
    </row>
    <row r="2007">
      <c r="A2007" s="28">
        <v>34.0</v>
      </c>
      <c r="B2007" s="28">
        <v>10.0</v>
      </c>
      <c r="C2007" s="28">
        <v>53.4928564563339</v>
      </c>
      <c r="D2007" s="28">
        <v>9.99141371925361</v>
      </c>
      <c r="E2007" s="28" t="s">
        <v>25</v>
      </c>
      <c r="F2007" s="28" t="s">
        <v>14</v>
      </c>
      <c r="G2007" s="38"/>
      <c r="H2007" s="38"/>
      <c r="J2007" s="31">
        <f t="shared" si="9"/>
        <v>0</v>
      </c>
    </row>
    <row r="2008">
      <c r="A2008" s="28">
        <v>34.0</v>
      </c>
      <c r="B2008" s="28">
        <v>11.0</v>
      </c>
      <c r="C2008" s="28">
        <v>53.4928439291584</v>
      </c>
      <c r="D2008" s="28">
        <v>9.99165439487728</v>
      </c>
      <c r="E2008" s="28" t="s">
        <v>25</v>
      </c>
      <c r="F2008" s="28" t="s">
        <v>14</v>
      </c>
      <c r="G2008" s="38"/>
      <c r="H2008" s="38"/>
      <c r="J2008" s="31">
        <f t="shared" si="9"/>
        <v>0</v>
      </c>
    </row>
    <row r="2009">
      <c r="A2009" s="28">
        <v>34.0</v>
      </c>
      <c r="B2009" s="28">
        <v>12.0</v>
      </c>
      <c r="C2009" s="28">
        <v>53.492831401983</v>
      </c>
      <c r="D2009" s="28">
        <v>9.99189507042979</v>
      </c>
      <c r="E2009" s="28" t="s">
        <v>25</v>
      </c>
      <c r="F2009" s="28" t="s">
        <v>14</v>
      </c>
      <c r="G2009" s="38"/>
      <c r="H2009" s="38"/>
      <c r="J2009" s="31">
        <f t="shared" si="9"/>
        <v>0</v>
      </c>
    </row>
    <row r="2010">
      <c r="A2010" s="28">
        <v>34.0</v>
      </c>
      <c r="B2010" s="28">
        <v>13.0</v>
      </c>
      <c r="C2010" s="28">
        <v>53.4928188748075</v>
      </c>
      <c r="D2010" s="28">
        <v>9.99213574591124</v>
      </c>
      <c r="E2010" s="28" t="s">
        <v>25</v>
      </c>
      <c r="F2010" s="28" t="s">
        <v>14</v>
      </c>
      <c r="G2010" s="29" t="s">
        <v>722</v>
      </c>
      <c r="H2010" s="30" t="s">
        <v>949</v>
      </c>
      <c r="J2010" s="31">
        <f t="shared" si="9"/>
        <v>48</v>
      </c>
    </row>
    <row r="2011">
      <c r="A2011" s="28">
        <v>34.0</v>
      </c>
      <c r="B2011" s="28">
        <v>14.0</v>
      </c>
      <c r="C2011" s="28">
        <v>53.4928063476321</v>
      </c>
      <c r="D2011" s="28">
        <v>9.99237642132163</v>
      </c>
      <c r="E2011" s="28" t="s">
        <v>25</v>
      </c>
      <c r="F2011" s="28" t="s">
        <v>14</v>
      </c>
      <c r="G2011" s="38"/>
      <c r="H2011" s="38"/>
      <c r="J2011" s="31">
        <f t="shared" si="9"/>
        <v>0</v>
      </c>
    </row>
    <row r="2012">
      <c r="A2012" s="28">
        <v>34.0</v>
      </c>
      <c r="B2012" s="28">
        <v>15.0</v>
      </c>
      <c r="C2012" s="28">
        <v>53.4927938204566</v>
      </c>
      <c r="D2012" s="28">
        <v>9.99261709666097</v>
      </c>
      <c r="E2012" s="28" t="s">
        <v>25</v>
      </c>
      <c r="F2012" s="28" t="s">
        <v>14</v>
      </c>
      <c r="G2012" s="38"/>
      <c r="H2012" s="38"/>
      <c r="J2012" s="31">
        <f t="shared" si="9"/>
        <v>0</v>
      </c>
    </row>
    <row r="2013">
      <c r="A2013" s="28">
        <v>34.0</v>
      </c>
      <c r="B2013" s="28">
        <v>16.0</v>
      </c>
      <c r="C2013" s="28">
        <v>53.4927812932812</v>
      </c>
      <c r="D2013" s="28">
        <v>9.99285777192915</v>
      </c>
      <c r="E2013" s="28" t="s">
        <v>25</v>
      </c>
      <c r="F2013" s="28" t="s">
        <v>14</v>
      </c>
      <c r="G2013" s="38"/>
      <c r="H2013" s="38"/>
      <c r="J2013" s="31">
        <f t="shared" si="9"/>
        <v>0</v>
      </c>
    </row>
    <row r="2014">
      <c r="A2014" s="28">
        <v>34.0</v>
      </c>
      <c r="B2014" s="28">
        <v>17.0</v>
      </c>
      <c r="C2014" s="28">
        <v>53.4927687661057</v>
      </c>
      <c r="D2014" s="28">
        <v>9.99309844712627</v>
      </c>
      <c r="E2014" s="28" t="s">
        <v>25</v>
      </c>
      <c r="F2014" s="28" t="s">
        <v>14</v>
      </c>
      <c r="G2014" s="38"/>
      <c r="H2014" s="38"/>
      <c r="J2014" s="31">
        <f t="shared" si="9"/>
        <v>0</v>
      </c>
    </row>
    <row r="2015">
      <c r="A2015" s="28">
        <v>34.0</v>
      </c>
      <c r="B2015" s="28">
        <v>18.0</v>
      </c>
      <c r="C2015" s="28">
        <v>53.4927562389302</v>
      </c>
      <c r="D2015" s="28">
        <v>9.99333912225233</v>
      </c>
      <c r="E2015" s="28" t="s">
        <v>25</v>
      </c>
      <c r="F2015" s="28" t="s">
        <v>14</v>
      </c>
      <c r="G2015" s="38"/>
      <c r="H2015" s="38"/>
      <c r="J2015" s="31">
        <f t="shared" si="9"/>
        <v>0</v>
      </c>
    </row>
    <row r="2016">
      <c r="A2016" s="28">
        <v>34.0</v>
      </c>
      <c r="B2016" s="28">
        <v>19.0</v>
      </c>
      <c r="C2016" s="28">
        <v>53.4927437117548</v>
      </c>
      <c r="D2016" s="28">
        <v>9.99357979730723</v>
      </c>
      <c r="E2016" s="28" t="s">
        <v>25</v>
      </c>
      <c r="F2016" s="28" t="s">
        <v>14</v>
      </c>
      <c r="G2016" s="38"/>
      <c r="H2016" s="38"/>
      <c r="J2016" s="31">
        <f t="shared" si="9"/>
        <v>0</v>
      </c>
    </row>
    <row r="2017">
      <c r="A2017" s="28">
        <v>34.0</v>
      </c>
      <c r="B2017" s="28">
        <v>20.0</v>
      </c>
      <c r="C2017" s="28">
        <v>53.4927311845794</v>
      </c>
      <c r="D2017" s="28">
        <v>9.99382047229107</v>
      </c>
      <c r="E2017" s="28" t="s">
        <v>25</v>
      </c>
      <c r="F2017" s="28" t="s">
        <v>14</v>
      </c>
      <c r="G2017" s="38"/>
      <c r="H2017" s="38"/>
      <c r="J2017" s="31">
        <f t="shared" si="9"/>
        <v>0</v>
      </c>
    </row>
    <row r="2018">
      <c r="A2018" s="28">
        <v>34.0</v>
      </c>
      <c r="B2018" s="28">
        <v>21.0</v>
      </c>
      <c r="C2018" s="28">
        <v>53.4927186574039</v>
      </c>
      <c r="D2018" s="28">
        <v>9.99406114720375</v>
      </c>
      <c r="E2018" s="28" t="s">
        <v>25</v>
      </c>
      <c r="F2018" s="28" t="s">
        <v>14</v>
      </c>
      <c r="G2018" s="38"/>
      <c r="H2018" s="38"/>
      <c r="J2018" s="31">
        <f t="shared" si="9"/>
        <v>0</v>
      </c>
    </row>
    <row r="2019">
      <c r="A2019" s="28">
        <v>34.0</v>
      </c>
      <c r="B2019" s="28">
        <v>22.0</v>
      </c>
      <c r="C2019" s="28">
        <v>53.4927061302285</v>
      </c>
      <c r="D2019" s="28">
        <v>9.99430182204537</v>
      </c>
      <c r="E2019" s="28" t="s">
        <v>25</v>
      </c>
      <c r="F2019" s="28" t="s">
        <v>14</v>
      </c>
      <c r="G2019" s="38"/>
      <c r="H2019" s="38"/>
      <c r="J2019" s="31">
        <f t="shared" si="9"/>
        <v>0</v>
      </c>
    </row>
    <row r="2020">
      <c r="A2020" s="28">
        <v>34.0</v>
      </c>
      <c r="B2020" s="28">
        <v>23.0</v>
      </c>
      <c r="C2020" s="28">
        <v>53.492693603053</v>
      </c>
      <c r="D2020" s="28">
        <v>9.99454249681593</v>
      </c>
      <c r="E2020" s="28" t="s">
        <v>25</v>
      </c>
      <c r="F2020" s="28" t="s">
        <v>14</v>
      </c>
      <c r="G2020" s="38"/>
      <c r="H2020" s="38"/>
      <c r="J2020" s="31">
        <f t="shared" si="9"/>
        <v>0</v>
      </c>
    </row>
    <row r="2021">
      <c r="A2021" s="28">
        <v>34.0</v>
      </c>
      <c r="B2021" s="28">
        <v>24.0</v>
      </c>
      <c r="C2021" s="28">
        <v>53.4926810758776</v>
      </c>
      <c r="D2021" s="28">
        <v>9.99478317151533</v>
      </c>
      <c r="E2021" s="28" t="s">
        <v>25</v>
      </c>
      <c r="F2021" s="28" t="s">
        <v>14</v>
      </c>
      <c r="G2021" s="38"/>
      <c r="H2021" s="38"/>
      <c r="J2021" s="31">
        <f t="shared" si="9"/>
        <v>0</v>
      </c>
    </row>
    <row r="2022">
      <c r="A2022" s="28">
        <v>34.0</v>
      </c>
      <c r="B2022" s="28">
        <v>25.0</v>
      </c>
      <c r="C2022" s="28">
        <v>53.4926685487021</v>
      </c>
      <c r="D2022" s="28">
        <v>9.99502384614368</v>
      </c>
      <c r="E2022" s="28" t="s">
        <v>25</v>
      </c>
      <c r="F2022" s="28" t="s">
        <v>14</v>
      </c>
      <c r="G2022" s="38"/>
      <c r="H2022" s="38"/>
      <c r="J2022" s="31">
        <f t="shared" si="9"/>
        <v>0</v>
      </c>
    </row>
    <row r="2023">
      <c r="A2023" s="28">
        <v>34.0</v>
      </c>
      <c r="B2023" s="28">
        <v>26.0</v>
      </c>
      <c r="C2023" s="28">
        <v>53.4926560215267</v>
      </c>
      <c r="D2023" s="28">
        <v>9.99526452070085</v>
      </c>
      <c r="E2023" s="28" t="s">
        <v>25</v>
      </c>
      <c r="F2023" s="28" t="s">
        <v>14</v>
      </c>
      <c r="G2023" s="38"/>
      <c r="H2023" s="38"/>
      <c r="J2023" s="31">
        <f t="shared" si="9"/>
        <v>0</v>
      </c>
    </row>
    <row r="2024">
      <c r="A2024" s="28">
        <v>34.0</v>
      </c>
      <c r="B2024" s="28">
        <v>27.0</v>
      </c>
      <c r="C2024" s="28">
        <v>53.4926434943512</v>
      </c>
      <c r="D2024" s="28">
        <v>9.99550519518697</v>
      </c>
      <c r="E2024" s="28" t="s">
        <v>25</v>
      </c>
      <c r="F2024" s="28" t="s">
        <v>14</v>
      </c>
      <c r="G2024" s="38"/>
      <c r="H2024" s="38"/>
      <c r="J2024" s="31">
        <f t="shared" si="9"/>
        <v>0</v>
      </c>
    </row>
    <row r="2025">
      <c r="A2025" s="28">
        <v>34.0</v>
      </c>
      <c r="B2025" s="28">
        <v>28.0</v>
      </c>
      <c r="C2025" s="28">
        <v>53.4926309671757</v>
      </c>
      <c r="D2025" s="28">
        <v>9.99574586960204</v>
      </c>
      <c r="E2025" s="28" t="s">
        <v>15</v>
      </c>
      <c r="F2025" s="28" t="s">
        <v>168</v>
      </c>
      <c r="G2025" s="29" t="s">
        <v>722</v>
      </c>
      <c r="H2025" s="30" t="s">
        <v>950</v>
      </c>
      <c r="J2025" s="31">
        <f t="shared" si="9"/>
        <v>48</v>
      </c>
    </row>
    <row r="2026">
      <c r="A2026" s="28">
        <v>34.0</v>
      </c>
      <c r="B2026" s="28">
        <v>29.0</v>
      </c>
      <c r="C2026" s="28">
        <v>53.4926184400003</v>
      </c>
      <c r="D2026" s="28">
        <v>9.99598654394594</v>
      </c>
      <c r="E2026" s="28" t="s">
        <v>15</v>
      </c>
      <c r="F2026" s="28" t="s">
        <v>168</v>
      </c>
      <c r="G2026" s="38"/>
      <c r="H2026" s="38"/>
      <c r="J2026" s="31">
        <f t="shared" si="9"/>
        <v>0</v>
      </c>
    </row>
    <row r="2027">
      <c r="A2027" s="28">
        <v>34.0</v>
      </c>
      <c r="B2027" s="28">
        <v>30.0</v>
      </c>
      <c r="C2027" s="28">
        <v>53.4926059128248</v>
      </c>
      <c r="D2027" s="28">
        <v>9.99622721821879</v>
      </c>
      <c r="E2027" s="28" t="s">
        <v>15</v>
      </c>
      <c r="F2027" s="28" t="s">
        <v>168</v>
      </c>
      <c r="G2027" s="38"/>
      <c r="H2027" s="38"/>
      <c r="J2027" s="31">
        <f t="shared" si="9"/>
        <v>0</v>
      </c>
    </row>
    <row r="2028">
      <c r="A2028" s="28">
        <v>34.0</v>
      </c>
      <c r="B2028" s="28">
        <v>31.0</v>
      </c>
      <c r="C2028" s="28">
        <v>53.4925933856494</v>
      </c>
      <c r="D2028" s="28">
        <v>9.99646789242058</v>
      </c>
      <c r="E2028" s="28" t="s">
        <v>15</v>
      </c>
      <c r="F2028" s="28" t="s">
        <v>168</v>
      </c>
      <c r="G2028" s="29" t="s">
        <v>722</v>
      </c>
      <c r="H2028" s="30" t="s">
        <v>951</v>
      </c>
      <c r="J2028" s="31">
        <f t="shared" si="9"/>
        <v>48</v>
      </c>
    </row>
    <row r="2029">
      <c r="A2029" s="28">
        <v>34.0</v>
      </c>
      <c r="B2029" s="28">
        <v>32.0</v>
      </c>
      <c r="C2029" s="28">
        <v>53.4925808584739</v>
      </c>
      <c r="D2029" s="28">
        <v>9.9967085665512</v>
      </c>
      <c r="E2029" s="28" t="s">
        <v>15</v>
      </c>
      <c r="F2029" s="28" t="s">
        <v>168</v>
      </c>
      <c r="G2029" s="38"/>
      <c r="H2029" s="38"/>
      <c r="J2029" s="31">
        <f t="shared" si="9"/>
        <v>0</v>
      </c>
    </row>
    <row r="2030">
      <c r="A2030" s="28">
        <v>34.0</v>
      </c>
      <c r="B2030" s="28">
        <v>33.0</v>
      </c>
      <c r="C2030" s="28">
        <v>53.4925683312985</v>
      </c>
      <c r="D2030" s="28">
        <v>9.99694924061077</v>
      </c>
      <c r="E2030" s="28" t="s">
        <v>25</v>
      </c>
      <c r="F2030" s="28" t="s">
        <v>14</v>
      </c>
      <c r="G2030" s="38"/>
      <c r="H2030" s="38"/>
      <c r="J2030" s="31">
        <f t="shared" si="9"/>
        <v>0</v>
      </c>
    </row>
    <row r="2031">
      <c r="A2031" s="28">
        <v>34.0</v>
      </c>
      <c r="B2031" s="28">
        <v>34.0</v>
      </c>
      <c r="C2031" s="28">
        <v>53.492555804123</v>
      </c>
      <c r="D2031" s="28">
        <v>9.99718991459929</v>
      </c>
      <c r="E2031" s="28" t="s">
        <v>25</v>
      </c>
      <c r="F2031" s="28" t="s">
        <v>14</v>
      </c>
      <c r="G2031" s="38"/>
      <c r="H2031" s="38"/>
      <c r="J2031" s="31">
        <f t="shared" si="9"/>
        <v>0</v>
      </c>
    </row>
    <row r="2032">
      <c r="A2032" s="28">
        <v>34.0</v>
      </c>
      <c r="B2032" s="28">
        <v>35.0</v>
      </c>
      <c r="C2032" s="28">
        <v>53.4925432769476</v>
      </c>
      <c r="D2032" s="28">
        <v>9.99743058851663</v>
      </c>
      <c r="E2032" s="28" t="s">
        <v>25</v>
      </c>
      <c r="F2032" s="28" t="s">
        <v>14</v>
      </c>
      <c r="G2032" s="38"/>
      <c r="H2032" s="38"/>
      <c r="J2032" s="31">
        <f t="shared" si="9"/>
        <v>0</v>
      </c>
    </row>
    <row r="2033">
      <c r="A2033" s="28">
        <v>34.0</v>
      </c>
      <c r="B2033" s="28">
        <v>36.0</v>
      </c>
      <c r="C2033" s="28">
        <v>53.4925307497721</v>
      </c>
      <c r="D2033" s="28">
        <v>9.99767126236292</v>
      </c>
      <c r="E2033" s="28" t="s">
        <v>25</v>
      </c>
      <c r="F2033" s="28" t="s">
        <v>14</v>
      </c>
      <c r="G2033" s="38"/>
      <c r="H2033" s="38"/>
      <c r="J2033" s="31">
        <f t="shared" si="9"/>
        <v>0</v>
      </c>
    </row>
    <row r="2034">
      <c r="A2034" s="28">
        <v>34.0</v>
      </c>
      <c r="B2034" s="28">
        <v>37.0</v>
      </c>
      <c r="C2034" s="28">
        <v>53.4925182225967</v>
      </c>
      <c r="D2034" s="28">
        <v>9.99791193613816</v>
      </c>
      <c r="E2034" s="28" t="s">
        <v>15</v>
      </c>
      <c r="F2034" s="28" t="s">
        <v>168</v>
      </c>
      <c r="G2034" s="29" t="s">
        <v>722</v>
      </c>
      <c r="H2034" s="35" t="s">
        <v>952</v>
      </c>
      <c r="J2034" s="31">
        <f t="shared" si="9"/>
        <v>48</v>
      </c>
    </row>
    <row r="2035">
      <c r="A2035" s="28">
        <v>34.0</v>
      </c>
      <c r="B2035" s="28">
        <v>38.0</v>
      </c>
      <c r="C2035" s="28">
        <v>53.4925056954212</v>
      </c>
      <c r="D2035" s="28">
        <v>9.99815260984223</v>
      </c>
      <c r="E2035" s="28" t="s">
        <v>25</v>
      </c>
      <c r="F2035" s="28" t="s">
        <v>14</v>
      </c>
      <c r="G2035" s="38"/>
      <c r="H2035" s="38"/>
      <c r="J2035" s="31">
        <f t="shared" si="9"/>
        <v>0</v>
      </c>
    </row>
    <row r="2036">
      <c r="A2036" s="28">
        <v>34.0</v>
      </c>
      <c r="B2036" s="28">
        <v>39.0</v>
      </c>
      <c r="C2036" s="28">
        <v>53.4924931682458</v>
      </c>
      <c r="D2036" s="28">
        <v>9.99839328347525</v>
      </c>
      <c r="E2036" s="28" t="s">
        <v>25</v>
      </c>
      <c r="F2036" s="28" t="s">
        <v>14</v>
      </c>
      <c r="G2036" s="38"/>
      <c r="H2036" s="38"/>
      <c r="J2036" s="31">
        <f t="shared" si="9"/>
        <v>0</v>
      </c>
    </row>
    <row r="2037">
      <c r="A2037" s="28">
        <v>34.0</v>
      </c>
      <c r="B2037" s="28">
        <v>40.0</v>
      </c>
      <c r="C2037" s="28">
        <v>53.4924806410704</v>
      </c>
      <c r="D2037" s="28">
        <v>9.99863395703721</v>
      </c>
      <c r="E2037" s="28" t="s">
        <v>25</v>
      </c>
      <c r="F2037" s="28" t="s">
        <v>14</v>
      </c>
      <c r="G2037" s="38"/>
      <c r="H2037" s="38"/>
      <c r="J2037" s="31">
        <f t="shared" si="9"/>
        <v>0</v>
      </c>
    </row>
    <row r="2038">
      <c r="A2038" s="28">
        <v>34.0</v>
      </c>
      <c r="B2038" s="28">
        <v>41.0</v>
      </c>
      <c r="C2038" s="28">
        <v>53.4924681138949</v>
      </c>
      <c r="D2038" s="28">
        <v>9.998874630528</v>
      </c>
      <c r="E2038" s="28" t="s">
        <v>25</v>
      </c>
      <c r="F2038" s="28" t="s">
        <v>14</v>
      </c>
      <c r="G2038" s="29" t="s">
        <v>722</v>
      </c>
      <c r="H2038" s="35" t="s">
        <v>953</v>
      </c>
      <c r="J2038" s="31">
        <f t="shared" si="9"/>
        <v>48</v>
      </c>
    </row>
    <row r="2039">
      <c r="A2039" s="28">
        <v>34.0</v>
      </c>
      <c r="B2039" s="28">
        <v>42.0</v>
      </c>
      <c r="C2039" s="28">
        <v>53.4924555867195</v>
      </c>
      <c r="D2039" s="28">
        <v>9.99911530394774</v>
      </c>
      <c r="E2039" s="28" t="s">
        <v>25</v>
      </c>
      <c r="F2039" s="28" t="s">
        <v>14</v>
      </c>
      <c r="G2039" s="38"/>
      <c r="H2039" s="38"/>
      <c r="J2039" s="31">
        <f t="shared" si="9"/>
        <v>0</v>
      </c>
    </row>
    <row r="2040">
      <c r="A2040" s="28">
        <v>34.0</v>
      </c>
      <c r="B2040" s="28">
        <v>43.0</v>
      </c>
      <c r="C2040" s="28">
        <v>53.492443059544</v>
      </c>
      <c r="D2040" s="28">
        <v>9.99935597729643</v>
      </c>
      <c r="E2040" s="28" t="s">
        <v>25</v>
      </c>
      <c r="F2040" s="28" t="s">
        <v>14</v>
      </c>
      <c r="G2040" s="38"/>
      <c r="H2040" s="38"/>
      <c r="J2040" s="31">
        <f t="shared" si="9"/>
        <v>0</v>
      </c>
    </row>
    <row r="2041">
      <c r="A2041" s="28">
        <v>34.0</v>
      </c>
      <c r="B2041" s="28">
        <v>44.0</v>
      </c>
      <c r="C2041" s="28">
        <v>53.4924305323686</v>
      </c>
      <c r="D2041" s="28">
        <v>9.99959665057394</v>
      </c>
      <c r="E2041" s="28" t="s">
        <v>25</v>
      </c>
      <c r="F2041" s="28" t="s">
        <v>14</v>
      </c>
      <c r="G2041" s="29" t="s">
        <v>722</v>
      </c>
      <c r="H2041" s="30" t="s">
        <v>954</v>
      </c>
      <c r="J2041" s="31">
        <f t="shared" si="9"/>
        <v>48</v>
      </c>
    </row>
    <row r="2042">
      <c r="A2042" s="28">
        <v>34.0</v>
      </c>
      <c r="B2042" s="28">
        <v>45.0</v>
      </c>
      <c r="C2042" s="28">
        <v>53.4924180051931</v>
      </c>
      <c r="D2042" s="28">
        <v>9.99983732378041</v>
      </c>
      <c r="E2042" s="28" t="s">
        <v>25</v>
      </c>
      <c r="F2042" s="28" t="s">
        <v>14</v>
      </c>
      <c r="G2042" s="38"/>
      <c r="H2042" s="38"/>
      <c r="J2042" s="31">
        <f t="shared" si="9"/>
        <v>0</v>
      </c>
    </row>
    <row r="2043">
      <c r="A2043" s="28">
        <v>34.0</v>
      </c>
      <c r="B2043" s="28">
        <v>46.0</v>
      </c>
      <c r="C2043" s="28">
        <v>53.4924054780177</v>
      </c>
      <c r="D2043" s="28">
        <v>10.0000779969157</v>
      </c>
      <c r="E2043" s="28" t="s">
        <v>25</v>
      </c>
      <c r="F2043" s="28" t="s">
        <v>14</v>
      </c>
      <c r="G2043" s="38"/>
      <c r="H2043" s="38"/>
      <c r="J2043" s="31">
        <f t="shared" si="9"/>
        <v>0</v>
      </c>
    </row>
    <row r="2044">
      <c r="A2044" s="28">
        <v>34.0</v>
      </c>
      <c r="B2044" s="28">
        <v>47.0</v>
      </c>
      <c r="C2044" s="28">
        <v>53.4923929508422</v>
      </c>
      <c r="D2044" s="28">
        <v>10.0003186699799</v>
      </c>
      <c r="E2044" s="28" t="s">
        <v>15</v>
      </c>
      <c r="F2044" s="28" t="s">
        <v>168</v>
      </c>
      <c r="G2044" s="29" t="s">
        <v>722</v>
      </c>
      <c r="H2044" s="30" t="s">
        <v>955</v>
      </c>
      <c r="J2044" s="31">
        <f t="shared" si="9"/>
        <v>48</v>
      </c>
    </row>
    <row r="2045">
      <c r="A2045" s="28">
        <v>34.0</v>
      </c>
      <c r="B2045" s="28">
        <v>48.0</v>
      </c>
      <c r="C2045" s="28">
        <v>53.4923804236668</v>
      </c>
      <c r="D2045" s="28">
        <v>10.0005593429731</v>
      </c>
      <c r="E2045" s="28" t="s">
        <v>15</v>
      </c>
      <c r="F2045" s="28" t="s">
        <v>168</v>
      </c>
      <c r="G2045" s="38"/>
      <c r="H2045" s="38"/>
      <c r="J2045" s="31">
        <f t="shared" si="9"/>
        <v>0</v>
      </c>
    </row>
    <row r="2046">
      <c r="A2046" s="28">
        <v>34.0</v>
      </c>
      <c r="B2046" s="28">
        <v>49.0</v>
      </c>
      <c r="C2046" s="28">
        <v>53.4923678964913</v>
      </c>
      <c r="D2046" s="28">
        <v>10.0008000158952</v>
      </c>
      <c r="E2046" s="28" t="s">
        <v>15</v>
      </c>
      <c r="F2046" s="28" t="s">
        <v>168</v>
      </c>
      <c r="G2046" s="38"/>
      <c r="H2046" s="38"/>
      <c r="J2046" s="31">
        <f t="shared" si="9"/>
        <v>0</v>
      </c>
    </row>
    <row r="2047">
      <c r="A2047" s="28">
        <v>34.0</v>
      </c>
      <c r="B2047" s="28">
        <v>50.0</v>
      </c>
      <c r="C2047" s="28">
        <v>53.4923553693159</v>
      </c>
      <c r="D2047" s="28">
        <v>10.0010406887462</v>
      </c>
      <c r="E2047" s="28" t="s">
        <v>15</v>
      </c>
      <c r="F2047" s="28" t="s">
        <v>168</v>
      </c>
      <c r="G2047" s="29" t="s">
        <v>722</v>
      </c>
      <c r="H2047" s="30" t="s">
        <v>956</v>
      </c>
      <c r="J2047" s="31">
        <f t="shared" si="9"/>
        <v>48</v>
      </c>
    </row>
    <row r="2048">
      <c r="A2048" s="28">
        <v>34.0</v>
      </c>
      <c r="B2048" s="28">
        <v>51.0</v>
      </c>
      <c r="C2048" s="28">
        <v>53.4923428421404</v>
      </c>
      <c r="D2048" s="28">
        <v>10.0012813615261</v>
      </c>
      <c r="E2048" s="28" t="s">
        <v>15</v>
      </c>
      <c r="F2048" s="28" t="s">
        <v>168</v>
      </c>
      <c r="G2048" s="38"/>
      <c r="H2048" s="38"/>
      <c r="J2048" s="31">
        <f t="shared" si="9"/>
        <v>0</v>
      </c>
    </row>
    <row r="2049">
      <c r="A2049" s="28">
        <v>34.0</v>
      </c>
      <c r="B2049" s="28">
        <v>52.0</v>
      </c>
      <c r="C2049" s="28">
        <v>53.492330314965</v>
      </c>
      <c r="D2049" s="28">
        <v>10.0015220342349</v>
      </c>
      <c r="E2049" s="28" t="s">
        <v>15</v>
      </c>
      <c r="F2049" s="28" t="s">
        <v>168</v>
      </c>
      <c r="G2049" s="38"/>
      <c r="H2049" s="38"/>
      <c r="J2049" s="31">
        <f t="shared" si="9"/>
        <v>0</v>
      </c>
    </row>
    <row r="2050">
      <c r="A2050" s="28">
        <v>34.0</v>
      </c>
      <c r="B2050" s="28">
        <v>53.0</v>
      </c>
      <c r="C2050" s="28">
        <v>53.4923177877895</v>
      </c>
      <c r="D2050" s="28">
        <v>10.0017627068726</v>
      </c>
      <c r="E2050" s="28" t="s">
        <v>15</v>
      </c>
      <c r="F2050" s="28" t="s">
        <v>168</v>
      </c>
      <c r="G2050" s="38"/>
      <c r="H2050" s="38"/>
      <c r="J2050" s="31">
        <f t="shared" si="9"/>
        <v>0</v>
      </c>
    </row>
    <row r="2051">
      <c r="A2051" s="28">
        <v>34.0</v>
      </c>
      <c r="B2051" s="28">
        <v>54.0</v>
      </c>
      <c r="C2051" s="28">
        <v>53.4923052606141</v>
      </c>
      <c r="D2051" s="28">
        <v>10.0020033794393</v>
      </c>
      <c r="E2051" s="28" t="s">
        <v>15</v>
      </c>
      <c r="F2051" s="28" t="s">
        <v>168</v>
      </c>
      <c r="G2051" s="38"/>
      <c r="H2051" s="38"/>
      <c r="J2051" s="31">
        <f t="shared" si="9"/>
        <v>0</v>
      </c>
    </row>
    <row r="2052">
      <c r="A2052" s="28">
        <v>34.0</v>
      </c>
      <c r="B2052" s="28">
        <v>55.0</v>
      </c>
      <c r="C2052" s="28">
        <v>53.4922927334386</v>
      </c>
      <c r="D2052" s="28">
        <v>10.0022440519348</v>
      </c>
      <c r="E2052" s="28" t="s">
        <v>15</v>
      </c>
      <c r="F2052" s="28" t="s">
        <v>168</v>
      </c>
      <c r="G2052" s="38"/>
      <c r="H2052" s="38"/>
      <c r="J2052" s="31">
        <f t="shared" si="9"/>
        <v>0</v>
      </c>
    </row>
    <row r="2053">
      <c r="A2053" s="28">
        <v>34.0</v>
      </c>
      <c r="B2053" s="28">
        <v>56.0</v>
      </c>
      <c r="C2053" s="28">
        <v>53.4922802062632</v>
      </c>
      <c r="D2053" s="28">
        <v>10.0024847243593</v>
      </c>
      <c r="E2053" s="28" t="s">
        <v>15</v>
      </c>
      <c r="F2053" s="28" t="s">
        <v>168</v>
      </c>
      <c r="G2053" s="38"/>
      <c r="H2053" s="38"/>
      <c r="J2053" s="31">
        <f t="shared" si="9"/>
        <v>0</v>
      </c>
    </row>
    <row r="2054">
      <c r="A2054" s="28">
        <v>34.0</v>
      </c>
      <c r="B2054" s="28">
        <v>57.0</v>
      </c>
      <c r="C2054" s="28">
        <v>53.4922676790877</v>
      </c>
      <c r="D2054" s="28">
        <v>10.0027253967126</v>
      </c>
      <c r="E2054" s="28" t="s">
        <v>15</v>
      </c>
      <c r="F2054" s="28" t="s">
        <v>168</v>
      </c>
      <c r="G2054" s="38"/>
      <c r="H2054" s="38"/>
      <c r="J2054" s="31">
        <f t="shared" si="9"/>
        <v>0</v>
      </c>
    </row>
    <row r="2055">
      <c r="A2055" s="28">
        <v>34.0</v>
      </c>
      <c r="B2055" s="28">
        <v>58.0</v>
      </c>
      <c r="C2055" s="28">
        <v>53.4922551519123</v>
      </c>
      <c r="D2055" s="28">
        <v>10.0029660689949</v>
      </c>
      <c r="E2055" s="28" t="s">
        <v>15</v>
      </c>
      <c r="F2055" s="28" t="s">
        <v>168</v>
      </c>
      <c r="G2055" s="29" t="s">
        <v>170</v>
      </c>
      <c r="H2055" s="30" t="s">
        <v>957</v>
      </c>
      <c r="J2055" s="31">
        <f t="shared" si="9"/>
        <v>5</v>
      </c>
    </row>
    <row r="2056">
      <c r="A2056" s="28">
        <v>34.0</v>
      </c>
      <c r="B2056" s="28">
        <v>59.0</v>
      </c>
      <c r="C2056" s="28">
        <v>53.4922426247369</v>
      </c>
      <c r="D2056" s="28">
        <v>10.0032067412061</v>
      </c>
      <c r="E2056" s="28" t="s">
        <v>15</v>
      </c>
      <c r="F2056" s="28" t="s">
        <v>168</v>
      </c>
      <c r="G2056" s="29" t="s">
        <v>958</v>
      </c>
      <c r="H2056" s="30" t="s">
        <v>959</v>
      </c>
      <c r="J2056" s="31">
        <f t="shared" si="9"/>
        <v>1</v>
      </c>
    </row>
    <row r="2057">
      <c r="A2057" s="28">
        <v>34.0</v>
      </c>
      <c r="B2057" s="28">
        <v>60.0</v>
      </c>
      <c r="C2057" s="28">
        <v>53.4922300975614</v>
      </c>
      <c r="D2057" s="28">
        <v>10.0034474133461</v>
      </c>
      <c r="E2057" s="28" t="s">
        <v>25</v>
      </c>
      <c r="F2057" s="28" t="s">
        <v>14</v>
      </c>
      <c r="G2057" s="29" t="s">
        <v>27</v>
      </c>
      <c r="H2057" s="30" t="str">
        <f>HYPERLINK("https://www.munzee.com/m/DarkHaribo/12442", "DarkHaribo/12442")</f>
        <v>DarkHaribo/12442</v>
      </c>
      <c r="J2057" s="31">
        <f t="shared" si="9"/>
        <v>103</v>
      </c>
    </row>
    <row r="2058">
      <c r="A2058" s="28">
        <v>35.0</v>
      </c>
      <c r="B2058" s="28">
        <v>1.0</v>
      </c>
      <c r="C2058" s="28">
        <v>53.4928260174033</v>
      </c>
      <c r="D2058" s="28">
        <v>9.98922657906166</v>
      </c>
      <c r="E2058" s="28" t="s">
        <v>25</v>
      </c>
      <c r="F2058" s="28" t="s">
        <v>14</v>
      </c>
      <c r="G2058" s="38"/>
      <c r="H2058" s="38"/>
      <c r="J2058" s="31">
        <f t="shared" si="9"/>
        <v>0</v>
      </c>
    </row>
    <row r="2059">
      <c r="A2059" s="28">
        <v>35.0</v>
      </c>
      <c r="B2059" s="28">
        <v>2.0</v>
      </c>
      <c r="C2059" s="28">
        <v>53.4928134902279</v>
      </c>
      <c r="D2059" s="28">
        <v>9.98946725451264</v>
      </c>
      <c r="E2059" s="28" t="s">
        <v>15</v>
      </c>
      <c r="F2059" s="28" t="s">
        <v>168</v>
      </c>
      <c r="G2059" s="29" t="s">
        <v>364</v>
      </c>
      <c r="H2059" s="36" t="s">
        <v>960</v>
      </c>
      <c r="J2059" s="31">
        <f t="shared" si="9"/>
        <v>17</v>
      </c>
    </row>
    <row r="2060">
      <c r="A2060" s="28">
        <v>35.0</v>
      </c>
      <c r="B2060" s="28">
        <v>3.0</v>
      </c>
      <c r="C2060" s="28">
        <v>53.4928009630524</v>
      </c>
      <c r="D2060" s="28">
        <v>9.98970792989246</v>
      </c>
      <c r="E2060" s="28" t="s">
        <v>15</v>
      </c>
      <c r="F2060" s="28" t="s">
        <v>168</v>
      </c>
      <c r="G2060" s="29" t="s">
        <v>164</v>
      </c>
      <c r="H2060" s="35" t="s">
        <v>961</v>
      </c>
      <c r="J2060" s="31">
        <f t="shared" si="9"/>
        <v>133</v>
      </c>
    </row>
    <row r="2061">
      <c r="A2061" s="28">
        <v>35.0</v>
      </c>
      <c r="B2061" s="28">
        <v>4.0</v>
      </c>
      <c r="C2061" s="28">
        <v>53.492788435877</v>
      </c>
      <c r="D2061" s="28">
        <v>9.98994860520122</v>
      </c>
      <c r="E2061" s="28" t="s">
        <v>15</v>
      </c>
      <c r="F2061" s="28" t="s">
        <v>168</v>
      </c>
      <c r="G2061" s="38"/>
      <c r="H2061" s="38"/>
      <c r="J2061" s="31">
        <f t="shared" si="9"/>
        <v>0</v>
      </c>
    </row>
    <row r="2062">
      <c r="A2062" s="28">
        <v>35.0</v>
      </c>
      <c r="B2062" s="28">
        <v>5.0</v>
      </c>
      <c r="C2062" s="28">
        <v>53.4927759087016</v>
      </c>
      <c r="D2062" s="28">
        <v>9.99018928043881</v>
      </c>
      <c r="E2062" s="28" t="s">
        <v>15</v>
      </c>
      <c r="F2062" s="28" t="s">
        <v>168</v>
      </c>
      <c r="G2062" s="29" t="s">
        <v>364</v>
      </c>
      <c r="H2062" s="36" t="s">
        <v>962</v>
      </c>
      <c r="J2062" s="31">
        <f t="shared" si="9"/>
        <v>17</v>
      </c>
    </row>
    <row r="2063">
      <c r="A2063" s="28">
        <v>35.0</v>
      </c>
      <c r="B2063" s="28">
        <v>6.0</v>
      </c>
      <c r="C2063" s="28">
        <v>53.4927633815261</v>
      </c>
      <c r="D2063" s="28">
        <v>9.99042995560535</v>
      </c>
      <c r="E2063" s="28" t="s">
        <v>25</v>
      </c>
      <c r="F2063" s="28" t="s">
        <v>14</v>
      </c>
      <c r="G2063" s="38"/>
      <c r="H2063" s="38"/>
      <c r="J2063" s="31">
        <f t="shared" si="9"/>
        <v>0</v>
      </c>
    </row>
    <row r="2064">
      <c r="A2064" s="28">
        <v>35.0</v>
      </c>
      <c r="B2064" s="28">
        <v>7.0</v>
      </c>
      <c r="C2064" s="28">
        <v>53.4927508543506</v>
      </c>
      <c r="D2064" s="28">
        <v>9.99067063070083</v>
      </c>
      <c r="E2064" s="28" t="s">
        <v>25</v>
      </c>
      <c r="F2064" s="28" t="s">
        <v>14</v>
      </c>
      <c r="G2064" s="38"/>
      <c r="H2064" s="38"/>
      <c r="J2064" s="31">
        <f t="shared" si="9"/>
        <v>0</v>
      </c>
    </row>
    <row r="2065">
      <c r="A2065" s="28">
        <v>35.0</v>
      </c>
      <c r="B2065" s="28">
        <v>8.0</v>
      </c>
      <c r="C2065" s="28">
        <v>53.4927383271752</v>
      </c>
      <c r="D2065" s="28">
        <v>9.99091130572514</v>
      </c>
      <c r="E2065" s="28" t="s">
        <v>25</v>
      </c>
      <c r="F2065" s="28" t="s">
        <v>14</v>
      </c>
      <c r="G2065" s="38"/>
      <c r="H2065" s="38"/>
      <c r="J2065" s="31">
        <f t="shared" si="9"/>
        <v>0</v>
      </c>
    </row>
    <row r="2066">
      <c r="A2066" s="28">
        <v>35.0</v>
      </c>
      <c r="B2066" s="28">
        <v>9.0</v>
      </c>
      <c r="C2066" s="28">
        <v>53.4927257999997</v>
      </c>
      <c r="D2066" s="28">
        <v>9.99115198067841</v>
      </c>
      <c r="E2066" s="28" t="s">
        <v>25</v>
      </c>
      <c r="F2066" s="28" t="s">
        <v>14</v>
      </c>
      <c r="G2066" s="38"/>
      <c r="H2066" s="38"/>
      <c r="J2066" s="31">
        <f t="shared" si="9"/>
        <v>0</v>
      </c>
    </row>
    <row r="2067">
      <c r="A2067" s="28">
        <v>35.0</v>
      </c>
      <c r="B2067" s="28">
        <v>10.0</v>
      </c>
      <c r="C2067" s="28">
        <v>53.4927132728243</v>
      </c>
      <c r="D2067" s="28">
        <v>9.9913926555605</v>
      </c>
      <c r="E2067" s="28" t="s">
        <v>25</v>
      </c>
      <c r="F2067" s="28" t="s">
        <v>14</v>
      </c>
      <c r="G2067" s="38"/>
      <c r="H2067" s="38"/>
      <c r="J2067" s="31">
        <f t="shared" si="9"/>
        <v>0</v>
      </c>
    </row>
    <row r="2068">
      <c r="A2068" s="28">
        <v>35.0</v>
      </c>
      <c r="B2068" s="28">
        <v>11.0</v>
      </c>
      <c r="C2068" s="28">
        <v>53.4927007456488</v>
      </c>
      <c r="D2068" s="28">
        <v>9.99163333037154</v>
      </c>
      <c r="E2068" s="28" t="s">
        <v>25</v>
      </c>
      <c r="F2068" s="28" t="s">
        <v>14</v>
      </c>
      <c r="G2068" s="38"/>
      <c r="H2068" s="38"/>
      <c r="J2068" s="31">
        <f t="shared" si="9"/>
        <v>0</v>
      </c>
    </row>
    <row r="2069">
      <c r="A2069" s="28">
        <v>35.0</v>
      </c>
      <c r="B2069" s="28">
        <v>12.0</v>
      </c>
      <c r="C2069" s="28">
        <v>53.4926882184734</v>
      </c>
      <c r="D2069" s="28">
        <v>9.99187400511152</v>
      </c>
      <c r="E2069" s="28" t="s">
        <v>25</v>
      </c>
      <c r="F2069" s="28" t="s">
        <v>14</v>
      </c>
      <c r="G2069" s="38"/>
      <c r="H2069" s="38"/>
      <c r="J2069" s="31">
        <f t="shared" si="9"/>
        <v>0</v>
      </c>
    </row>
    <row r="2070">
      <c r="A2070" s="28">
        <v>35.0</v>
      </c>
      <c r="B2070" s="28">
        <v>13.0</v>
      </c>
      <c r="C2070" s="28">
        <v>53.492675691298</v>
      </c>
      <c r="D2070" s="28">
        <v>9.99211467978034</v>
      </c>
      <c r="E2070" s="28" t="s">
        <v>25</v>
      </c>
      <c r="F2070" s="28" t="s">
        <v>14</v>
      </c>
      <c r="G2070" s="38"/>
      <c r="H2070" s="38"/>
      <c r="J2070" s="31">
        <f t="shared" si="9"/>
        <v>0</v>
      </c>
    </row>
    <row r="2071">
      <c r="A2071" s="28">
        <v>35.0</v>
      </c>
      <c r="B2071" s="28">
        <v>14.0</v>
      </c>
      <c r="C2071" s="28">
        <v>53.4926631641225</v>
      </c>
      <c r="D2071" s="28">
        <v>9.9923553543781</v>
      </c>
      <c r="E2071" s="28" t="s">
        <v>25</v>
      </c>
      <c r="F2071" s="28" t="s">
        <v>14</v>
      </c>
      <c r="G2071" s="38"/>
      <c r="H2071" s="38"/>
      <c r="J2071" s="31">
        <f t="shared" si="9"/>
        <v>0</v>
      </c>
    </row>
    <row r="2072">
      <c r="A2072" s="28">
        <v>35.0</v>
      </c>
      <c r="B2072" s="28">
        <v>15.0</v>
      </c>
      <c r="C2072" s="28">
        <v>53.4926506369471</v>
      </c>
      <c r="D2072" s="28">
        <v>9.99259602890481</v>
      </c>
      <c r="E2072" s="28" t="s">
        <v>25</v>
      </c>
      <c r="F2072" s="28" t="s">
        <v>14</v>
      </c>
      <c r="G2072" s="38"/>
      <c r="H2072" s="38"/>
      <c r="J2072" s="31">
        <f t="shared" si="9"/>
        <v>0</v>
      </c>
    </row>
    <row r="2073">
      <c r="A2073" s="28">
        <v>35.0</v>
      </c>
      <c r="B2073" s="28">
        <v>16.0</v>
      </c>
      <c r="C2073" s="28">
        <v>53.4926381097716</v>
      </c>
      <c r="D2073" s="28">
        <v>9.99283670336035</v>
      </c>
      <c r="E2073" s="28" t="s">
        <v>25</v>
      </c>
      <c r="F2073" s="28" t="s">
        <v>14</v>
      </c>
      <c r="G2073" s="38"/>
      <c r="H2073" s="38"/>
      <c r="J2073" s="31">
        <f t="shared" si="9"/>
        <v>0</v>
      </c>
    </row>
    <row r="2074">
      <c r="A2074" s="28">
        <v>35.0</v>
      </c>
      <c r="B2074" s="28">
        <v>17.0</v>
      </c>
      <c r="C2074" s="28">
        <v>53.4926255825962</v>
      </c>
      <c r="D2074" s="28">
        <v>9.99307737774484</v>
      </c>
      <c r="E2074" s="28" t="s">
        <v>25</v>
      </c>
      <c r="F2074" s="28" t="s">
        <v>14</v>
      </c>
      <c r="G2074" s="38"/>
      <c r="H2074" s="38"/>
      <c r="J2074" s="31">
        <f t="shared" si="9"/>
        <v>0</v>
      </c>
    </row>
    <row r="2075">
      <c r="A2075" s="28">
        <v>35.0</v>
      </c>
      <c r="B2075" s="28">
        <v>18.0</v>
      </c>
      <c r="C2075" s="28">
        <v>53.4926130554207</v>
      </c>
      <c r="D2075" s="28">
        <v>9.99331805205827</v>
      </c>
      <c r="E2075" s="28" t="s">
        <v>25</v>
      </c>
      <c r="F2075" s="28" t="s">
        <v>14</v>
      </c>
      <c r="G2075" s="38"/>
      <c r="H2075" s="38"/>
      <c r="J2075" s="31">
        <f t="shared" si="9"/>
        <v>0</v>
      </c>
    </row>
    <row r="2076">
      <c r="A2076" s="28">
        <v>35.0</v>
      </c>
      <c r="B2076" s="28">
        <v>19.0</v>
      </c>
      <c r="C2076" s="28">
        <v>53.4926005282453</v>
      </c>
      <c r="D2076" s="28">
        <v>9.99355872630053</v>
      </c>
      <c r="E2076" s="28" t="s">
        <v>25</v>
      </c>
      <c r="F2076" s="28" t="s">
        <v>14</v>
      </c>
      <c r="G2076" s="38"/>
      <c r="H2076" s="38"/>
      <c r="J2076" s="31">
        <f t="shared" si="9"/>
        <v>0</v>
      </c>
    </row>
    <row r="2077">
      <c r="A2077" s="28">
        <v>35.0</v>
      </c>
      <c r="B2077" s="28">
        <v>20.0</v>
      </c>
      <c r="C2077" s="28">
        <v>53.4925880010698</v>
      </c>
      <c r="D2077" s="28">
        <v>9.99379940047174</v>
      </c>
      <c r="E2077" s="28" t="s">
        <v>25</v>
      </c>
      <c r="F2077" s="28" t="s">
        <v>14</v>
      </c>
      <c r="G2077" s="38"/>
      <c r="H2077" s="38"/>
      <c r="J2077" s="31">
        <f t="shared" si="9"/>
        <v>0</v>
      </c>
    </row>
    <row r="2078">
      <c r="A2078" s="28">
        <v>35.0</v>
      </c>
      <c r="B2078" s="28">
        <v>21.0</v>
      </c>
      <c r="C2078" s="28">
        <v>53.4925754738944</v>
      </c>
      <c r="D2078" s="28">
        <v>9.99404007457189</v>
      </c>
      <c r="E2078" s="28" t="s">
        <v>15</v>
      </c>
      <c r="F2078" s="28" t="s">
        <v>168</v>
      </c>
      <c r="G2078" s="29" t="s">
        <v>364</v>
      </c>
      <c r="H2078" s="36" t="s">
        <v>963</v>
      </c>
      <c r="J2078" s="31">
        <f t="shared" si="9"/>
        <v>17</v>
      </c>
    </row>
    <row r="2079">
      <c r="A2079" s="28">
        <v>35.0</v>
      </c>
      <c r="B2079" s="28">
        <v>22.0</v>
      </c>
      <c r="C2079" s="28">
        <v>53.4925629467189</v>
      </c>
      <c r="D2079" s="28">
        <v>9.99428074860088</v>
      </c>
      <c r="E2079" s="28" t="s">
        <v>15</v>
      </c>
      <c r="F2079" s="28" t="s">
        <v>168</v>
      </c>
      <c r="G2079" s="29" t="s">
        <v>164</v>
      </c>
      <c r="H2079" s="35" t="s">
        <v>964</v>
      </c>
      <c r="J2079" s="31">
        <f t="shared" si="9"/>
        <v>133</v>
      </c>
    </row>
    <row r="2080">
      <c r="A2080" s="28">
        <v>35.0</v>
      </c>
      <c r="B2080" s="28">
        <v>23.0</v>
      </c>
      <c r="C2080" s="28">
        <v>53.4925504195435</v>
      </c>
      <c r="D2080" s="28">
        <v>9.99452142255881</v>
      </c>
      <c r="E2080" s="28" t="s">
        <v>15</v>
      </c>
      <c r="F2080" s="28" t="s">
        <v>168</v>
      </c>
      <c r="G2080" s="38"/>
      <c r="H2080" s="38"/>
      <c r="J2080" s="31">
        <f t="shared" si="9"/>
        <v>0</v>
      </c>
    </row>
    <row r="2081">
      <c r="A2081" s="28">
        <v>35.0</v>
      </c>
      <c r="B2081" s="28">
        <v>24.0</v>
      </c>
      <c r="C2081" s="28">
        <v>53.492537892368</v>
      </c>
      <c r="D2081" s="28">
        <v>9.99476209644558</v>
      </c>
      <c r="E2081" s="28" t="s">
        <v>25</v>
      </c>
      <c r="F2081" s="28" t="s">
        <v>14</v>
      </c>
      <c r="G2081" s="38"/>
      <c r="H2081" s="38"/>
      <c r="J2081" s="31">
        <f t="shared" si="9"/>
        <v>0</v>
      </c>
    </row>
    <row r="2082">
      <c r="A2082" s="28">
        <v>35.0</v>
      </c>
      <c r="B2082" s="28">
        <v>25.0</v>
      </c>
      <c r="C2082" s="28">
        <v>53.4925253651926</v>
      </c>
      <c r="D2082" s="28">
        <v>9.99500277026129</v>
      </c>
      <c r="E2082" s="28" t="s">
        <v>25</v>
      </c>
      <c r="F2082" s="28" t="s">
        <v>14</v>
      </c>
      <c r="G2082" s="38"/>
      <c r="H2082" s="38"/>
      <c r="J2082" s="31">
        <f t="shared" si="9"/>
        <v>0</v>
      </c>
    </row>
    <row r="2083">
      <c r="A2083" s="28">
        <v>35.0</v>
      </c>
      <c r="B2083" s="28">
        <v>26.0</v>
      </c>
      <c r="C2083" s="28">
        <v>53.4925128380171</v>
      </c>
      <c r="D2083" s="28">
        <v>9.99524344400595</v>
      </c>
      <c r="E2083" s="28" t="s">
        <v>25</v>
      </c>
      <c r="F2083" s="28" t="s">
        <v>14</v>
      </c>
      <c r="G2083" s="38"/>
      <c r="H2083" s="38"/>
      <c r="J2083" s="31">
        <f t="shared" si="9"/>
        <v>0</v>
      </c>
    </row>
    <row r="2084">
      <c r="A2084" s="28">
        <v>35.0</v>
      </c>
      <c r="B2084" s="28">
        <v>27.0</v>
      </c>
      <c r="C2084" s="28">
        <v>53.4925003108417</v>
      </c>
      <c r="D2084" s="28">
        <v>9.99548411767955</v>
      </c>
      <c r="E2084" s="28" t="s">
        <v>25</v>
      </c>
      <c r="F2084" s="28" t="s">
        <v>14</v>
      </c>
      <c r="G2084" s="38"/>
      <c r="H2084" s="38"/>
      <c r="J2084" s="31">
        <f t="shared" si="9"/>
        <v>0</v>
      </c>
    </row>
    <row r="2085">
      <c r="A2085" s="28">
        <v>35.0</v>
      </c>
      <c r="B2085" s="28">
        <v>28.0</v>
      </c>
      <c r="C2085" s="28">
        <v>53.4924877836662</v>
      </c>
      <c r="D2085" s="28">
        <v>9.99572479128198</v>
      </c>
      <c r="E2085" s="28" t="s">
        <v>25</v>
      </c>
      <c r="F2085" s="28" t="s">
        <v>14</v>
      </c>
      <c r="G2085" s="38"/>
      <c r="H2085" s="38"/>
      <c r="J2085" s="31">
        <f t="shared" si="9"/>
        <v>0</v>
      </c>
    </row>
    <row r="2086">
      <c r="A2086" s="28">
        <v>35.0</v>
      </c>
      <c r="B2086" s="28">
        <v>29.0</v>
      </c>
      <c r="C2086" s="28">
        <v>53.4924752564908</v>
      </c>
      <c r="D2086" s="28">
        <v>9.99596546481336</v>
      </c>
      <c r="E2086" s="28" t="s">
        <v>25</v>
      </c>
      <c r="F2086" s="28" t="s">
        <v>14</v>
      </c>
      <c r="G2086" s="38"/>
      <c r="H2086" s="38"/>
      <c r="J2086" s="31">
        <f t="shared" si="9"/>
        <v>0</v>
      </c>
    </row>
    <row r="2087">
      <c r="A2087" s="28">
        <v>35.0</v>
      </c>
      <c r="B2087" s="28">
        <v>30.0</v>
      </c>
      <c r="C2087" s="28">
        <v>53.4924627293153</v>
      </c>
      <c r="D2087" s="28">
        <v>9.99620613827369</v>
      </c>
      <c r="E2087" s="28" t="s">
        <v>25</v>
      </c>
      <c r="F2087" s="28" t="s">
        <v>14</v>
      </c>
      <c r="G2087" s="38"/>
      <c r="H2087" s="38"/>
      <c r="J2087" s="31">
        <f t="shared" si="9"/>
        <v>0</v>
      </c>
    </row>
    <row r="2088">
      <c r="A2088" s="28">
        <v>35.0</v>
      </c>
      <c r="B2088" s="28">
        <v>31.0</v>
      </c>
      <c r="C2088" s="28">
        <v>53.4924502021399</v>
      </c>
      <c r="D2088" s="28">
        <v>9.99644681166285</v>
      </c>
      <c r="E2088" s="28" t="s">
        <v>25</v>
      </c>
      <c r="F2088" s="28" t="s">
        <v>14</v>
      </c>
      <c r="G2088" s="38"/>
      <c r="H2088" s="38"/>
      <c r="J2088" s="31">
        <f t="shared" si="9"/>
        <v>0</v>
      </c>
    </row>
    <row r="2089">
      <c r="A2089" s="28">
        <v>35.0</v>
      </c>
      <c r="B2089" s="28">
        <v>32.0</v>
      </c>
      <c r="C2089" s="28">
        <v>53.4924376749644</v>
      </c>
      <c r="D2089" s="28">
        <v>9.99668748498095</v>
      </c>
      <c r="E2089" s="28" t="s">
        <v>25</v>
      </c>
      <c r="F2089" s="28" t="s">
        <v>14</v>
      </c>
      <c r="G2089" s="38"/>
      <c r="H2089" s="38"/>
      <c r="J2089" s="31">
        <f t="shared" si="9"/>
        <v>0</v>
      </c>
    </row>
    <row r="2090">
      <c r="A2090" s="28">
        <v>35.0</v>
      </c>
      <c r="B2090" s="28">
        <v>33.0</v>
      </c>
      <c r="C2090" s="28">
        <v>53.492425147789</v>
      </c>
      <c r="D2090" s="28">
        <v>9.996928158228</v>
      </c>
      <c r="E2090" s="28" t="s">
        <v>25</v>
      </c>
      <c r="F2090" s="28" t="s">
        <v>14</v>
      </c>
      <c r="G2090" s="38"/>
      <c r="H2090" s="38"/>
      <c r="J2090" s="31">
        <f t="shared" si="9"/>
        <v>0</v>
      </c>
    </row>
    <row r="2091">
      <c r="A2091" s="28">
        <v>35.0</v>
      </c>
      <c r="B2091" s="28">
        <v>34.0</v>
      </c>
      <c r="C2091" s="28">
        <v>53.4924126206135</v>
      </c>
      <c r="D2091" s="28">
        <v>9.99716883140388</v>
      </c>
      <c r="E2091" s="28" t="s">
        <v>25</v>
      </c>
      <c r="F2091" s="28" t="s">
        <v>14</v>
      </c>
      <c r="G2091" s="38"/>
      <c r="H2091" s="38"/>
      <c r="J2091" s="31">
        <f t="shared" si="9"/>
        <v>0</v>
      </c>
    </row>
    <row r="2092">
      <c r="A2092" s="28">
        <v>35.0</v>
      </c>
      <c r="B2092" s="28">
        <v>35.0</v>
      </c>
      <c r="C2092" s="28">
        <v>53.4924000934381</v>
      </c>
      <c r="D2092" s="28">
        <v>9.99740950450871</v>
      </c>
      <c r="E2092" s="28" t="s">
        <v>25</v>
      </c>
      <c r="F2092" s="28" t="s">
        <v>14</v>
      </c>
      <c r="G2092" s="38"/>
      <c r="H2092" s="38"/>
      <c r="J2092" s="31">
        <f t="shared" si="9"/>
        <v>0</v>
      </c>
    </row>
    <row r="2093">
      <c r="A2093" s="28">
        <v>35.0</v>
      </c>
      <c r="B2093" s="28">
        <v>36.0</v>
      </c>
      <c r="C2093" s="28">
        <v>53.4923875662627</v>
      </c>
      <c r="D2093" s="28">
        <v>9.99765017754248</v>
      </c>
      <c r="E2093" s="28" t="s">
        <v>25</v>
      </c>
      <c r="F2093" s="28" t="s">
        <v>14</v>
      </c>
      <c r="G2093" s="38"/>
      <c r="H2093" s="38"/>
      <c r="J2093" s="31">
        <f t="shared" si="9"/>
        <v>0</v>
      </c>
    </row>
    <row r="2094">
      <c r="A2094" s="28">
        <v>35.0</v>
      </c>
      <c r="B2094" s="28">
        <v>37.0</v>
      </c>
      <c r="C2094" s="28">
        <v>53.4923750390872</v>
      </c>
      <c r="D2094" s="28">
        <v>9.99789085050508</v>
      </c>
      <c r="E2094" s="28" t="s">
        <v>15</v>
      </c>
      <c r="F2094" s="28" t="s">
        <v>168</v>
      </c>
      <c r="G2094" s="29" t="s">
        <v>164</v>
      </c>
      <c r="H2094" s="35" t="s">
        <v>965</v>
      </c>
      <c r="J2094" s="31">
        <f t="shared" si="9"/>
        <v>133</v>
      </c>
    </row>
    <row r="2095">
      <c r="A2095" s="28">
        <v>35.0</v>
      </c>
      <c r="B2095" s="28">
        <v>38.0</v>
      </c>
      <c r="C2095" s="28">
        <v>53.4923625119118</v>
      </c>
      <c r="D2095" s="28">
        <v>9.99813152339663</v>
      </c>
      <c r="E2095" s="28" t="s">
        <v>15</v>
      </c>
      <c r="F2095" s="28" t="s">
        <v>168</v>
      </c>
      <c r="G2095" s="38"/>
      <c r="H2095" s="38"/>
      <c r="J2095" s="31">
        <f t="shared" si="9"/>
        <v>0</v>
      </c>
    </row>
    <row r="2096">
      <c r="A2096" s="28">
        <v>35.0</v>
      </c>
      <c r="B2096" s="28">
        <v>39.0</v>
      </c>
      <c r="C2096" s="28">
        <v>53.4923499847363</v>
      </c>
      <c r="D2096" s="28">
        <v>9.99837219621713</v>
      </c>
      <c r="E2096" s="28" t="s">
        <v>15</v>
      </c>
      <c r="F2096" s="28" t="s">
        <v>168</v>
      </c>
      <c r="G2096" s="38"/>
      <c r="H2096" s="38"/>
      <c r="J2096" s="31">
        <f t="shared" si="9"/>
        <v>0</v>
      </c>
    </row>
    <row r="2097">
      <c r="A2097" s="28">
        <v>35.0</v>
      </c>
      <c r="B2097" s="28">
        <v>40.0</v>
      </c>
      <c r="C2097" s="28">
        <v>53.4923374575609</v>
      </c>
      <c r="D2097" s="28">
        <v>9.99861286896646</v>
      </c>
      <c r="E2097" s="28" t="s">
        <v>25</v>
      </c>
      <c r="F2097" s="28" t="s">
        <v>14</v>
      </c>
      <c r="G2097" s="38"/>
      <c r="H2097" s="38"/>
      <c r="J2097" s="31">
        <f t="shared" si="9"/>
        <v>0</v>
      </c>
    </row>
    <row r="2098">
      <c r="A2098" s="28">
        <v>35.0</v>
      </c>
      <c r="B2098" s="28">
        <v>41.0</v>
      </c>
      <c r="C2098" s="28">
        <v>53.4923249303854</v>
      </c>
      <c r="D2098" s="28">
        <v>9.99885354164473</v>
      </c>
      <c r="E2098" s="28" t="s">
        <v>25</v>
      </c>
      <c r="F2098" s="28" t="s">
        <v>14</v>
      </c>
      <c r="G2098" s="38"/>
      <c r="H2098" s="38"/>
      <c r="J2098" s="31">
        <f t="shared" si="9"/>
        <v>0</v>
      </c>
    </row>
    <row r="2099">
      <c r="A2099" s="28">
        <v>35.0</v>
      </c>
      <c r="B2099" s="28">
        <v>42.0</v>
      </c>
      <c r="C2099" s="28">
        <v>53.49231240321</v>
      </c>
      <c r="D2099" s="28">
        <v>9.99909421425195</v>
      </c>
      <c r="E2099" s="28" t="s">
        <v>25</v>
      </c>
      <c r="F2099" s="28" t="s">
        <v>14</v>
      </c>
      <c r="G2099" s="38"/>
      <c r="H2099" s="38"/>
      <c r="J2099" s="31">
        <f t="shared" si="9"/>
        <v>0</v>
      </c>
    </row>
    <row r="2100">
      <c r="A2100" s="28">
        <v>35.0</v>
      </c>
      <c r="B2100" s="28">
        <v>43.0</v>
      </c>
      <c r="C2100" s="28">
        <v>53.4922998760345</v>
      </c>
      <c r="D2100" s="28">
        <v>9.999334886788</v>
      </c>
      <c r="E2100" s="28" t="s">
        <v>25</v>
      </c>
      <c r="F2100" s="28" t="s">
        <v>14</v>
      </c>
      <c r="G2100" s="38"/>
      <c r="H2100" s="38"/>
      <c r="J2100" s="31">
        <f t="shared" si="9"/>
        <v>0</v>
      </c>
    </row>
    <row r="2101">
      <c r="A2101" s="28">
        <v>35.0</v>
      </c>
      <c r="B2101" s="28">
        <v>44.0</v>
      </c>
      <c r="C2101" s="28">
        <v>53.4922873488591</v>
      </c>
      <c r="D2101" s="28">
        <v>9.999575559253</v>
      </c>
      <c r="E2101" s="28" t="s">
        <v>25</v>
      </c>
      <c r="F2101" s="28" t="s">
        <v>14</v>
      </c>
      <c r="G2101" s="38"/>
      <c r="H2101" s="38"/>
      <c r="J2101" s="31">
        <f t="shared" si="9"/>
        <v>0</v>
      </c>
    </row>
    <row r="2102">
      <c r="A2102" s="28">
        <v>35.0</v>
      </c>
      <c r="B2102" s="28">
        <v>45.0</v>
      </c>
      <c r="C2102" s="28">
        <v>53.4922748216836</v>
      </c>
      <c r="D2102" s="28">
        <v>9.99981623164694</v>
      </c>
      <c r="E2102" s="28" t="s">
        <v>25</v>
      </c>
      <c r="F2102" s="28" t="s">
        <v>14</v>
      </c>
      <c r="G2102" s="38"/>
      <c r="H2102" s="38"/>
      <c r="J2102" s="31">
        <f t="shared" si="9"/>
        <v>0</v>
      </c>
    </row>
    <row r="2103">
      <c r="A2103" s="28">
        <v>35.0</v>
      </c>
      <c r="B2103" s="28">
        <v>46.0</v>
      </c>
      <c r="C2103" s="28">
        <v>53.4922622945082</v>
      </c>
      <c r="D2103" s="28">
        <v>10.0000569039697</v>
      </c>
      <c r="E2103" s="28" t="s">
        <v>25</v>
      </c>
      <c r="F2103" s="28" t="s">
        <v>14</v>
      </c>
      <c r="G2103" s="38"/>
      <c r="H2103" s="38"/>
      <c r="J2103" s="31">
        <f t="shared" si="9"/>
        <v>0</v>
      </c>
    </row>
    <row r="2104">
      <c r="A2104" s="28">
        <v>35.0</v>
      </c>
      <c r="B2104" s="28">
        <v>47.0</v>
      </c>
      <c r="C2104" s="28">
        <v>53.4922497673327</v>
      </c>
      <c r="D2104" s="28">
        <v>10.0002975762214</v>
      </c>
      <c r="E2104" s="28" t="s">
        <v>25</v>
      </c>
      <c r="F2104" s="28" t="s">
        <v>14</v>
      </c>
      <c r="G2104" s="38"/>
      <c r="H2104" s="38"/>
      <c r="J2104" s="31">
        <f t="shared" si="9"/>
        <v>0</v>
      </c>
    </row>
    <row r="2105">
      <c r="A2105" s="28">
        <v>35.0</v>
      </c>
      <c r="B2105" s="28">
        <v>48.0</v>
      </c>
      <c r="C2105" s="28">
        <v>53.4922372401573</v>
      </c>
      <c r="D2105" s="28">
        <v>10.0005382484021</v>
      </c>
      <c r="E2105" s="28" t="s">
        <v>25</v>
      </c>
      <c r="F2105" s="28" t="s">
        <v>14</v>
      </c>
      <c r="G2105" s="38"/>
      <c r="H2105" s="38"/>
      <c r="J2105" s="31">
        <f t="shared" si="9"/>
        <v>0</v>
      </c>
    </row>
    <row r="2106">
      <c r="A2106" s="28">
        <v>35.0</v>
      </c>
      <c r="B2106" s="28">
        <v>49.0</v>
      </c>
      <c r="C2106" s="28">
        <v>53.4922247129818</v>
      </c>
      <c r="D2106" s="28">
        <v>10.0007789205116</v>
      </c>
      <c r="E2106" s="28" t="s">
        <v>15</v>
      </c>
      <c r="F2106" s="28" t="s">
        <v>168</v>
      </c>
      <c r="G2106" s="29" t="s">
        <v>164</v>
      </c>
      <c r="H2106" s="35" t="s">
        <v>966</v>
      </c>
      <c r="J2106" s="31">
        <f t="shared" si="9"/>
        <v>133</v>
      </c>
    </row>
    <row r="2107">
      <c r="A2107" s="28">
        <v>35.0</v>
      </c>
      <c r="B2107" s="28">
        <v>50.0</v>
      </c>
      <c r="C2107" s="28">
        <v>53.4922121858064</v>
      </c>
      <c r="D2107" s="28">
        <v>10.00101959255</v>
      </c>
      <c r="E2107" s="28" t="s">
        <v>15</v>
      </c>
      <c r="F2107" s="28" t="s">
        <v>168</v>
      </c>
      <c r="G2107" s="38"/>
      <c r="H2107" s="38"/>
      <c r="J2107" s="31">
        <f t="shared" si="9"/>
        <v>0</v>
      </c>
    </row>
    <row r="2108">
      <c r="A2108" s="28">
        <v>35.0</v>
      </c>
      <c r="B2108" s="28">
        <v>51.0</v>
      </c>
      <c r="C2108" s="28">
        <v>53.4921996586309</v>
      </c>
      <c r="D2108" s="28">
        <v>10.0012602645174</v>
      </c>
      <c r="E2108" s="28" t="s">
        <v>15</v>
      </c>
      <c r="F2108" s="28" t="s">
        <v>168</v>
      </c>
      <c r="G2108" s="38"/>
      <c r="H2108" s="38"/>
      <c r="J2108" s="31">
        <f t="shared" si="9"/>
        <v>0</v>
      </c>
    </row>
    <row r="2109">
      <c r="A2109" s="28">
        <v>35.0</v>
      </c>
      <c r="B2109" s="28">
        <v>52.0</v>
      </c>
      <c r="C2109" s="28">
        <v>53.4921871314555</v>
      </c>
      <c r="D2109" s="28">
        <v>10.0015009364136</v>
      </c>
      <c r="E2109" s="28" t="s">
        <v>15</v>
      </c>
      <c r="F2109" s="28" t="s">
        <v>168</v>
      </c>
      <c r="G2109" s="29" t="s">
        <v>364</v>
      </c>
      <c r="H2109" s="36" t="s">
        <v>967</v>
      </c>
      <c r="J2109" s="31">
        <f t="shared" si="9"/>
        <v>17</v>
      </c>
    </row>
    <row r="2110">
      <c r="A2110" s="28">
        <v>35.0</v>
      </c>
      <c r="B2110" s="28">
        <v>53.0</v>
      </c>
      <c r="C2110" s="28">
        <v>53.49217460428</v>
      </c>
      <c r="D2110" s="28">
        <v>10.0017416082388</v>
      </c>
      <c r="E2110" s="28" t="s">
        <v>25</v>
      </c>
      <c r="F2110" s="28" t="s">
        <v>14</v>
      </c>
      <c r="G2110" s="38"/>
      <c r="H2110" s="38"/>
      <c r="J2110" s="31">
        <f t="shared" si="9"/>
        <v>0</v>
      </c>
    </row>
    <row r="2111">
      <c r="A2111" s="28">
        <v>35.0</v>
      </c>
      <c r="B2111" s="28">
        <v>54.0</v>
      </c>
      <c r="C2111" s="28">
        <v>53.4921620771046</v>
      </c>
      <c r="D2111" s="28">
        <v>10.0019822799929</v>
      </c>
      <c r="E2111" s="28" t="s">
        <v>25</v>
      </c>
      <c r="F2111" s="28" t="s">
        <v>14</v>
      </c>
      <c r="G2111" s="38"/>
      <c r="H2111" s="38"/>
      <c r="J2111" s="31">
        <f t="shared" si="9"/>
        <v>0</v>
      </c>
    </row>
    <row r="2112">
      <c r="A2112" s="28">
        <v>35.0</v>
      </c>
      <c r="B2112" s="28">
        <v>55.0</v>
      </c>
      <c r="C2112" s="28">
        <v>53.4921495499291</v>
      </c>
      <c r="D2112" s="28">
        <v>10.0022229516758</v>
      </c>
      <c r="E2112" s="28" t="s">
        <v>15</v>
      </c>
      <c r="F2112" s="28" t="s">
        <v>168</v>
      </c>
      <c r="G2112" s="29" t="s">
        <v>364</v>
      </c>
      <c r="H2112" s="36" t="s">
        <v>968</v>
      </c>
      <c r="J2112" s="31">
        <f t="shared" si="9"/>
        <v>17</v>
      </c>
    </row>
    <row r="2113">
      <c r="A2113" s="28">
        <v>35.0</v>
      </c>
      <c r="B2113" s="28">
        <v>56.0</v>
      </c>
      <c r="C2113" s="28">
        <v>53.4921370227537</v>
      </c>
      <c r="D2113" s="28">
        <v>10.0024636232877</v>
      </c>
      <c r="E2113" s="28" t="s">
        <v>15</v>
      </c>
      <c r="F2113" s="28" t="s">
        <v>168</v>
      </c>
      <c r="G2113" s="29" t="s">
        <v>164</v>
      </c>
      <c r="H2113" s="35" t="s">
        <v>969</v>
      </c>
      <c r="J2113" s="31">
        <f t="shared" si="9"/>
        <v>133</v>
      </c>
    </row>
    <row r="2114">
      <c r="A2114" s="28">
        <v>35.0</v>
      </c>
      <c r="B2114" s="28">
        <v>57.0</v>
      </c>
      <c r="C2114" s="28">
        <v>53.4921244955782</v>
      </c>
      <c r="D2114" s="28">
        <v>10.0027042948286</v>
      </c>
      <c r="E2114" s="28" t="s">
        <v>15</v>
      </c>
      <c r="F2114" s="28" t="s">
        <v>168</v>
      </c>
      <c r="G2114" s="38"/>
      <c r="H2114" s="38"/>
      <c r="J2114" s="31">
        <f t="shared" si="9"/>
        <v>0</v>
      </c>
    </row>
    <row r="2115">
      <c r="A2115" s="28">
        <v>35.0</v>
      </c>
      <c r="B2115" s="28">
        <v>58.0</v>
      </c>
      <c r="C2115" s="28">
        <v>53.4921119684028</v>
      </c>
      <c r="D2115" s="28">
        <v>10.0029449662982</v>
      </c>
      <c r="E2115" s="28" t="s">
        <v>15</v>
      </c>
      <c r="F2115" s="28" t="s">
        <v>168</v>
      </c>
      <c r="G2115" s="29" t="s">
        <v>364</v>
      </c>
      <c r="H2115" s="36" t="s">
        <v>970</v>
      </c>
      <c r="J2115" s="31">
        <f t="shared" si="9"/>
        <v>17</v>
      </c>
    </row>
    <row r="2116">
      <c r="A2116" s="28">
        <v>35.0</v>
      </c>
      <c r="B2116" s="28">
        <v>59.0</v>
      </c>
      <c r="C2116" s="28">
        <v>53.4920994412273</v>
      </c>
      <c r="D2116" s="28">
        <v>10.0031856376969</v>
      </c>
      <c r="E2116" s="28" t="s">
        <v>15</v>
      </c>
      <c r="F2116" s="28" t="s">
        <v>168</v>
      </c>
      <c r="G2116" s="38"/>
      <c r="H2116" s="38"/>
      <c r="J2116" s="31">
        <f t="shared" si="9"/>
        <v>0</v>
      </c>
    </row>
    <row r="2117">
      <c r="A2117" s="28">
        <v>35.0</v>
      </c>
      <c r="B2117" s="28">
        <v>60.0</v>
      </c>
      <c r="C2117" s="28">
        <v>53.4920869140519</v>
      </c>
      <c r="D2117" s="28">
        <v>10.0034263090244</v>
      </c>
      <c r="E2117" s="28" t="s">
        <v>25</v>
      </c>
      <c r="F2117" s="28" t="s">
        <v>14</v>
      </c>
      <c r="G2117" s="29" t="s">
        <v>94</v>
      </c>
      <c r="H2117" s="33" t="s">
        <v>971</v>
      </c>
      <c r="J2117" s="31">
        <f t="shared" si="9"/>
        <v>42</v>
      </c>
    </row>
    <row r="2118">
      <c r="A2118" s="28">
        <v>36.0</v>
      </c>
      <c r="B2118" s="28">
        <v>1.0</v>
      </c>
      <c r="C2118" s="28">
        <v>53.4926828338938</v>
      </c>
      <c r="D2118" s="28">
        <v>9.98920552275296</v>
      </c>
      <c r="E2118" s="28" t="s">
        <v>25</v>
      </c>
      <c r="F2118" s="28" t="s">
        <v>14</v>
      </c>
      <c r="G2118" s="38"/>
      <c r="H2118" s="38"/>
      <c r="J2118" s="31">
        <f t="shared" si="9"/>
        <v>0</v>
      </c>
    </row>
    <row r="2119">
      <c r="A2119" s="28">
        <v>36.0</v>
      </c>
      <c r="B2119" s="28">
        <v>2.0</v>
      </c>
      <c r="C2119" s="28">
        <v>53.4926703067183</v>
      </c>
      <c r="D2119" s="28">
        <v>9.98944619739131</v>
      </c>
      <c r="E2119" s="28" t="s">
        <v>15</v>
      </c>
      <c r="F2119" s="28" t="s">
        <v>168</v>
      </c>
      <c r="G2119" s="29" t="s">
        <v>132</v>
      </c>
      <c r="H2119" s="30" t="s">
        <v>972</v>
      </c>
      <c r="J2119" s="31">
        <f t="shared" si="9"/>
        <v>4</v>
      </c>
    </row>
    <row r="2120">
      <c r="A2120" s="28">
        <v>36.0</v>
      </c>
      <c r="B2120" s="28">
        <v>3.0</v>
      </c>
      <c r="C2120" s="28">
        <v>53.4926577795429</v>
      </c>
      <c r="D2120" s="28">
        <v>9.98968687195849</v>
      </c>
      <c r="E2120" s="28" t="s">
        <v>15</v>
      </c>
      <c r="F2120" s="28" t="s">
        <v>168</v>
      </c>
      <c r="G2120" s="38"/>
      <c r="H2120" s="38"/>
      <c r="J2120" s="31">
        <f t="shared" si="9"/>
        <v>0</v>
      </c>
    </row>
    <row r="2121">
      <c r="A2121" s="28">
        <v>36.0</v>
      </c>
      <c r="B2121" s="28">
        <v>4.0</v>
      </c>
      <c r="C2121" s="28">
        <v>53.4926452523674</v>
      </c>
      <c r="D2121" s="28">
        <v>9.98992754645462</v>
      </c>
      <c r="E2121" s="28" t="s">
        <v>15</v>
      </c>
      <c r="F2121" s="28" t="s">
        <v>168</v>
      </c>
      <c r="G2121" s="38"/>
      <c r="H2121" s="38"/>
      <c r="J2121" s="31">
        <f t="shared" si="9"/>
        <v>0</v>
      </c>
    </row>
    <row r="2122">
      <c r="A2122" s="28">
        <v>36.0</v>
      </c>
      <c r="B2122" s="28">
        <v>5.0</v>
      </c>
      <c r="C2122" s="28">
        <v>53.492632725192</v>
      </c>
      <c r="D2122" s="28">
        <v>9.99016822087969</v>
      </c>
      <c r="E2122" s="28" t="s">
        <v>15</v>
      </c>
      <c r="F2122" s="28" t="s">
        <v>168</v>
      </c>
      <c r="G2122" s="29" t="s">
        <v>170</v>
      </c>
      <c r="H2122" s="30" t="s">
        <v>973</v>
      </c>
      <c r="J2122" s="31">
        <f t="shared" si="9"/>
        <v>5</v>
      </c>
    </row>
    <row r="2123">
      <c r="A2123" s="28">
        <v>36.0</v>
      </c>
      <c r="B2123" s="28">
        <v>6.0</v>
      </c>
      <c r="C2123" s="28">
        <v>53.4926201980165</v>
      </c>
      <c r="D2123" s="28">
        <v>9.9904088952336</v>
      </c>
      <c r="E2123" s="28" t="s">
        <v>25</v>
      </c>
      <c r="F2123" s="28" t="s">
        <v>14</v>
      </c>
      <c r="G2123" s="38"/>
      <c r="H2123" s="38"/>
      <c r="J2123" s="31">
        <f t="shared" si="9"/>
        <v>0</v>
      </c>
    </row>
    <row r="2124">
      <c r="A2124" s="28">
        <v>36.0</v>
      </c>
      <c r="B2124" s="28">
        <v>7.0</v>
      </c>
      <c r="C2124" s="28">
        <v>53.4926076708411</v>
      </c>
      <c r="D2124" s="28">
        <v>9.99064956951645</v>
      </c>
      <c r="E2124" s="28" t="s">
        <v>25</v>
      </c>
      <c r="F2124" s="28" t="s">
        <v>14</v>
      </c>
      <c r="G2124" s="38"/>
      <c r="H2124" s="38"/>
      <c r="J2124" s="31">
        <f t="shared" si="9"/>
        <v>0</v>
      </c>
    </row>
    <row r="2125">
      <c r="A2125" s="28">
        <v>36.0</v>
      </c>
      <c r="B2125" s="28">
        <v>8.0</v>
      </c>
      <c r="C2125" s="28">
        <v>53.4925951436656</v>
      </c>
      <c r="D2125" s="28">
        <v>9.99089024372824</v>
      </c>
      <c r="E2125" s="28" t="s">
        <v>25</v>
      </c>
      <c r="F2125" s="28" t="s">
        <v>14</v>
      </c>
      <c r="G2125" s="38"/>
      <c r="H2125" s="38"/>
      <c r="J2125" s="31">
        <f t="shared" si="9"/>
        <v>0</v>
      </c>
    </row>
    <row r="2126">
      <c r="A2126" s="28">
        <v>36.0</v>
      </c>
      <c r="B2126" s="28">
        <v>9.0</v>
      </c>
      <c r="C2126" s="28">
        <v>53.4925826164902</v>
      </c>
      <c r="D2126" s="28">
        <v>9.99113091786887</v>
      </c>
      <c r="E2126" s="28" t="s">
        <v>25</v>
      </c>
      <c r="F2126" s="28" t="s">
        <v>14</v>
      </c>
      <c r="G2126" s="38"/>
      <c r="H2126" s="38"/>
      <c r="J2126" s="31">
        <f t="shared" si="9"/>
        <v>0</v>
      </c>
    </row>
    <row r="2127">
      <c r="A2127" s="28">
        <v>36.0</v>
      </c>
      <c r="B2127" s="28">
        <v>10.0</v>
      </c>
      <c r="C2127" s="28">
        <v>53.4925700893148</v>
      </c>
      <c r="D2127" s="28">
        <v>9.99137159193844</v>
      </c>
      <c r="E2127" s="28" t="s">
        <v>25</v>
      </c>
      <c r="F2127" s="28" t="s">
        <v>14</v>
      </c>
      <c r="G2127" s="38"/>
      <c r="H2127" s="38"/>
      <c r="J2127" s="31">
        <f t="shared" si="9"/>
        <v>0</v>
      </c>
    </row>
    <row r="2128">
      <c r="A2128" s="28">
        <v>36.0</v>
      </c>
      <c r="B2128" s="28">
        <v>11.0</v>
      </c>
      <c r="C2128" s="28">
        <v>53.4925575621393</v>
      </c>
      <c r="D2128" s="28">
        <v>9.99161226593696</v>
      </c>
      <c r="E2128" s="28" t="s">
        <v>25</v>
      </c>
      <c r="F2128" s="28" t="s">
        <v>14</v>
      </c>
      <c r="G2128" s="38"/>
      <c r="H2128" s="38"/>
      <c r="J2128" s="31">
        <f t="shared" si="9"/>
        <v>0</v>
      </c>
    </row>
    <row r="2129">
      <c r="A2129" s="28">
        <v>36.0</v>
      </c>
      <c r="B2129" s="28">
        <v>12.0</v>
      </c>
      <c r="C2129" s="28">
        <v>53.4925450349638</v>
      </c>
      <c r="D2129" s="28">
        <v>9.99185293986431</v>
      </c>
      <c r="E2129" s="28" t="s">
        <v>25</v>
      </c>
      <c r="F2129" s="28" t="s">
        <v>14</v>
      </c>
      <c r="G2129" s="38"/>
      <c r="H2129" s="38"/>
      <c r="J2129" s="31">
        <f t="shared" si="9"/>
        <v>0</v>
      </c>
    </row>
    <row r="2130">
      <c r="A2130" s="28">
        <v>36.0</v>
      </c>
      <c r="B2130" s="28">
        <v>13.0</v>
      </c>
      <c r="C2130" s="28">
        <v>53.4925325077884</v>
      </c>
      <c r="D2130" s="28">
        <v>9.99209361372061</v>
      </c>
      <c r="E2130" s="28" t="s">
        <v>25</v>
      </c>
      <c r="F2130" s="28" t="s">
        <v>14</v>
      </c>
      <c r="G2130" s="38"/>
      <c r="H2130" s="38"/>
      <c r="J2130" s="31">
        <f t="shared" si="9"/>
        <v>0</v>
      </c>
    </row>
    <row r="2131">
      <c r="A2131" s="28">
        <v>36.0</v>
      </c>
      <c r="B2131" s="28">
        <v>14.0</v>
      </c>
      <c r="C2131" s="28">
        <v>53.4925199806129</v>
      </c>
      <c r="D2131" s="28">
        <v>9.99233428750585</v>
      </c>
      <c r="E2131" s="28" t="s">
        <v>25</v>
      </c>
      <c r="F2131" s="28" t="s">
        <v>14</v>
      </c>
      <c r="G2131" s="38"/>
      <c r="H2131" s="38"/>
      <c r="J2131" s="31">
        <f t="shared" si="9"/>
        <v>0</v>
      </c>
    </row>
    <row r="2132">
      <c r="A2132" s="28">
        <v>36.0</v>
      </c>
      <c r="B2132" s="28">
        <v>15.0</v>
      </c>
      <c r="C2132" s="28">
        <v>53.4925074534375</v>
      </c>
      <c r="D2132" s="28">
        <v>9.99257496121993</v>
      </c>
      <c r="E2132" s="28" t="s">
        <v>25</v>
      </c>
      <c r="F2132" s="28" t="s">
        <v>14</v>
      </c>
      <c r="G2132" s="38"/>
      <c r="H2132" s="38"/>
      <c r="J2132" s="31">
        <f t="shared" si="9"/>
        <v>0</v>
      </c>
    </row>
    <row r="2133">
      <c r="A2133" s="28">
        <v>36.0</v>
      </c>
      <c r="B2133" s="28">
        <v>16.0</v>
      </c>
      <c r="C2133" s="28">
        <v>53.492494926262</v>
      </c>
      <c r="D2133" s="28">
        <v>9.99281563486295</v>
      </c>
      <c r="E2133" s="28" t="s">
        <v>25</v>
      </c>
      <c r="F2133" s="28" t="s">
        <v>14</v>
      </c>
      <c r="G2133" s="38"/>
      <c r="H2133" s="38"/>
      <c r="J2133" s="31">
        <f t="shared" si="9"/>
        <v>0</v>
      </c>
    </row>
    <row r="2134">
      <c r="A2134" s="28">
        <v>36.0</v>
      </c>
      <c r="B2134" s="28">
        <v>17.0</v>
      </c>
      <c r="C2134" s="28">
        <v>53.4924823990866</v>
      </c>
      <c r="D2134" s="28">
        <v>9.99305630843491</v>
      </c>
      <c r="E2134" s="28" t="s">
        <v>25</v>
      </c>
      <c r="F2134" s="28" t="s">
        <v>14</v>
      </c>
      <c r="G2134" s="38"/>
      <c r="H2134" s="38"/>
      <c r="J2134" s="31">
        <f t="shared" si="9"/>
        <v>0</v>
      </c>
    </row>
    <row r="2135">
      <c r="A2135" s="28">
        <v>36.0</v>
      </c>
      <c r="B2135" s="28">
        <v>18.0</v>
      </c>
      <c r="C2135" s="28">
        <v>53.4924698719111</v>
      </c>
      <c r="D2135" s="28">
        <v>9.99329698193571</v>
      </c>
      <c r="E2135" s="28" t="s">
        <v>15</v>
      </c>
      <c r="F2135" s="28" t="s">
        <v>168</v>
      </c>
      <c r="G2135" s="29" t="s">
        <v>132</v>
      </c>
      <c r="H2135" s="30" t="s">
        <v>974</v>
      </c>
      <c r="J2135" s="31">
        <f t="shared" si="9"/>
        <v>4</v>
      </c>
    </row>
    <row r="2136">
      <c r="A2136" s="28">
        <v>36.0</v>
      </c>
      <c r="B2136" s="28">
        <v>19.0</v>
      </c>
      <c r="C2136" s="28">
        <v>53.4924573447357</v>
      </c>
      <c r="D2136" s="28">
        <v>9.99353765536545</v>
      </c>
      <c r="E2136" s="28" t="s">
        <v>15</v>
      </c>
      <c r="F2136" s="28" t="s">
        <v>168</v>
      </c>
      <c r="G2136" s="38"/>
      <c r="H2136" s="38"/>
      <c r="J2136" s="31">
        <f t="shared" si="9"/>
        <v>0</v>
      </c>
    </row>
    <row r="2137">
      <c r="A2137" s="28">
        <v>36.0</v>
      </c>
      <c r="B2137" s="28">
        <v>20.0</v>
      </c>
      <c r="C2137" s="28">
        <v>53.4924448175603</v>
      </c>
      <c r="D2137" s="28">
        <v>9.99377832872414</v>
      </c>
      <c r="E2137" s="28" t="s">
        <v>15</v>
      </c>
      <c r="F2137" s="28" t="s">
        <v>168</v>
      </c>
      <c r="G2137" s="38"/>
      <c r="H2137" s="38"/>
      <c r="J2137" s="31">
        <f t="shared" si="9"/>
        <v>0</v>
      </c>
    </row>
    <row r="2138">
      <c r="A2138" s="28">
        <v>36.0</v>
      </c>
      <c r="B2138" s="28">
        <v>21.0</v>
      </c>
      <c r="C2138" s="28">
        <v>53.4924322903848</v>
      </c>
      <c r="D2138" s="28">
        <v>9.99401900201166</v>
      </c>
      <c r="E2138" s="28" t="s">
        <v>15</v>
      </c>
      <c r="F2138" s="28" t="s">
        <v>168</v>
      </c>
      <c r="G2138" s="38"/>
      <c r="H2138" s="38"/>
      <c r="J2138" s="31">
        <f t="shared" si="9"/>
        <v>0</v>
      </c>
    </row>
    <row r="2139">
      <c r="A2139" s="28">
        <v>36.0</v>
      </c>
      <c r="B2139" s="28">
        <v>22.0</v>
      </c>
      <c r="C2139" s="28">
        <v>53.4924197632094</v>
      </c>
      <c r="D2139" s="28">
        <v>9.99425967522813</v>
      </c>
      <c r="E2139" s="28" t="s">
        <v>15</v>
      </c>
      <c r="F2139" s="28" t="s">
        <v>168</v>
      </c>
      <c r="G2139" s="38"/>
      <c r="H2139" s="38"/>
      <c r="J2139" s="31">
        <f t="shared" si="9"/>
        <v>0</v>
      </c>
    </row>
    <row r="2140">
      <c r="A2140" s="28">
        <v>36.0</v>
      </c>
      <c r="B2140" s="28">
        <v>23.0</v>
      </c>
      <c r="C2140" s="28">
        <v>53.4924072360339</v>
      </c>
      <c r="D2140" s="28">
        <v>9.99450034837354</v>
      </c>
      <c r="E2140" s="28" t="s">
        <v>15</v>
      </c>
      <c r="F2140" s="28" t="s">
        <v>168</v>
      </c>
      <c r="G2140" s="38"/>
      <c r="H2140" s="38"/>
      <c r="J2140" s="31">
        <f t="shared" si="9"/>
        <v>0</v>
      </c>
    </row>
    <row r="2141">
      <c r="A2141" s="28">
        <v>36.0</v>
      </c>
      <c r="B2141" s="28">
        <v>24.0</v>
      </c>
      <c r="C2141" s="28">
        <v>53.4923947088585</v>
      </c>
      <c r="D2141" s="28">
        <v>9.99474102144779</v>
      </c>
      <c r="E2141" s="28" t="s">
        <v>25</v>
      </c>
      <c r="F2141" s="28" t="s">
        <v>14</v>
      </c>
      <c r="G2141" s="38"/>
      <c r="H2141" s="38"/>
      <c r="J2141" s="31">
        <f t="shared" si="9"/>
        <v>0</v>
      </c>
    </row>
    <row r="2142">
      <c r="A2142" s="28">
        <v>36.0</v>
      </c>
      <c r="B2142" s="28">
        <v>25.0</v>
      </c>
      <c r="C2142" s="28">
        <v>53.492382181683</v>
      </c>
      <c r="D2142" s="28">
        <v>9.99498169445098</v>
      </c>
      <c r="E2142" s="28" t="s">
        <v>25</v>
      </c>
      <c r="F2142" s="28" t="s">
        <v>14</v>
      </c>
      <c r="G2142" s="38"/>
      <c r="H2142" s="38"/>
      <c r="J2142" s="31">
        <f t="shared" si="9"/>
        <v>0</v>
      </c>
    </row>
    <row r="2143">
      <c r="A2143" s="28">
        <v>36.0</v>
      </c>
      <c r="B2143" s="28">
        <v>26.0</v>
      </c>
      <c r="C2143" s="28">
        <v>53.4923696545076</v>
      </c>
      <c r="D2143" s="28">
        <v>9.995222367383</v>
      </c>
      <c r="E2143" s="28" t="s">
        <v>25</v>
      </c>
      <c r="F2143" s="28" t="s">
        <v>14</v>
      </c>
      <c r="G2143" s="38"/>
      <c r="H2143" s="38"/>
      <c r="J2143" s="31">
        <f t="shared" si="9"/>
        <v>0</v>
      </c>
    </row>
    <row r="2144">
      <c r="A2144" s="28">
        <v>36.0</v>
      </c>
      <c r="B2144" s="28">
        <v>27.0</v>
      </c>
      <c r="C2144" s="28">
        <v>53.4923571273321</v>
      </c>
      <c r="D2144" s="28">
        <v>9.99546304024397</v>
      </c>
      <c r="E2144" s="28" t="s">
        <v>25</v>
      </c>
      <c r="F2144" s="28" t="s">
        <v>14</v>
      </c>
      <c r="G2144" s="38"/>
      <c r="H2144" s="38"/>
      <c r="J2144" s="31">
        <f t="shared" si="9"/>
        <v>0</v>
      </c>
    </row>
    <row r="2145">
      <c r="A2145" s="28">
        <v>36.0</v>
      </c>
      <c r="B2145" s="28">
        <v>28.0</v>
      </c>
      <c r="C2145" s="28">
        <v>53.4923446001567</v>
      </c>
      <c r="D2145" s="28">
        <v>9.99570371303389</v>
      </c>
      <c r="E2145" s="28" t="s">
        <v>25</v>
      </c>
      <c r="F2145" s="28" t="s">
        <v>14</v>
      </c>
      <c r="G2145" s="38"/>
      <c r="H2145" s="38"/>
      <c r="J2145" s="31">
        <f t="shared" si="9"/>
        <v>0</v>
      </c>
    </row>
    <row r="2146">
      <c r="A2146" s="28">
        <v>36.0</v>
      </c>
      <c r="B2146" s="28">
        <v>29.0</v>
      </c>
      <c r="C2146" s="28">
        <v>53.4923320729812</v>
      </c>
      <c r="D2146" s="28">
        <v>9.99594438575263</v>
      </c>
      <c r="E2146" s="28" t="s">
        <v>25</v>
      </c>
      <c r="F2146" s="28" t="s">
        <v>14</v>
      </c>
      <c r="G2146" s="38"/>
      <c r="H2146" s="38"/>
      <c r="J2146" s="31">
        <f t="shared" si="9"/>
        <v>0</v>
      </c>
    </row>
    <row r="2147">
      <c r="A2147" s="28">
        <v>36.0</v>
      </c>
      <c r="B2147" s="28">
        <v>30.0</v>
      </c>
      <c r="C2147" s="28">
        <v>53.4923195458058</v>
      </c>
      <c r="D2147" s="28">
        <v>9.99618505840032</v>
      </c>
      <c r="E2147" s="28" t="s">
        <v>25</v>
      </c>
      <c r="F2147" s="28" t="s">
        <v>14</v>
      </c>
      <c r="G2147" s="38"/>
      <c r="H2147" s="38"/>
      <c r="J2147" s="31">
        <f t="shared" si="9"/>
        <v>0</v>
      </c>
    </row>
    <row r="2148">
      <c r="A2148" s="28">
        <v>36.0</v>
      </c>
      <c r="B2148" s="28">
        <v>31.0</v>
      </c>
      <c r="C2148" s="28">
        <v>53.4923070186303</v>
      </c>
      <c r="D2148" s="28">
        <v>9.99642573097696</v>
      </c>
      <c r="E2148" s="28" t="s">
        <v>25</v>
      </c>
      <c r="F2148" s="28" t="s">
        <v>14</v>
      </c>
      <c r="G2148" s="38"/>
      <c r="H2148" s="38"/>
      <c r="J2148" s="31">
        <f t="shared" si="9"/>
        <v>0</v>
      </c>
    </row>
    <row r="2149">
      <c r="A2149" s="28">
        <v>36.0</v>
      </c>
      <c r="B2149" s="28">
        <v>32.0</v>
      </c>
      <c r="C2149" s="28">
        <v>53.4922944914549</v>
      </c>
      <c r="D2149" s="28">
        <v>9.99666640348243</v>
      </c>
      <c r="E2149" s="28" t="s">
        <v>25</v>
      </c>
      <c r="F2149" s="28" t="s">
        <v>14</v>
      </c>
      <c r="G2149" s="38"/>
      <c r="H2149" s="38"/>
      <c r="J2149" s="31">
        <f t="shared" si="9"/>
        <v>0</v>
      </c>
    </row>
    <row r="2150">
      <c r="A2150" s="28">
        <v>36.0</v>
      </c>
      <c r="B2150" s="28">
        <v>33.0</v>
      </c>
      <c r="C2150" s="28">
        <v>53.4922819642795</v>
      </c>
      <c r="D2150" s="28">
        <v>9.99690707591685</v>
      </c>
      <c r="E2150" s="28" t="s">
        <v>25</v>
      </c>
      <c r="F2150" s="28" t="s">
        <v>14</v>
      </c>
      <c r="G2150" s="38"/>
      <c r="H2150" s="38"/>
      <c r="J2150" s="31">
        <f t="shared" si="9"/>
        <v>0</v>
      </c>
    </row>
    <row r="2151">
      <c r="A2151" s="28">
        <v>36.0</v>
      </c>
      <c r="B2151" s="28">
        <v>34.0</v>
      </c>
      <c r="C2151" s="28">
        <v>53.492269437104</v>
      </c>
      <c r="D2151" s="28">
        <v>9.99714774828021</v>
      </c>
      <c r="E2151" s="28" t="s">
        <v>25</v>
      </c>
      <c r="F2151" s="28" t="s">
        <v>14</v>
      </c>
      <c r="G2151" s="38"/>
      <c r="H2151" s="38"/>
      <c r="J2151" s="31">
        <f t="shared" si="9"/>
        <v>0</v>
      </c>
    </row>
    <row r="2152">
      <c r="A2152" s="28">
        <v>36.0</v>
      </c>
      <c r="B2152" s="28">
        <v>35.0</v>
      </c>
      <c r="C2152" s="28">
        <v>53.4922569099285</v>
      </c>
      <c r="D2152" s="28">
        <v>9.9973884205724</v>
      </c>
      <c r="E2152" s="28" t="s">
        <v>25</v>
      </c>
      <c r="F2152" s="28" t="s">
        <v>14</v>
      </c>
      <c r="G2152" s="38"/>
      <c r="H2152" s="38"/>
      <c r="J2152" s="31">
        <f t="shared" si="9"/>
        <v>0</v>
      </c>
    </row>
    <row r="2153">
      <c r="A2153" s="28">
        <v>36.0</v>
      </c>
      <c r="B2153" s="28">
        <v>36.0</v>
      </c>
      <c r="C2153" s="28">
        <v>53.4922443827531</v>
      </c>
      <c r="D2153" s="28">
        <v>9.99762909279354</v>
      </c>
      <c r="E2153" s="28" t="s">
        <v>25</v>
      </c>
      <c r="F2153" s="28" t="s">
        <v>14</v>
      </c>
      <c r="G2153" s="38"/>
      <c r="H2153" s="38"/>
      <c r="J2153" s="31">
        <f t="shared" si="9"/>
        <v>0</v>
      </c>
    </row>
    <row r="2154">
      <c r="A2154" s="28">
        <v>36.0</v>
      </c>
      <c r="B2154" s="28">
        <v>37.0</v>
      </c>
      <c r="C2154" s="28">
        <v>53.4922318555776</v>
      </c>
      <c r="D2154" s="28">
        <v>9.99786976494351</v>
      </c>
      <c r="E2154" s="28" t="s">
        <v>15</v>
      </c>
      <c r="F2154" s="28" t="s">
        <v>168</v>
      </c>
      <c r="G2154" s="38"/>
      <c r="H2154" s="38"/>
      <c r="J2154" s="31">
        <f t="shared" si="9"/>
        <v>0</v>
      </c>
    </row>
    <row r="2155">
      <c r="A2155" s="28">
        <v>36.0</v>
      </c>
      <c r="B2155" s="28">
        <v>38.0</v>
      </c>
      <c r="C2155" s="28">
        <v>53.4922193284022</v>
      </c>
      <c r="D2155" s="28">
        <v>9.99811043702243</v>
      </c>
      <c r="E2155" s="28" t="s">
        <v>15</v>
      </c>
      <c r="F2155" s="28" t="s">
        <v>168</v>
      </c>
      <c r="G2155" s="38"/>
      <c r="H2155" s="38"/>
      <c r="J2155" s="31">
        <f t="shared" si="9"/>
        <v>0</v>
      </c>
    </row>
    <row r="2156">
      <c r="A2156" s="28">
        <v>36.0</v>
      </c>
      <c r="B2156" s="28">
        <v>39.0</v>
      </c>
      <c r="C2156" s="28">
        <v>53.4922068012267</v>
      </c>
      <c r="D2156" s="28">
        <v>9.99835110903029</v>
      </c>
      <c r="E2156" s="28" t="s">
        <v>15</v>
      </c>
      <c r="F2156" s="28" t="s">
        <v>168</v>
      </c>
      <c r="G2156" s="38"/>
      <c r="H2156" s="38"/>
      <c r="J2156" s="31">
        <f t="shared" si="9"/>
        <v>0</v>
      </c>
    </row>
    <row r="2157">
      <c r="A2157" s="28">
        <v>36.0</v>
      </c>
      <c r="B2157" s="28">
        <v>40.0</v>
      </c>
      <c r="C2157" s="28">
        <v>53.4921942740513</v>
      </c>
      <c r="D2157" s="28">
        <v>9.99859178096699</v>
      </c>
      <c r="E2157" s="28" t="s">
        <v>15</v>
      </c>
      <c r="F2157" s="28" t="s">
        <v>168</v>
      </c>
      <c r="G2157" s="38"/>
      <c r="H2157" s="38"/>
      <c r="J2157" s="31">
        <f t="shared" si="9"/>
        <v>0</v>
      </c>
    </row>
    <row r="2158">
      <c r="A2158" s="28">
        <v>36.0</v>
      </c>
      <c r="B2158" s="28">
        <v>41.0</v>
      </c>
      <c r="C2158" s="28">
        <v>53.4921817468759</v>
      </c>
      <c r="D2158" s="28">
        <v>9.99883245283263</v>
      </c>
      <c r="E2158" s="28" t="s">
        <v>15</v>
      </c>
      <c r="F2158" s="28" t="s">
        <v>168</v>
      </c>
      <c r="G2158" s="38"/>
      <c r="H2158" s="38"/>
      <c r="J2158" s="31">
        <f t="shared" si="9"/>
        <v>0</v>
      </c>
    </row>
    <row r="2159">
      <c r="A2159" s="28">
        <v>36.0</v>
      </c>
      <c r="B2159" s="28">
        <v>42.0</v>
      </c>
      <c r="C2159" s="28">
        <v>53.4921692197004</v>
      </c>
      <c r="D2159" s="28">
        <v>9.99907312462721</v>
      </c>
      <c r="E2159" s="28" t="s">
        <v>25</v>
      </c>
      <c r="F2159" s="28" t="s">
        <v>14</v>
      </c>
      <c r="G2159" s="38"/>
      <c r="H2159" s="38"/>
      <c r="J2159" s="31">
        <f t="shared" si="9"/>
        <v>0</v>
      </c>
    </row>
    <row r="2160">
      <c r="A2160" s="28">
        <v>36.0</v>
      </c>
      <c r="B2160" s="28">
        <v>43.0</v>
      </c>
      <c r="C2160" s="28">
        <v>53.492156692525</v>
      </c>
      <c r="D2160" s="28">
        <v>9.99931379635063</v>
      </c>
      <c r="E2160" s="28" t="s">
        <v>25</v>
      </c>
      <c r="F2160" s="28" t="s">
        <v>14</v>
      </c>
      <c r="G2160" s="38"/>
      <c r="H2160" s="38"/>
      <c r="J2160" s="31">
        <f t="shared" si="9"/>
        <v>0</v>
      </c>
    </row>
    <row r="2161">
      <c r="A2161" s="28">
        <v>36.0</v>
      </c>
      <c r="B2161" s="28">
        <v>44.0</v>
      </c>
      <c r="C2161" s="28">
        <v>53.4921441653495</v>
      </c>
      <c r="D2161" s="28">
        <v>9.99955446800299</v>
      </c>
      <c r="E2161" s="28" t="s">
        <v>25</v>
      </c>
      <c r="F2161" s="28" t="s">
        <v>14</v>
      </c>
      <c r="G2161" s="38"/>
      <c r="H2161" s="38"/>
      <c r="J2161" s="31">
        <f t="shared" si="9"/>
        <v>0</v>
      </c>
    </row>
    <row r="2162">
      <c r="A2162" s="28">
        <v>36.0</v>
      </c>
      <c r="B2162" s="28">
        <v>45.0</v>
      </c>
      <c r="C2162" s="28">
        <v>53.4921316381741</v>
      </c>
      <c r="D2162" s="28">
        <v>9.9997951395843</v>
      </c>
      <c r="E2162" s="28" t="s">
        <v>25</v>
      </c>
      <c r="F2162" s="28" t="s">
        <v>14</v>
      </c>
      <c r="G2162" s="38"/>
      <c r="H2162" s="38"/>
      <c r="J2162" s="31">
        <f t="shared" si="9"/>
        <v>0</v>
      </c>
    </row>
    <row r="2163">
      <c r="A2163" s="28">
        <v>36.0</v>
      </c>
      <c r="B2163" s="28">
        <v>46.0</v>
      </c>
      <c r="C2163" s="28">
        <v>53.4921191109986</v>
      </c>
      <c r="D2163" s="28">
        <v>10.0000358110944</v>
      </c>
      <c r="E2163" s="28" t="s">
        <v>25</v>
      </c>
      <c r="F2163" s="28" t="s">
        <v>14</v>
      </c>
      <c r="G2163" s="38"/>
      <c r="H2163" s="38"/>
      <c r="J2163" s="31">
        <f t="shared" si="9"/>
        <v>0</v>
      </c>
    </row>
    <row r="2164">
      <c r="A2164" s="28">
        <v>36.0</v>
      </c>
      <c r="B2164" s="28">
        <v>47.0</v>
      </c>
      <c r="C2164" s="28">
        <v>53.4921065838232</v>
      </c>
      <c r="D2164" s="28">
        <v>10.0002764825335</v>
      </c>
      <c r="E2164" s="28" t="s">
        <v>25</v>
      </c>
      <c r="F2164" s="28" t="s">
        <v>14</v>
      </c>
      <c r="G2164" s="38"/>
      <c r="H2164" s="38"/>
      <c r="J2164" s="31">
        <f t="shared" si="9"/>
        <v>0</v>
      </c>
    </row>
    <row r="2165">
      <c r="A2165" s="28">
        <v>36.0</v>
      </c>
      <c r="B2165" s="28">
        <v>48.0</v>
      </c>
      <c r="C2165" s="28">
        <v>53.4920940566477</v>
      </c>
      <c r="D2165" s="28">
        <v>10.0005171539015</v>
      </c>
      <c r="E2165" s="28" t="s">
        <v>25</v>
      </c>
      <c r="F2165" s="28" t="s">
        <v>14</v>
      </c>
      <c r="G2165" s="38"/>
      <c r="H2165" s="38"/>
      <c r="J2165" s="31">
        <f t="shared" si="9"/>
        <v>0</v>
      </c>
    </row>
    <row r="2166">
      <c r="A2166" s="28">
        <v>36.0</v>
      </c>
      <c r="B2166" s="28">
        <v>49.0</v>
      </c>
      <c r="C2166" s="28">
        <v>53.4920815294723</v>
      </c>
      <c r="D2166" s="28">
        <v>10.0007578251984</v>
      </c>
      <c r="E2166" s="28" t="s">
        <v>15</v>
      </c>
      <c r="F2166" s="28" t="s">
        <v>168</v>
      </c>
      <c r="G2166" s="38"/>
      <c r="H2166" s="38"/>
      <c r="J2166" s="31">
        <f t="shared" si="9"/>
        <v>0</v>
      </c>
    </row>
    <row r="2167">
      <c r="A2167" s="28">
        <v>36.0</v>
      </c>
      <c r="B2167" s="28">
        <v>50.0</v>
      </c>
      <c r="C2167" s="28">
        <v>53.4920690022968</v>
      </c>
      <c r="D2167" s="28">
        <v>10.0009984964242</v>
      </c>
      <c r="E2167" s="28" t="s">
        <v>15</v>
      </c>
      <c r="F2167" s="28" t="s">
        <v>168</v>
      </c>
      <c r="G2167" s="38"/>
      <c r="H2167" s="38"/>
      <c r="J2167" s="31">
        <f t="shared" si="9"/>
        <v>0</v>
      </c>
    </row>
    <row r="2168">
      <c r="A2168" s="28">
        <v>36.0</v>
      </c>
      <c r="B2168" s="28">
        <v>51.0</v>
      </c>
      <c r="C2168" s="28">
        <v>53.4920564751214</v>
      </c>
      <c r="D2168" s="28">
        <v>10.001239167579</v>
      </c>
      <c r="E2168" s="28" t="s">
        <v>15</v>
      </c>
      <c r="F2168" s="28" t="s">
        <v>168</v>
      </c>
      <c r="G2168" s="38"/>
      <c r="H2168" s="38"/>
      <c r="J2168" s="31">
        <f t="shared" si="9"/>
        <v>0</v>
      </c>
    </row>
    <row r="2169">
      <c r="A2169" s="28">
        <v>36.0</v>
      </c>
      <c r="B2169" s="28">
        <v>52.0</v>
      </c>
      <c r="C2169" s="28">
        <v>53.4920439479459</v>
      </c>
      <c r="D2169" s="28">
        <v>10.0014798386625</v>
      </c>
      <c r="E2169" s="28" t="s">
        <v>25</v>
      </c>
      <c r="F2169" s="28" t="s">
        <v>14</v>
      </c>
      <c r="G2169" s="38"/>
      <c r="H2169" s="38"/>
      <c r="J2169" s="31">
        <f t="shared" si="9"/>
        <v>0</v>
      </c>
    </row>
    <row r="2170">
      <c r="A2170" s="28">
        <v>36.0</v>
      </c>
      <c r="B2170" s="28">
        <v>53.0</v>
      </c>
      <c r="C2170" s="28">
        <v>53.4920314207705</v>
      </c>
      <c r="D2170" s="28">
        <v>10.0017205096751</v>
      </c>
      <c r="E2170" s="28" t="s">
        <v>25</v>
      </c>
      <c r="F2170" s="28" t="s">
        <v>14</v>
      </c>
      <c r="G2170" s="38"/>
      <c r="H2170" s="38"/>
      <c r="J2170" s="31">
        <f t="shared" si="9"/>
        <v>0</v>
      </c>
    </row>
    <row r="2171">
      <c r="A2171" s="28">
        <v>36.0</v>
      </c>
      <c r="B2171" s="28">
        <v>54.0</v>
      </c>
      <c r="C2171" s="28">
        <v>53.4920188935951</v>
      </c>
      <c r="D2171" s="28">
        <v>10.0019611806166</v>
      </c>
      <c r="E2171" s="28" t="s">
        <v>25</v>
      </c>
      <c r="F2171" s="28" t="s">
        <v>14</v>
      </c>
      <c r="G2171" s="38"/>
      <c r="H2171" s="38"/>
      <c r="J2171" s="31">
        <f t="shared" si="9"/>
        <v>0</v>
      </c>
    </row>
    <row r="2172">
      <c r="A2172" s="28">
        <v>36.0</v>
      </c>
      <c r="B2172" s="28">
        <v>55.0</v>
      </c>
      <c r="C2172" s="28">
        <v>53.4920063664196</v>
      </c>
      <c r="D2172" s="28">
        <v>10.0022018514869</v>
      </c>
      <c r="E2172" s="28" t="s">
        <v>25</v>
      </c>
      <c r="F2172" s="28" t="s">
        <v>14</v>
      </c>
      <c r="G2172" s="38"/>
      <c r="H2172" s="38"/>
      <c r="J2172" s="31">
        <f t="shared" si="9"/>
        <v>0</v>
      </c>
    </row>
    <row r="2173">
      <c r="A2173" s="28">
        <v>36.0</v>
      </c>
      <c r="B2173" s="28">
        <v>56.0</v>
      </c>
      <c r="C2173" s="28">
        <v>53.4919938392442</v>
      </c>
      <c r="D2173" s="28">
        <v>10.0024425222861</v>
      </c>
      <c r="E2173" s="28" t="s">
        <v>15</v>
      </c>
      <c r="F2173" s="28" t="s">
        <v>168</v>
      </c>
      <c r="G2173" s="38"/>
      <c r="H2173" s="38"/>
      <c r="J2173" s="31">
        <f t="shared" si="9"/>
        <v>0</v>
      </c>
    </row>
    <row r="2174">
      <c r="A2174" s="28">
        <v>36.0</v>
      </c>
      <c r="B2174" s="28">
        <v>57.0</v>
      </c>
      <c r="C2174" s="28">
        <v>53.4919813120687</v>
      </c>
      <c r="D2174" s="28">
        <v>10.0026831930143</v>
      </c>
      <c r="E2174" s="28" t="s">
        <v>15</v>
      </c>
      <c r="F2174" s="28" t="s">
        <v>168</v>
      </c>
      <c r="G2174" s="38"/>
      <c r="H2174" s="38"/>
      <c r="J2174" s="31">
        <f t="shared" si="9"/>
        <v>0</v>
      </c>
    </row>
    <row r="2175">
      <c r="A2175" s="28">
        <v>36.0</v>
      </c>
      <c r="B2175" s="28">
        <v>58.0</v>
      </c>
      <c r="C2175" s="28">
        <v>53.4919687848933</v>
      </c>
      <c r="D2175" s="28">
        <v>10.0029238636715</v>
      </c>
      <c r="E2175" s="28" t="s">
        <v>15</v>
      </c>
      <c r="F2175" s="28" t="s">
        <v>168</v>
      </c>
      <c r="G2175" s="38"/>
      <c r="H2175" s="38"/>
      <c r="J2175" s="31">
        <f t="shared" si="9"/>
        <v>0</v>
      </c>
    </row>
    <row r="2176">
      <c r="A2176" s="28">
        <v>36.0</v>
      </c>
      <c r="B2176" s="28">
        <v>59.0</v>
      </c>
      <c r="C2176" s="28">
        <v>53.4919562577179</v>
      </c>
      <c r="D2176" s="28">
        <v>10.0031645342575</v>
      </c>
      <c r="E2176" s="28" t="s">
        <v>15</v>
      </c>
      <c r="F2176" s="28" t="s">
        <v>168</v>
      </c>
      <c r="G2176" s="38"/>
      <c r="H2176" s="38"/>
      <c r="J2176" s="31">
        <f t="shared" si="9"/>
        <v>0</v>
      </c>
    </row>
    <row r="2177">
      <c r="A2177" s="28">
        <v>36.0</v>
      </c>
      <c r="B2177" s="28">
        <v>60.0</v>
      </c>
      <c r="C2177" s="28">
        <v>53.4919437305424</v>
      </c>
      <c r="D2177" s="28">
        <v>10.0034052047724</v>
      </c>
      <c r="E2177" s="28" t="s">
        <v>25</v>
      </c>
      <c r="F2177" s="28" t="s">
        <v>14</v>
      </c>
      <c r="G2177" s="29" t="s">
        <v>164</v>
      </c>
      <c r="H2177" s="35" t="s">
        <v>975</v>
      </c>
      <c r="J2177" s="31">
        <f t="shared" si="9"/>
        <v>133</v>
      </c>
    </row>
    <row r="2178">
      <c r="A2178" s="28">
        <v>37.0</v>
      </c>
      <c r="B2178" s="28">
        <v>1.0</v>
      </c>
      <c r="C2178" s="28">
        <v>53.4925396503842</v>
      </c>
      <c r="D2178" s="28">
        <v>9.98918446651532</v>
      </c>
      <c r="E2178" s="28" t="s">
        <v>25</v>
      </c>
      <c r="F2178" s="28" t="s">
        <v>14</v>
      </c>
      <c r="G2178" s="29" t="s">
        <v>27</v>
      </c>
      <c r="H2178" s="30" t="str">
        <f>HYPERLINK("https://www.munzee.com/m/DarkHaribo/12289", "DarkHaribo/12289")</f>
        <v>DarkHaribo/12289</v>
      </c>
      <c r="J2178" s="31">
        <f t="shared" si="9"/>
        <v>103</v>
      </c>
    </row>
    <row r="2179">
      <c r="A2179" s="28">
        <v>37.0</v>
      </c>
      <c r="B2179" s="28">
        <v>2.0</v>
      </c>
      <c r="C2179" s="28">
        <v>53.4925271232088</v>
      </c>
      <c r="D2179" s="28">
        <v>9.98942514034104</v>
      </c>
      <c r="E2179" s="28" t="s">
        <v>15</v>
      </c>
      <c r="F2179" s="28" t="s">
        <v>168</v>
      </c>
      <c r="G2179" s="38"/>
      <c r="H2179" s="38"/>
      <c r="J2179" s="31">
        <f t="shared" si="9"/>
        <v>0</v>
      </c>
    </row>
    <row r="2180">
      <c r="A2180" s="28">
        <v>37.0</v>
      </c>
      <c r="B2180" s="28">
        <v>3.0</v>
      </c>
      <c r="C2180" s="28">
        <v>53.4925145960333</v>
      </c>
      <c r="D2180" s="28">
        <v>9.9896658140957</v>
      </c>
      <c r="E2180" s="28" t="s">
        <v>15</v>
      </c>
      <c r="F2180" s="28" t="s">
        <v>168</v>
      </c>
      <c r="G2180" s="38"/>
      <c r="H2180" s="38"/>
      <c r="J2180" s="31">
        <f t="shared" si="9"/>
        <v>0</v>
      </c>
    </row>
    <row r="2181">
      <c r="A2181" s="28">
        <v>37.0</v>
      </c>
      <c r="B2181" s="28">
        <v>4.0</v>
      </c>
      <c r="C2181" s="28">
        <v>53.4925020688579</v>
      </c>
      <c r="D2181" s="28">
        <v>9.98990648777919</v>
      </c>
      <c r="E2181" s="28" t="s">
        <v>15</v>
      </c>
      <c r="F2181" s="28" t="s">
        <v>168</v>
      </c>
      <c r="G2181" s="38"/>
      <c r="H2181" s="38"/>
      <c r="J2181" s="31">
        <f t="shared" si="9"/>
        <v>0</v>
      </c>
    </row>
    <row r="2182">
      <c r="A2182" s="28">
        <v>37.0</v>
      </c>
      <c r="B2182" s="28">
        <v>5.0</v>
      </c>
      <c r="C2182" s="28">
        <v>53.4924895416824</v>
      </c>
      <c r="D2182" s="28">
        <v>9.99014716139163</v>
      </c>
      <c r="E2182" s="28" t="s">
        <v>15</v>
      </c>
      <c r="F2182" s="28" t="s">
        <v>168</v>
      </c>
      <c r="G2182" s="38"/>
      <c r="H2182" s="38"/>
      <c r="J2182" s="31">
        <f t="shared" si="9"/>
        <v>0</v>
      </c>
    </row>
    <row r="2183">
      <c r="A2183" s="28">
        <v>37.0</v>
      </c>
      <c r="B2183" s="28">
        <v>6.0</v>
      </c>
      <c r="C2183" s="28">
        <v>53.492477014507</v>
      </c>
      <c r="D2183" s="28">
        <v>9.99038783493301</v>
      </c>
      <c r="E2183" s="28" t="s">
        <v>25</v>
      </c>
      <c r="F2183" s="28" t="s">
        <v>14</v>
      </c>
      <c r="G2183" s="38"/>
      <c r="H2183" s="38"/>
      <c r="J2183" s="31">
        <f t="shared" si="9"/>
        <v>0</v>
      </c>
    </row>
    <row r="2184">
      <c r="A2184" s="28">
        <v>37.0</v>
      </c>
      <c r="B2184" s="28">
        <v>7.0</v>
      </c>
      <c r="C2184" s="28">
        <v>53.4924644873315</v>
      </c>
      <c r="D2184" s="28">
        <v>9.99062850840323</v>
      </c>
      <c r="E2184" s="28" t="s">
        <v>25</v>
      </c>
      <c r="F2184" s="28" t="s">
        <v>14</v>
      </c>
      <c r="G2184" s="38"/>
      <c r="H2184" s="38"/>
      <c r="J2184" s="31">
        <f t="shared" si="9"/>
        <v>0</v>
      </c>
    </row>
    <row r="2185">
      <c r="A2185" s="28">
        <v>37.0</v>
      </c>
      <c r="B2185" s="28">
        <v>8.0</v>
      </c>
      <c r="C2185" s="28">
        <v>53.4924519601561</v>
      </c>
      <c r="D2185" s="28">
        <v>9.99086918180239</v>
      </c>
      <c r="E2185" s="28" t="s">
        <v>25</v>
      </c>
      <c r="F2185" s="28" t="s">
        <v>14</v>
      </c>
      <c r="G2185" s="38"/>
      <c r="H2185" s="38"/>
      <c r="J2185" s="31">
        <f t="shared" si="9"/>
        <v>0</v>
      </c>
    </row>
    <row r="2186">
      <c r="A2186" s="28">
        <v>37.0</v>
      </c>
      <c r="B2186" s="28">
        <v>9.0</v>
      </c>
      <c r="C2186" s="28">
        <v>53.4924394329806</v>
      </c>
      <c r="D2186" s="28">
        <v>9.99110985513039</v>
      </c>
      <c r="E2186" s="28" t="s">
        <v>25</v>
      </c>
      <c r="F2186" s="28" t="s">
        <v>14</v>
      </c>
      <c r="G2186" s="38"/>
      <c r="H2186" s="38"/>
      <c r="J2186" s="31">
        <f t="shared" si="9"/>
        <v>0</v>
      </c>
    </row>
    <row r="2187">
      <c r="A2187" s="28">
        <v>37.0</v>
      </c>
      <c r="B2187" s="28">
        <v>10.0</v>
      </c>
      <c r="C2187" s="28">
        <v>53.4924269058052</v>
      </c>
      <c r="D2187" s="28">
        <v>9.99135052838733</v>
      </c>
      <c r="E2187" s="28" t="s">
        <v>25</v>
      </c>
      <c r="F2187" s="28" t="s">
        <v>14</v>
      </c>
      <c r="G2187" s="38"/>
      <c r="H2187" s="38"/>
      <c r="J2187" s="31">
        <f t="shared" si="9"/>
        <v>0</v>
      </c>
    </row>
    <row r="2188">
      <c r="A2188" s="28">
        <v>37.0</v>
      </c>
      <c r="B2188" s="28">
        <v>11.0</v>
      </c>
      <c r="C2188" s="28">
        <v>53.4924143786297</v>
      </c>
      <c r="D2188" s="28">
        <v>9.99159120157321</v>
      </c>
      <c r="E2188" s="28" t="s">
        <v>25</v>
      </c>
      <c r="F2188" s="28" t="s">
        <v>14</v>
      </c>
      <c r="G2188" s="38"/>
      <c r="H2188" s="38"/>
      <c r="J2188" s="31">
        <f t="shared" si="9"/>
        <v>0</v>
      </c>
    </row>
    <row r="2189">
      <c r="A2189" s="28">
        <v>37.0</v>
      </c>
      <c r="B2189" s="28">
        <v>12.0</v>
      </c>
      <c r="C2189" s="28">
        <v>53.4924018514543</v>
      </c>
      <c r="D2189" s="28">
        <v>9.99183187468793</v>
      </c>
      <c r="E2189" s="28" t="s">
        <v>25</v>
      </c>
      <c r="F2189" s="28" t="s">
        <v>14</v>
      </c>
      <c r="G2189" s="38"/>
      <c r="H2189" s="38"/>
      <c r="J2189" s="31">
        <f t="shared" si="9"/>
        <v>0</v>
      </c>
    </row>
    <row r="2190">
      <c r="A2190" s="28">
        <v>37.0</v>
      </c>
      <c r="B2190" s="28">
        <v>13.0</v>
      </c>
      <c r="C2190" s="28">
        <v>53.4923893242789</v>
      </c>
      <c r="D2190" s="28">
        <v>9.99207254773159</v>
      </c>
      <c r="E2190" s="28" t="s">
        <v>25</v>
      </c>
      <c r="F2190" s="28" t="s">
        <v>14</v>
      </c>
      <c r="G2190" s="38"/>
      <c r="H2190" s="38"/>
      <c r="J2190" s="31">
        <f t="shared" si="9"/>
        <v>0</v>
      </c>
    </row>
    <row r="2191">
      <c r="A2191" s="28">
        <v>37.0</v>
      </c>
      <c r="B2191" s="28">
        <v>14.0</v>
      </c>
      <c r="C2191" s="28">
        <v>53.4923767971034</v>
      </c>
      <c r="D2191" s="28">
        <v>9.9923132207042</v>
      </c>
      <c r="E2191" s="28" t="s">
        <v>25</v>
      </c>
      <c r="F2191" s="28" t="s">
        <v>14</v>
      </c>
      <c r="G2191" s="38"/>
      <c r="H2191" s="38"/>
      <c r="J2191" s="31">
        <f t="shared" si="9"/>
        <v>0</v>
      </c>
    </row>
    <row r="2192">
      <c r="A2192" s="28">
        <v>37.0</v>
      </c>
      <c r="B2192" s="28">
        <v>15.0</v>
      </c>
      <c r="C2192" s="28">
        <v>53.492364269928</v>
      </c>
      <c r="D2192" s="28">
        <v>9.99255389360564</v>
      </c>
      <c r="E2192" s="28" t="s">
        <v>25</v>
      </c>
      <c r="F2192" s="28" t="s">
        <v>14</v>
      </c>
      <c r="G2192" s="38"/>
      <c r="H2192" s="38"/>
      <c r="J2192" s="31">
        <f t="shared" si="9"/>
        <v>0</v>
      </c>
    </row>
    <row r="2193">
      <c r="A2193" s="28">
        <v>37.0</v>
      </c>
      <c r="B2193" s="28">
        <v>16.0</v>
      </c>
      <c r="C2193" s="28">
        <v>53.4923517427525</v>
      </c>
      <c r="D2193" s="28">
        <v>9.99279456643603</v>
      </c>
      <c r="E2193" s="28" t="s">
        <v>15</v>
      </c>
      <c r="F2193" s="28" t="s">
        <v>168</v>
      </c>
      <c r="G2193" s="38"/>
      <c r="H2193" s="38"/>
      <c r="J2193" s="31">
        <f t="shared" si="9"/>
        <v>0</v>
      </c>
    </row>
    <row r="2194">
      <c r="A2194" s="28">
        <v>37.0</v>
      </c>
      <c r="B2194" s="28">
        <v>17.0</v>
      </c>
      <c r="C2194" s="28">
        <v>53.4923392155771</v>
      </c>
      <c r="D2194" s="28">
        <v>9.99303523919536</v>
      </c>
      <c r="E2194" s="28" t="s">
        <v>15</v>
      </c>
      <c r="F2194" s="28" t="s">
        <v>168</v>
      </c>
      <c r="G2194" s="38"/>
      <c r="H2194" s="38"/>
      <c r="J2194" s="31">
        <f t="shared" si="9"/>
        <v>0</v>
      </c>
    </row>
    <row r="2195">
      <c r="A2195" s="28">
        <v>37.0</v>
      </c>
      <c r="B2195" s="28">
        <v>18.0</v>
      </c>
      <c r="C2195" s="28">
        <v>53.4923266884016</v>
      </c>
      <c r="D2195" s="28">
        <v>9.99327591188353</v>
      </c>
      <c r="E2195" s="28" t="s">
        <v>15</v>
      </c>
      <c r="F2195" s="28" t="s">
        <v>168</v>
      </c>
      <c r="G2195" s="38"/>
      <c r="H2195" s="38"/>
      <c r="J2195" s="31">
        <f t="shared" si="9"/>
        <v>0</v>
      </c>
    </row>
    <row r="2196">
      <c r="A2196" s="28">
        <v>37.0</v>
      </c>
      <c r="B2196" s="28">
        <v>19.0</v>
      </c>
      <c r="C2196" s="28">
        <v>53.4923141612262</v>
      </c>
      <c r="D2196" s="28">
        <v>9.99351658450064</v>
      </c>
      <c r="E2196" s="28" t="s">
        <v>15</v>
      </c>
      <c r="F2196" s="28" t="s">
        <v>168</v>
      </c>
      <c r="G2196" s="38"/>
      <c r="H2196" s="38"/>
      <c r="J2196" s="31">
        <f t="shared" si="9"/>
        <v>0</v>
      </c>
    </row>
    <row r="2197">
      <c r="A2197" s="28">
        <v>37.0</v>
      </c>
      <c r="B2197" s="28">
        <v>20.0</v>
      </c>
      <c r="C2197" s="28">
        <v>53.4923016340507</v>
      </c>
      <c r="D2197" s="28">
        <v>9.99375725704669</v>
      </c>
      <c r="E2197" s="28" t="s">
        <v>15</v>
      </c>
      <c r="F2197" s="28" t="s">
        <v>168</v>
      </c>
      <c r="G2197" s="38"/>
      <c r="H2197" s="38"/>
      <c r="J2197" s="31">
        <f t="shared" si="9"/>
        <v>0</v>
      </c>
    </row>
    <row r="2198">
      <c r="A2198" s="28">
        <v>37.0</v>
      </c>
      <c r="B2198" s="28">
        <v>21.0</v>
      </c>
      <c r="C2198" s="28">
        <v>53.4922891068753</v>
      </c>
      <c r="D2198" s="28">
        <v>9.99399792952158</v>
      </c>
      <c r="E2198" s="28" t="s">
        <v>15</v>
      </c>
      <c r="F2198" s="28" t="s">
        <v>168</v>
      </c>
      <c r="G2198" s="38"/>
      <c r="H2198" s="38"/>
      <c r="J2198" s="31">
        <f t="shared" si="9"/>
        <v>0</v>
      </c>
    </row>
    <row r="2199">
      <c r="A2199" s="28">
        <v>37.0</v>
      </c>
      <c r="B2199" s="28">
        <v>22.0</v>
      </c>
      <c r="C2199" s="28">
        <v>53.4922765796998</v>
      </c>
      <c r="D2199" s="28">
        <v>9.99423860192541</v>
      </c>
      <c r="E2199" s="28" t="s">
        <v>15</v>
      </c>
      <c r="F2199" s="28" t="s">
        <v>168</v>
      </c>
      <c r="G2199" s="38"/>
      <c r="H2199" s="38"/>
      <c r="J2199" s="31">
        <f t="shared" si="9"/>
        <v>0</v>
      </c>
    </row>
    <row r="2200">
      <c r="A2200" s="28">
        <v>37.0</v>
      </c>
      <c r="B2200" s="28">
        <v>23.0</v>
      </c>
      <c r="C2200" s="28">
        <v>53.4922640525244</v>
      </c>
      <c r="D2200" s="28">
        <v>9.99447927425819</v>
      </c>
      <c r="E2200" s="28" t="s">
        <v>15</v>
      </c>
      <c r="F2200" s="28" t="s">
        <v>168</v>
      </c>
      <c r="G2200" s="38"/>
      <c r="H2200" s="38"/>
      <c r="J2200" s="31">
        <f t="shared" si="9"/>
        <v>0</v>
      </c>
    </row>
    <row r="2201">
      <c r="A2201" s="28">
        <v>37.0</v>
      </c>
      <c r="B2201" s="28">
        <v>24.0</v>
      </c>
      <c r="C2201" s="28">
        <v>53.4922515253489</v>
      </c>
      <c r="D2201" s="28">
        <v>9.9947199465198</v>
      </c>
      <c r="E2201" s="28" t="s">
        <v>15</v>
      </c>
      <c r="F2201" s="28" t="s">
        <v>168</v>
      </c>
      <c r="G2201" s="38"/>
      <c r="H2201" s="38"/>
      <c r="J2201" s="31">
        <f t="shared" si="9"/>
        <v>0</v>
      </c>
    </row>
    <row r="2202">
      <c r="A2202" s="28">
        <v>37.0</v>
      </c>
      <c r="B2202" s="28">
        <v>25.0</v>
      </c>
      <c r="C2202" s="28">
        <v>53.4922389981735</v>
      </c>
      <c r="D2202" s="28">
        <v>9.99496061871036</v>
      </c>
      <c r="E2202" s="28" t="s">
        <v>25</v>
      </c>
      <c r="F2202" s="28" t="s">
        <v>14</v>
      </c>
      <c r="G2202" s="38"/>
      <c r="H2202" s="38"/>
      <c r="J2202" s="31">
        <f t="shared" si="9"/>
        <v>0</v>
      </c>
    </row>
    <row r="2203">
      <c r="A2203" s="28">
        <v>37.0</v>
      </c>
      <c r="B2203" s="28">
        <v>26.0</v>
      </c>
      <c r="C2203" s="28">
        <v>53.492226470998</v>
      </c>
      <c r="D2203" s="28">
        <v>9.99520129082986</v>
      </c>
      <c r="E2203" s="28" t="s">
        <v>25</v>
      </c>
      <c r="F2203" s="28" t="s">
        <v>14</v>
      </c>
      <c r="G2203" s="38"/>
      <c r="H2203" s="38"/>
      <c r="J2203" s="31">
        <f t="shared" si="9"/>
        <v>0</v>
      </c>
    </row>
    <row r="2204">
      <c r="A2204" s="28">
        <v>37.0</v>
      </c>
      <c r="B2204" s="28">
        <v>27.0</v>
      </c>
      <c r="C2204" s="28">
        <v>53.4922139438226</v>
      </c>
      <c r="D2204" s="28">
        <v>9.9954419628782</v>
      </c>
      <c r="E2204" s="28" t="s">
        <v>25</v>
      </c>
      <c r="F2204" s="28" t="s">
        <v>14</v>
      </c>
      <c r="G2204" s="38"/>
      <c r="H2204" s="38"/>
      <c r="J2204" s="31">
        <f t="shared" si="9"/>
        <v>0</v>
      </c>
    </row>
    <row r="2205">
      <c r="A2205" s="28">
        <v>37.0</v>
      </c>
      <c r="B2205" s="28">
        <v>28.0</v>
      </c>
      <c r="C2205" s="28">
        <v>53.4922014166471</v>
      </c>
      <c r="D2205" s="28">
        <v>9.99568263485548</v>
      </c>
      <c r="E2205" s="28" t="s">
        <v>25</v>
      </c>
      <c r="F2205" s="28" t="s">
        <v>14</v>
      </c>
      <c r="G2205" s="38"/>
      <c r="H2205" s="38"/>
      <c r="J2205" s="31">
        <f t="shared" si="9"/>
        <v>0</v>
      </c>
    </row>
    <row r="2206">
      <c r="A2206" s="28">
        <v>37.0</v>
      </c>
      <c r="B2206" s="28">
        <v>29.0</v>
      </c>
      <c r="C2206" s="28">
        <v>53.4921888894717</v>
      </c>
      <c r="D2206" s="28">
        <v>9.99592330676171</v>
      </c>
      <c r="E2206" s="28" t="s">
        <v>25</v>
      </c>
      <c r="F2206" s="28" t="s">
        <v>14</v>
      </c>
      <c r="G2206" s="38"/>
      <c r="H2206" s="38"/>
      <c r="J2206" s="31">
        <f t="shared" si="9"/>
        <v>0</v>
      </c>
    </row>
    <row r="2207">
      <c r="A2207" s="28">
        <v>37.0</v>
      </c>
      <c r="B2207" s="28">
        <v>30.0</v>
      </c>
      <c r="C2207" s="28">
        <v>53.4921763622963</v>
      </c>
      <c r="D2207" s="28">
        <v>9.99616397859676</v>
      </c>
      <c r="E2207" s="28" t="s">
        <v>25</v>
      </c>
      <c r="F2207" s="28" t="s">
        <v>14</v>
      </c>
      <c r="G2207" s="38"/>
      <c r="H2207" s="38"/>
      <c r="J2207" s="31">
        <f t="shared" si="9"/>
        <v>0</v>
      </c>
    </row>
    <row r="2208">
      <c r="A2208" s="28">
        <v>37.0</v>
      </c>
      <c r="B2208" s="28">
        <v>31.0</v>
      </c>
      <c r="C2208" s="28">
        <v>53.4921638351208</v>
      </c>
      <c r="D2208" s="28">
        <v>9.99640465036077</v>
      </c>
      <c r="E2208" s="28" t="s">
        <v>25</v>
      </c>
      <c r="F2208" s="28" t="s">
        <v>14</v>
      </c>
      <c r="G2208" s="38"/>
      <c r="H2208" s="38"/>
      <c r="J2208" s="31">
        <f t="shared" si="9"/>
        <v>0</v>
      </c>
    </row>
    <row r="2209">
      <c r="A2209" s="28">
        <v>37.0</v>
      </c>
      <c r="B2209" s="28">
        <v>32.0</v>
      </c>
      <c r="C2209" s="28">
        <v>53.4921513079454</v>
      </c>
      <c r="D2209" s="28">
        <v>9.99664532205372</v>
      </c>
      <c r="E2209" s="28" t="s">
        <v>25</v>
      </c>
      <c r="F2209" s="28" t="s">
        <v>14</v>
      </c>
      <c r="G2209" s="38"/>
      <c r="H2209" s="38"/>
      <c r="J2209" s="31">
        <f t="shared" si="9"/>
        <v>0</v>
      </c>
    </row>
    <row r="2210">
      <c r="A2210" s="28">
        <v>37.0</v>
      </c>
      <c r="B2210" s="28">
        <v>33.0</v>
      </c>
      <c r="C2210" s="28">
        <v>53.4921387807699</v>
      </c>
      <c r="D2210" s="28">
        <v>9.9968859936755</v>
      </c>
      <c r="E2210" s="28" t="s">
        <v>25</v>
      </c>
      <c r="F2210" s="28" t="s">
        <v>14</v>
      </c>
      <c r="G2210" s="38"/>
      <c r="H2210" s="38"/>
      <c r="J2210" s="31">
        <f t="shared" si="9"/>
        <v>0</v>
      </c>
    </row>
    <row r="2211">
      <c r="A2211" s="28">
        <v>37.0</v>
      </c>
      <c r="B2211" s="28">
        <v>34.0</v>
      </c>
      <c r="C2211" s="28">
        <v>53.4921262535945</v>
      </c>
      <c r="D2211" s="28">
        <v>9.99712666522623</v>
      </c>
      <c r="E2211" s="28" t="s">
        <v>25</v>
      </c>
      <c r="F2211" s="28" t="s">
        <v>14</v>
      </c>
      <c r="G2211" s="38"/>
      <c r="H2211" s="38"/>
      <c r="J2211" s="31">
        <f t="shared" si="9"/>
        <v>0</v>
      </c>
    </row>
    <row r="2212">
      <c r="A2212" s="28">
        <v>37.0</v>
      </c>
      <c r="B2212" s="28">
        <v>35.0</v>
      </c>
      <c r="C2212" s="28">
        <v>53.492113726419</v>
      </c>
      <c r="D2212" s="28">
        <v>9.9973673367059</v>
      </c>
      <c r="E2212" s="28" t="s">
        <v>25</v>
      </c>
      <c r="F2212" s="28" t="s">
        <v>14</v>
      </c>
      <c r="G2212" s="38"/>
      <c r="H2212" s="38"/>
      <c r="J2212" s="31">
        <f t="shared" si="9"/>
        <v>0</v>
      </c>
    </row>
    <row r="2213">
      <c r="A2213" s="28">
        <v>37.0</v>
      </c>
      <c r="B2213" s="28">
        <v>36.0</v>
      </c>
      <c r="C2213" s="28">
        <v>53.4921011992436</v>
      </c>
      <c r="D2213" s="28">
        <v>9.99760800811441</v>
      </c>
      <c r="E2213" s="28" t="s">
        <v>15</v>
      </c>
      <c r="F2213" s="28" t="s">
        <v>168</v>
      </c>
      <c r="G2213" s="38"/>
      <c r="H2213" s="38"/>
      <c r="J2213" s="31">
        <f t="shared" si="9"/>
        <v>0</v>
      </c>
    </row>
    <row r="2214">
      <c r="A2214" s="28">
        <v>37.0</v>
      </c>
      <c r="B2214" s="28">
        <v>37.0</v>
      </c>
      <c r="C2214" s="28">
        <v>53.4920886720682</v>
      </c>
      <c r="D2214" s="28">
        <v>9.99784867945186</v>
      </c>
      <c r="E2214" s="28" t="s">
        <v>15</v>
      </c>
      <c r="F2214" s="28" t="s">
        <v>168</v>
      </c>
      <c r="G2214" s="38"/>
      <c r="H2214" s="38"/>
      <c r="J2214" s="31">
        <f t="shared" si="9"/>
        <v>0</v>
      </c>
    </row>
    <row r="2215">
      <c r="A2215" s="28">
        <v>37.0</v>
      </c>
      <c r="B2215" s="28">
        <v>38.0</v>
      </c>
      <c r="C2215" s="28">
        <v>53.4920761448927</v>
      </c>
      <c r="D2215" s="28">
        <v>9.99808935071826</v>
      </c>
      <c r="E2215" s="28" t="s">
        <v>15</v>
      </c>
      <c r="F2215" s="28" t="s">
        <v>168</v>
      </c>
      <c r="G2215" s="38"/>
      <c r="H2215" s="38"/>
      <c r="J2215" s="31">
        <f t="shared" si="9"/>
        <v>0</v>
      </c>
    </row>
    <row r="2216">
      <c r="A2216" s="28">
        <v>37.0</v>
      </c>
      <c r="B2216" s="28">
        <v>39.0</v>
      </c>
      <c r="C2216" s="28">
        <v>53.4920636177172</v>
      </c>
      <c r="D2216" s="28">
        <v>9.99833002191348</v>
      </c>
      <c r="E2216" s="28" t="s">
        <v>15</v>
      </c>
      <c r="F2216" s="28" t="s">
        <v>168</v>
      </c>
      <c r="G2216" s="38"/>
      <c r="H2216" s="38"/>
      <c r="J2216" s="31">
        <f t="shared" si="9"/>
        <v>0</v>
      </c>
    </row>
    <row r="2217">
      <c r="A2217" s="28">
        <v>37.0</v>
      </c>
      <c r="B2217" s="28">
        <v>40.0</v>
      </c>
      <c r="C2217" s="28">
        <v>53.4920510905418</v>
      </c>
      <c r="D2217" s="28">
        <v>9.99857069303766</v>
      </c>
      <c r="E2217" s="28" t="s">
        <v>15</v>
      </c>
      <c r="F2217" s="28" t="s">
        <v>168</v>
      </c>
      <c r="G2217" s="38"/>
      <c r="H2217" s="38"/>
      <c r="J2217" s="31">
        <f t="shared" si="9"/>
        <v>0</v>
      </c>
    </row>
    <row r="2218">
      <c r="A2218" s="28">
        <v>37.0</v>
      </c>
      <c r="B2218" s="28">
        <v>41.0</v>
      </c>
      <c r="C2218" s="28">
        <v>53.4920385633663</v>
      </c>
      <c r="D2218" s="28">
        <v>9.99881136409078</v>
      </c>
      <c r="E2218" s="28" t="s">
        <v>15</v>
      </c>
      <c r="F2218" s="28" t="s">
        <v>168</v>
      </c>
      <c r="G2218" s="38"/>
      <c r="H2218" s="38"/>
      <c r="J2218" s="31">
        <f t="shared" si="9"/>
        <v>0</v>
      </c>
    </row>
    <row r="2219">
      <c r="A2219" s="28">
        <v>37.0</v>
      </c>
      <c r="B2219" s="28">
        <v>42.0</v>
      </c>
      <c r="C2219" s="28">
        <v>53.4920260361909</v>
      </c>
      <c r="D2219" s="28">
        <v>9.99905203507273</v>
      </c>
      <c r="E2219" s="28" t="s">
        <v>15</v>
      </c>
      <c r="F2219" s="28" t="s">
        <v>168</v>
      </c>
      <c r="G2219" s="38"/>
      <c r="H2219" s="38"/>
      <c r="J2219" s="31">
        <f t="shared" si="9"/>
        <v>0</v>
      </c>
    </row>
    <row r="2220">
      <c r="A2220" s="28">
        <v>37.0</v>
      </c>
      <c r="B2220" s="28">
        <v>43.0</v>
      </c>
      <c r="C2220" s="28">
        <v>53.4920135090154</v>
      </c>
      <c r="D2220" s="28">
        <v>9.99929270598363</v>
      </c>
      <c r="E2220" s="28" t="s">
        <v>25</v>
      </c>
      <c r="F2220" s="28" t="s">
        <v>14</v>
      </c>
      <c r="G2220" s="38"/>
      <c r="H2220" s="38"/>
      <c r="J2220" s="31">
        <f t="shared" si="9"/>
        <v>0</v>
      </c>
    </row>
    <row r="2221">
      <c r="A2221" s="28">
        <v>37.0</v>
      </c>
      <c r="B2221" s="28">
        <v>44.0</v>
      </c>
      <c r="C2221" s="28">
        <v>53.49200098184</v>
      </c>
      <c r="D2221" s="28">
        <v>9.99953337682347</v>
      </c>
      <c r="E2221" s="28" t="s">
        <v>15</v>
      </c>
      <c r="F2221" s="28" t="s">
        <v>168</v>
      </c>
      <c r="G2221" s="38"/>
      <c r="H2221" s="38"/>
      <c r="J2221" s="31">
        <f t="shared" si="9"/>
        <v>0</v>
      </c>
    </row>
    <row r="2222">
      <c r="A2222" s="28">
        <v>37.0</v>
      </c>
      <c r="B2222" s="28">
        <v>45.0</v>
      </c>
      <c r="C2222" s="28">
        <v>53.4919884546645</v>
      </c>
      <c r="D2222" s="28">
        <v>9.99977404759215</v>
      </c>
      <c r="E2222" s="28" t="s">
        <v>25</v>
      </c>
      <c r="F2222" s="28" t="s">
        <v>14</v>
      </c>
      <c r="G2222" s="38"/>
      <c r="H2222" s="38"/>
      <c r="J2222" s="31">
        <f t="shared" si="9"/>
        <v>0</v>
      </c>
    </row>
    <row r="2223">
      <c r="A2223" s="28">
        <v>37.0</v>
      </c>
      <c r="B2223" s="28">
        <v>46.0</v>
      </c>
      <c r="C2223" s="28">
        <v>53.4919759274891</v>
      </c>
      <c r="D2223" s="28">
        <v>10.0000147182897</v>
      </c>
      <c r="E2223" s="28" t="s">
        <v>25</v>
      </c>
      <c r="F2223" s="28" t="s">
        <v>14</v>
      </c>
      <c r="G2223" s="38"/>
      <c r="H2223" s="38"/>
      <c r="J2223" s="31">
        <f t="shared" si="9"/>
        <v>0</v>
      </c>
    </row>
    <row r="2224">
      <c r="A2224" s="28">
        <v>37.0</v>
      </c>
      <c r="B2224" s="28">
        <v>47.0</v>
      </c>
      <c r="C2224" s="28">
        <v>53.4919634003137</v>
      </c>
      <c r="D2224" s="28">
        <v>10.0002553889163</v>
      </c>
      <c r="E2224" s="28" t="s">
        <v>25</v>
      </c>
      <c r="F2224" s="28" t="s">
        <v>14</v>
      </c>
      <c r="G2224" s="38"/>
      <c r="H2224" s="38"/>
      <c r="J2224" s="31">
        <f t="shared" si="9"/>
        <v>0</v>
      </c>
    </row>
    <row r="2225">
      <c r="A2225" s="28">
        <v>37.0</v>
      </c>
      <c r="B2225" s="28">
        <v>48.0</v>
      </c>
      <c r="C2225" s="28">
        <v>53.4919508731382</v>
      </c>
      <c r="D2225" s="28">
        <v>10.0004960594717</v>
      </c>
      <c r="E2225" s="28" t="s">
        <v>25</v>
      </c>
      <c r="F2225" s="28" t="s">
        <v>14</v>
      </c>
      <c r="G2225" s="38"/>
      <c r="H2225" s="38"/>
      <c r="J2225" s="31">
        <f t="shared" si="9"/>
        <v>0</v>
      </c>
    </row>
    <row r="2226">
      <c r="A2226" s="28">
        <v>37.0</v>
      </c>
      <c r="B2226" s="28">
        <v>49.0</v>
      </c>
      <c r="C2226" s="28">
        <v>53.4919383459628</v>
      </c>
      <c r="D2226" s="28">
        <v>10.000736729956</v>
      </c>
      <c r="E2226" s="28" t="s">
        <v>25</v>
      </c>
      <c r="F2226" s="28" t="s">
        <v>14</v>
      </c>
      <c r="G2226" s="38"/>
      <c r="H2226" s="38"/>
      <c r="J2226" s="31">
        <f t="shared" si="9"/>
        <v>0</v>
      </c>
    </row>
    <row r="2227">
      <c r="A2227" s="28">
        <v>37.0</v>
      </c>
      <c r="B2227" s="28">
        <v>50.0</v>
      </c>
      <c r="C2227" s="28">
        <v>53.4919258187873</v>
      </c>
      <c r="D2227" s="28">
        <v>10.0009774003693</v>
      </c>
      <c r="E2227" s="28" t="s">
        <v>25</v>
      </c>
      <c r="F2227" s="28" t="s">
        <v>14</v>
      </c>
      <c r="G2227" s="38"/>
      <c r="H2227" s="38"/>
      <c r="J2227" s="31">
        <f t="shared" si="9"/>
        <v>0</v>
      </c>
    </row>
    <row r="2228">
      <c r="A2228" s="28">
        <v>37.0</v>
      </c>
      <c r="B2228" s="28">
        <v>51.0</v>
      </c>
      <c r="C2228" s="28">
        <v>53.4919132916119</v>
      </c>
      <c r="D2228" s="28">
        <v>10.0012180707115</v>
      </c>
      <c r="E2228" s="28" t="s">
        <v>25</v>
      </c>
      <c r="F2228" s="28" t="s">
        <v>14</v>
      </c>
      <c r="G2228" s="38"/>
      <c r="H2228" s="38"/>
      <c r="J2228" s="31">
        <f t="shared" si="9"/>
        <v>0</v>
      </c>
    </row>
    <row r="2229">
      <c r="A2229" s="28">
        <v>37.0</v>
      </c>
      <c r="B2229" s="28">
        <v>52.0</v>
      </c>
      <c r="C2229" s="28">
        <v>53.4919007644364</v>
      </c>
      <c r="D2229" s="28">
        <v>10.0014587409825</v>
      </c>
      <c r="E2229" s="28" t="s">
        <v>25</v>
      </c>
      <c r="F2229" s="28" t="s">
        <v>14</v>
      </c>
      <c r="G2229" s="38"/>
      <c r="H2229" s="38"/>
      <c r="J2229" s="31">
        <f t="shared" si="9"/>
        <v>0</v>
      </c>
    </row>
    <row r="2230">
      <c r="A2230" s="28">
        <v>37.0</v>
      </c>
      <c r="B2230" s="28">
        <v>53.0</v>
      </c>
      <c r="C2230" s="28">
        <v>53.491888237261</v>
      </c>
      <c r="D2230" s="28">
        <v>10.0016994111825</v>
      </c>
      <c r="E2230" s="28" t="s">
        <v>25</v>
      </c>
      <c r="F2230" s="28" t="s">
        <v>14</v>
      </c>
      <c r="G2230" s="38"/>
      <c r="H2230" s="38"/>
      <c r="J2230" s="31">
        <f t="shared" si="9"/>
        <v>0</v>
      </c>
    </row>
    <row r="2231">
      <c r="A2231" s="28">
        <v>37.0</v>
      </c>
      <c r="B2231" s="28">
        <v>54.0</v>
      </c>
      <c r="C2231" s="28">
        <v>53.4918757100855</v>
      </c>
      <c r="D2231" s="28">
        <v>10.0019400813114</v>
      </c>
      <c r="E2231" s="28" t="s">
        <v>25</v>
      </c>
      <c r="F2231" s="28" t="s">
        <v>14</v>
      </c>
      <c r="G2231" s="38"/>
      <c r="H2231" s="38"/>
      <c r="J2231" s="31">
        <f t="shared" si="9"/>
        <v>0</v>
      </c>
    </row>
    <row r="2232">
      <c r="A2232" s="28">
        <v>37.0</v>
      </c>
      <c r="B2232" s="28">
        <v>55.0</v>
      </c>
      <c r="C2232" s="28">
        <v>53.4918631829101</v>
      </c>
      <c r="D2232" s="28">
        <v>10.0021807513692</v>
      </c>
      <c r="E2232" s="28" t="s">
        <v>25</v>
      </c>
      <c r="F2232" s="28" t="s">
        <v>14</v>
      </c>
      <c r="G2232" s="38"/>
      <c r="H2232" s="38"/>
      <c r="J2232" s="31">
        <f t="shared" si="9"/>
        <v>0</v>
      </c>
    </row>
    <row r="2233">
      <c r="A2233" s="28">
        <v>37.0</v>
      </c>
      <c r="B2233" s="28">
        <v>56.0</v>
      </c>
      <c r="C2233" s="28">
        <v>53.4918506557346</v>
      </c>
      <c r="D2233" s="28">
        <v>10.0024214213559</v>
      </c>
      <c r="E2233" s="28" t="s">
        <v>25</v>
      </c>
      <c r="F2233" s="28" t="s">
        <v>14</v>
      </c>
      <c r="G2233" s="38"/>
      <c r="H2233" s="38"/>
      <c r="J2233" s="31">
        <f t="shared" si="9"/>
        <v>0</v>
      </c>
    </row>
    <row r="2234">
      <c r="A2234" s="28">
        <v>37.0</v>
      </c>
      <c r="B2234" s="28">
        <v>57.0</v>
      </c>
      <c r="C2234" s="28">
        <v>53.4918381285592</v>
      </c>
      <c r="D2234" s="28">
        <v>10.0026620912715</v>
      </c>
      <c r="E2234" s="28" t="s">
        <v>15</v>
      </c>
      <c r="F2234" s="28" t="s">
        <v>168</v>
      </c>
      <c r="G2234" s="38"/>
      <c r="H2234" s="38"/>
      <c r="J2234" s="31">
        <f t="shared" si="9"/>
        <v>0</v>
      </c>
    </row>
    <row r="2235">
      <c r="A2235" s="28">
        <v>37.0</v>
      </c>
      <c r="B2235" s="28">
        <v>58.0</v>
      </c>
      <c r="C2235" s="28">
        <v>53.4918256013838</v>
      </c>
      <c r="D2235" s="28">
        <v>10.002902761116</v>
      </c>
      <c r="E2235" s="28" t="s">
        <v>15</v>
      </c>
      <c r="F2235" s="28" t="s">
        <v>168</v>
      </c>
      <c r="G2235" s="38"/>
      <c r="H2235" s="38"/>
      <c r="J2235" s="31">
        <f t="shared" si="9"/>
        <v>0</v>
      </c>
    </row>
    <row r="2236">
      <c r="A2236" s="28">
        <v>37.0</v>
      </c>
      <c r="B2236" s="28">
        <v>59.0</v>
      </c>
      <c r="C2236" s="28">
        <v>53.4918130742083</v>
      </c>
      <c r="D2236" s="28">
        <v>10.0031434308895</v>
      </c>
      <c r="E2236" s="28" t="s">
        <v>15</v>
      </c>
      <c r="F2236" s="28" t="s">
        <v>168</v>
      </c>
      <c r="G2236" s="38"/>
      <c r="H2236" s="38"/>
      <c r="J2236" s="31">
        <f t="shared" si="9"/>
        <v>0</v>
      </c>
    </row>
    <row r="2237">
      <c r="A2237" s="28">
        <v>37.0</v>
      </c>
      <c r="B2237" s="28">
        <v>60.0</v>
      </c>
      <c r="C2237" s="28">
        <v>53.4918005470329</v>
      </c>
      <c r="D2237" s="28">
        <v>10.0033841005919</v>
      </c>
      <c r="E2237" s="28" t="s">
        <v>25</v>
      </c>
      <c r="F2237" s="28" t="s">
        <v>14</v>
      </c>
      <c r="G2237" s="29" t="s">
        <v>27</v>
      </c>
      <c r="H2237" s="30" t="str">
        <f>HYPERLINK("https://www.munzee.com/m/DarkHaribo/12441/", "DarkHaribo/12441")</f>
        <v>DarkHaribo/12441</v>
      </c>
      <c r="J2237" s="31">
        <f t="shared" si="9"/>
        <v>103</v>
      </c>
    </row>
    <row r="2238">
      <c r="A2238" s="28">
        <v>38.0</v>
      </c>
      <c r="B2238" s="28">
        <v>1.0</v>
      </c>
      <c r="C2238" s="28">
        <v>53.4923964668746</v>
      </c>
      <c r="D2238" s="28">
        <v>9.98916341034885</v>
      </c>
      <c r="E2238" s="28" t="s">
        <v>25</v>
      </c>
      <c r="F2238" s="28" t="s">
        <v>14</v>
      </c>
      <c r="G2238" s="38"/>
      <c r="H2238" s="38"/>
      <c r="J2238" s="31">
        <f t="shared" si="9"/>
        <v>0</v>
      </c>
    </row>
    <row r="2239">
      <c r="A2239" s="28">
        <v>38.0</v>
      </c>
      <c r="B2239" s="28">
        <v>2.0</v>
      </c>
      <c r="C2239" s="28">
        <v>53.4923839396992</v>
      </c>
      <c r="D2239" s="28">
        <v>9.98940408336193</v>
      </c>
      <c r="E2239" s="28" t="s">
        <v>15</v>
      </c>
      <c r="F2239" s="28" t="s">
        <v>168</v>
      </c>
      <c r="G2239" s="29" t="s">
        <v>364</v>
      </c>
      <c r="H2239" s="36" t="s">
        <v>976</v>
      </c>
      <c r="J2239" s="31">
        <f t="shared" si="9"/>
        <v>17</v>
      </c>
    </row>
    <row r="2240">
      <c r="A2240" s="28">
        <v>38.0</v>
      </c>
      <c r="B2240" s="28">
        <v>3.0</v>
      </c>
      <c r="C2240" s="28">
        <v>53.4923714125238</v>
      </c>
      <c r="D2240" s="28">
        <v>9.98964475630396</v>
      </c>
      <c r="E2240" s="28" t="s">
        <v>15</v>
      </c>
      <c r="F2240" s="28" t="s">
        <v>168</v>
      </c>
      <c r="G2240" s="38"/>
      <c r="H2240" s="38"/>
      <c r="J2240" s="31">
        <f t="shared" si="9"/>
        <v>0</v>
      </c>
    </row>
    <row r="2241">
      <c r="A2241" s="28">
        <v>38.0</v>
      </c>
      <c r="B2241" s="28">
        <v>4.0</v>
      </c>
      <c r="C2241" s="28">
        <v>53.4923588853483</v>
      </c>
      <c r="D2241" s="28">
        <v>9.98988542917493</v>
      </c>
      <c r="E2241" s="28" t="s">
        <v>15</v>
      </c>
      <c r="F2241" s="28" t="s">
        <v>168</v>
      </c>
      <c r="G2241" s="29" t="s">
        <v>164</v>
      </c>
      <c r="H2241" s="35" t="s">
        <v>977</v>
      </c>
      <c r="J2241" s="31">
        <f t="shared" si="9"/>
        <v>133</v>
      </c>
    </row>
    <row r="2242">
      <c r="A2242" s="28">
        <v>38.0</v>
      </c>
      <c r="B2242" s="28">
        <v>5.0</v>
      </c>
      <c r="C2242" s="28">
        <v>53.4923463581729</v>
      </c>
      <c r="D2242" s="28">
        <v>9.99012610197473</v>
      </c>
      <c r="E2242" s="28" t="s">
        <v>15</v>
      </c>
      <c r="F2242" s="28" t="s">
        <v>168</v>
      </c>
      <c r="G2242" s="38"/>
      <c r="H2242" s="38"/>
      <c r="J2242" s="31">
        <f t="shared" si="9"/>
        <v>0</v>
      </c>
    </row>
    <row r="2243">
      <c r="A2243" s="28">
        <v>38.0</v>
      </c>
      <c r="B2243" s="28">
        <v>6.0</v>
      </c>
      <c r="C2243" s="28">
        <v>53.4923338309974</v>
      </c>
      <c r="D2243" s="28">
        <v>9.99036677470348</v>
      </c>
      <c r="E2243" s="28" t="s">
        <v>15</v>
      </c>
      <c r="F2243" s="28" t="s">
        <v>168</v>
      </c>
      <c r="G2243" s="38"/>
      <c r="H2243" s="38"/>
      <c r="J2243" s="31">
        <f t="shared" si="9"/>
        <v>0</v>
      </c>
    </row>
    <row r="2244">
      <c r="A2244" s="28">
        <v>38.0</v>
      </c>
      <c r="B2244" s="28">
        <v>7.0</v>
      </c>
      <c r="C2244" s="28">
        <v>53.492321303822</v>
      </c>
      <c r="D2244" s="28">
        <v>9.99060744736118</v>
      </c>
      <c r="E2244" s="28" t="s">
        <v>15</v>
      </c>
      <c r="F2244" s="28" t="s">
        <v>168</v>
      </c>
      <c r="G2244" s="29" t="s">
        <v>164</v>
      </c>
      <c r="H2244" s="35" t="s">
        <v>978</v>
      </c>
      <c r="J2244" s="31">
        <f t="shared" si="9"/>
        <v>133</v>
      </c>
    </row>
    <row r="2245">
      <c r="A2245" s="28">
        <v>38.0</v>
      </c>
      <c r="B2245" s="28">
        <v>8.0</v>
      </c>
      <c r="C2245" s="28">
        <v>53.4923087766465</v>
      </c>
      <c r="D2245" s="28">
        <v>9.99084811994771</v>
      </c>
      <c r="E2245" s="28" t="s">
        <v>25</v>
      </c>
      <c r="F2245" s="28" t="s">
        <v>14</v>
      </c>
      <c r="G2245" s="38"/>
      <c r="H2245" s="38"/>
      <c r="J2245" s="31">
        <f t="shared" si="9"/>
        <v>0</v>
      </c>
    </row>
    <row r="2246">
      <c r="A2246" s="28">
        <v>38.0</v>
      </c>
      <c r="B2246" s="28">
        <v>9.0</v>
      </c>
      <c r="C2246" s="28">
        <v>53.4922962494711</v>
      </c>
      <c r="D2246" s="28">
        <v>9.99108879246318</v>
      </c>
      <c r="E2246" s="28" t="s">
        <v>25</v>
      </c>
      <c r="F2246" s="28" t="s">
        <v>14</v>
      </c>
      <c r="G2246" s="38"/>
      <c r="H2246" s="38"/>
      <c r="J2246" s="31">
        <f t="shared" si="9"/>
        <v>0</v>
      </c>
    </row>
    <row r="2247">
      <c r="A2247" s="28">
        <v>38.0</v>
      </c>
      <c r="B2247" s="28">
        <v>10.0</v>
      </c>
      <c r="C2247" s="28">
        <v>53.4922837222956</v>
      </c>
      <c r="D2247" s="28">
        <v>9.9913294649076</v>
      </c>
      <c r="E2247" s="28" t="s">
        <v>25</v>
      </c>
      <c r="F2247" s="28" t="s">
        <v>14</v>
      </c>
      <c r="G2247" s="38"/>
      <c r="H2247" s="38"/>
      <c r="J2247" s="31">
        <f t="shared" si="9"/>
        <v>0</v>
      </c>
    </row>
    <row r="2248">
      <c r="A2248" s="28">
        <v>38.0</v>
      </c>
      <c r="B2248" s="28">
        <v>11.0</v>
      </c>
      <c r="C2248" s="28">
        <v>53.4922711951201</v>
      </c>
      <c r="D2248" s="28">
        <v>9.99157013728086</v>
      </c>
      <c r="E2248" s="28" t="s">
        <v>25</v>
      </c>
      <c r="F2248" s="28" t="s">
        <v>14</v>
      </c>
      <c r="G2248" s="38"/>
      <c r="H2248" s="38"/>
      <c r="J2248" s="31">
        <f t="shared" si="9"/>
        <v>0</v>
      </c>
    </row>
    <row r="2249">
      <c r="A2249" s="28">
        <v>38.0</v>
      </c>
      <c r="B2249" s="28">
        <v>12.0</v>
      </c>
      <c r="C2249" s="28">
        <v>53.4922586679447</v>
      </c>
      <c r="D2249" s="28">
        <v>9.99181080958305</v>
      </c>
      <c r="E2249" s="28" t="s">
        <v>25</v>
      </c>
      <c r="F2249" s="28" t="s">
        <v>14</v>
      </c>
      <c r="G2249" s="38"/>
      <c r="H2249" s="38"/>
      <c r="J2249" s="31">
        <f t="shared" si="9"/>
        <v>0</v>
      </c>
    </row>
    <row r="2250">
      <c r="A2250" s="28">
        <v>38.0</v>
      </c>
      <c r="B2250" s="28">
        <v>13.0</v>
      </c>
      <c r="C2250" s="28">
        <v>53.4922461407693</v>
      </c>
      <c r="D2250" s="28">
        <v>9.9920514818142</v>
      </c>
      <c r="E2250" s="28" t="s">
        <v>15</v>
      </c>
      <c r="F2250" s="28" t="s">
        <v>168</v>
      </c>
      <c r="G2250" s="29" t="s">
        <v>164</v>
      </c>
      <c r="H2250" s="35" t="s">
        <v>979</v>
      </c>
      <c r="J2250" s="31">
        <f t="shared" si="9"/>
        <v>133</v>
      </c>
    </row>
    <row r="2251">
      <c r="A2251" s="28">
        <v>38.0</v>
      </c>
      <c r="B2251" s="28">
        <v>14.0</v>
      </c>
      <c r="C2251" s="28">
        <v>53.4922336135938</v>
      </c>
      <c r="D2251" s="28">
        <v>9.99229215397417</v>
      </c>
      <c r="E2251" s="28" t="s">
        <v>15</v>
      </c>
      <c r="F2251" s="28" t="s">
        <v>168</v>
      </c>
      <c r="G2251" s="38"/>
      <c r="H2251" s="38"/>
      <c r="J2251" s="31">
        <f t="shared" si="9"/>
        <v>0</v>
      </c>
    </row>
    <row r="2252">
      <c r="A2252" s="28">
        <v>38.0</v>
      </c>
      <c r="B2252" s="28">
        <v>15.0</v>
      </c>
      <c r="C2252" s="28">
        <v>53.4922210864184</v>
      </c>
      <c r="D2252" s="28">
        <v>9.99253282606309</v>
      </c>
      <c r="E2252" s="28" t="s">
        <v>15</v>
      </c>
      <c r="F2252" s="28" t="s">
        <v>168</v>
      </c>
      <c r="G2252" s="38"/>
      <c r="H2252" s="38"/>
      <c r="J2252" s="31">
        <f t="shared" si="9"/>
        <v>0</v>
      </c>
    </row>
    <row r="2253">
      <c r="A2253" s="28">
        <v>38.0</v>
      </c>
      <c r="B2253" s="28">
        <v>16.0</v>
      </c>
      <c r="C2253" s="28">
        <v>53.4922085592429</v>
      </c>
      <c r="D2253" s="28">
        <v>9.99277349808096</v>
      </c>
      <c r="E2253" s="28" t="s">
        <v>15</v>
      </c>
      <c r="F2253" s="28" t="s">
        <v>168</v>
      </c>
      <c r="G2253" s="29" t="s">
        <v>164</v>
      </c>
      <c r="H2253" s="35" t="s">
        <v>980</v>
      </c>
      <c r="J2253" s="31">
        <f t="shared" si="9"/>
        <v>133</v>
      </c>
    </row>
    <row r="2254">
      <c r="A2254" s="28">
        <v>38.0</v>
      </c>
      <c r="B2254" s="28">
        <v>17.0</v>
      </c>
      <c r="C2254" s="28">
        <v>53.4921960320675</v>
      </c>
      <c r="D2254" s="28">
        <v>9.99301417002766</v>
      </c>
      <c r="E2254" s="28" t="s">
        <v>15</v>
      </c>
      <c r="F2254" s="28" t="s">
        <v>168</v>
      </c>
      <c r="G2254" s="38"/>
      <c r="H2254" s="38"/>
      <c r="J2254" s="31">
        <f t="shared" si="9"/>
        <v>0</v>
      </c>
    </row>
    <row r="2255">
      <c r="A2255" s="28">
        <v>38.0</v>
      </c>
      <c r="B2255" s="28">
        <v>18.0</v>
      </c>
      <c r="C2255" s="28">
        <v>53.492183504892</v>
      </c>
      <c r="D2255" s="28">
        <v>9.9932548419033</v>
      </c>
      <c r="E2255" s="28" t="s">
        <v>15</v>
      </c>
      <c r="F2255" s="28" t="s">
        <v>168</v>
      </c>
      <c r="G2255" s="38"/>
      <c r="H2255" s="38"/>
      <c r="J2255" s="31">
        <f t="shared" si="9"/>
        <v>0</v>
      </c>
    </row>
    <row r="2256">
      <c r="A2256" s="28">
        <v>38.0</v>
      </c>
      <c r="B2256" s="28">
        <v>19.0</v>
      </c>
      <c r="C2256" s="28">
        <v>53.4921709777166</v>
      </c>
      <c r="D2256" s="28">
        <v>9.99349551370789</v>
      </c>
      <c r="E2256" s="28" t="s">
        <v>15</v>
      </c>
      <c r="F2256" s="28" t="s">
        <v>168</v>
      </c>
      <c r="G2256" s="29" t="s">
        <v>164</v>
      </c>
      <c r="H2256" s="35" t="s">
        <v>981</v>
      </c>
      <c r="J2256" s="31">
        <f t="shared" si="9"/>
        <v>133</v>
      </c>
    </row>
    <row r="2257">
      <c r="A2257" s="28">
        <v>38.0</v>
      </c>
      <c r="B2257" s="28">
        <v>20.0</v>
      </c>
      <c r="C2257" s="28">
        <v>53.4921584505411</v>
      </c>
      <c r="D2257" s="28">
        <v>9.99373618544132</v>
      </c>
      <c r="E2257" s="28" t="s">
        <v>15</v>
      </c>
      <c r="F2257" s="28" t="s">
        <v>168</v>
      </c>
      <c r="G2257" s="38"/>
      <c r="H2257" s="38"/>
      <c r="J2257" s="31">
        <f t="shared" si="9"/>
        <v>0</v>
      </c>
    </row>
    <row r="2258">
      <c r="A2258" s="28">
        <v>38.0</v>
      </c>
      <c r="B2258" s="28">
        <v>21.0</v>
      </c>
      <c r="C2258" s="28">
        <v>53.4921459233657</v>
      </c>
      <c r="D2258" s="28">
        <v>9.99397685710369</v>
      </c>
      <c r="E2258" s="28" t="s">
        <v>15</v>
      </c>
      <c r="F2258" s="28" t="s">
        <v>168</v>
      </c>
      <c r="G2258" s="38"/>
      <c r="H2258" s="38"/>
      <c r="J2258" s="31">
        <f t="shared" si="9"/>
        <v>0</v>
      </c>
    </row>
    <row r="2259">
      <c r="A2259" s="28">
        <v>38.0</v>
      </c>
      <c r="B2259" s="28">
        <v>22.0</v>
      </c>
      <c r="C2259" s="28">
        <v>53.4921333961902</v>
      </c>
      <c r="D2259" s="28">
        <v>9.994217528695</v>
      </c>
      <c r="E2259" s="28" t="s">
        <v>15</v>
      </c>
      <c r="F2259" s="28" t="s">
        <v>168</v>
      </c>
      <c r="G2259" s="29" t="s">
        <v>164</v>
      </c>
      <c r="H2259" s="35" t="s">
        <v>982</v>
      </c>
      <c r="J2259" s="31">
        <f t="shared" si="9"/>
        <v>133</v>
      </c>
    </row>
    <row r="2260">
      <c r="A2260" s="28">
        <v>38.0</v>
      </c>
      <c r="B2260" s="28">
        <v>23.0</v>
      </c>
      <c r="C2260" s="28">
        <v>53.4921208690148</v>
      </c>
      <c r="D2260" s="28">
        <v>9.99445820021515</v>
      </c>
      <c r="E2260" s="28" t="s">
        <v>15</v>
      </c>
      <c r="F2260" s="28" t="s">
        <v>168</v>
      </c>
      <c r="G2260" s="38"/>
      <c r="H2260" s="38"/>
      <c r="J2260" s="31">
        <f t="shared" si="9"/>
        <v>0</v>
      </c>
    </row>
    <row r="2261">
      <c r="A2261" s="28">
        <v>38.0</v>
      </c>
      <c r="B2261" s="28">
        <v>24.0</v>
      </c>
      <c r="C2261" s="28">
        <v>53.4921083418393</v>
      </c>
      <c r="D2261" s="28">
        <v>9.99469887166424</v>
      </c>
      <c r="E2261" s="28" t="s">
        <v>15</v>
      </c>
      <c r="F2261" s="28" t="s">
        <v>168</v>
      </c>
      <c r="G2261" s="38"/>
      <c r="H2261" s="38"/>
      <c r="J2261" s="31">
        <f t="shared" si="9"/>
        <v>0</v>
      </c>
    </row>
    <row r="2262">
      <c r="A2262" s="28">
        <v>38.0</v>
      </c>
      <c r="B2262" s="28">
        <v>25.0</v>
      </c>
      <c r="C2262" s="28">
        <v>53.4920958146639</v>
      </c>
      <c r="D2262" s="28">
        <v>9.99493954304227</v>
      </c>
      <c r="E2262" s="28" t="s">
        <v>15</v>
      </c>
      <c r="F2262" s="28" t="s">
        <v>168</v>
      </c>
      <c r="G2262" s="29" t="s">
        <v>164</v>
      </c>
      <c r="H2262" s="35" t="s">
        <v>983</v>
      </c>
      <c r="J2262" s="31">
        <f t="shared" si="9"/>
        <v>133</v>
      </c>
    </row>
    <row r="2263">
      <c r="A2263" s="28">
        <v>38.0</v>
      </c>
      <c r="B2263" s="28">
        <v>26.0</v>
      </c>
      <c r="C2263" s="28">
        <v>53.4920832874885</v>
      </c>
      <c r="D2263" s="28">
        <v>9.99518021434914</v>
      </c>
      <c r="E2263" s="28" t="s">
        <v>25</v>
      </c>
      <c r="F2263" s="28" t="s">
        <v>14</v>
      </c>
      <c r="G2263" s="38"/>
      <c r="H2263" s="38"/>
      <c r="J2263" s="31">
        <f t="shared" si="9"/>
        <v>0</v>
      </c>
    </row>
    <row r="2264">
      <c r="A2264" s="28">
        <v>38.0</v>
      </c>
      <c r="B2264" s="28">
        <v>27.0</v>
      </c>
      <c r="C2264" s="28">
        <v>53.492070760313</v>
      </c>
      <c r="D2264" s="28">
        <v>9.99542088558496</v>
      </c>
      <c r="E2264" s="28" t="s">
        <v>25</v>
      </c>
      <c r="F2264" s="28" t="s">
        <v>14</v>
      </c>
      <c r="G2264" s="38"/>
      <c r="H2264" s="38"/>
      <c r="J2264" s="31">
        <f t="shared" si="9"/>
        <v>0</v>
      </c>
    </row>
    <row r="2265">
      <c r="A2265" s="28">
        <v>38.0</v>
      </c>
      <c r="B2265" s="28">
        <v>28.0</v>
      </c>
      <c r="C2265" s="28">
        <v>53.4920582331376</v>
      </c>
      <c r="D2265" s="28">
        <v>9.99566155674972</v>
      </c>
      <c r="E2265" s="28" t="s">
        <v>25</v>
      </c>
      <c r="F2265" s="28" t="s">
        <v>14</v>
      </c>
      <c r="G2265" s="38"/>
      <c r="H2265" s="38"/>
      <c r="J2265" s="31">
        <f t="shared" si="9"/>
        <v>0</v>
      </c>
    </row>
    <row r="2266">
      <c r="A2266" s="28">
        <v>38.0</v>
      </c>
      <c r="B2266" s="28">
        <v>29.0</v>
      </c>
      <c r="C2266" s="28">
        <v>53.4920457059621</v>
      </c>
      <c r="D2266" s="28">
        <v>9.99590222784331</v>
      </c>
      <c r="E2266" s="28" t="s">
        <v>25</v>
      </c>
      <c r="F2266" s="28" t="s">
        <v>14</v>
      </c>
      <c r="G2266" s="38"/>
      <c r="H2266" s="38"/>
      <c r="J2266" s="31">
        <f t="shared" si="9"/>
        <v>0</v>
      </c>
    </row>
    <row r="2267">
      <c r="A2267" s="28">
        <v>38.0</v>
      </c>
      <c r="B2267" s="28">
        <v>30.0</v>
      </c>
      <c r="C2267" s="28">
        <v>53.4920331787867</v>
      </c>
      <c r="D2267" s="28">
        <v>9.99614289886585</v>
      </c>
      <c r="E2267" s="28" t="s">
        <v>25</v>
      </c>
      <c r="F2267" s="28" t="s">
        <v>14</v>
      </c>
      <c r="G2267" s="38"/>
      <c r="H2267" s="38"/>
      <c r="J2267" s="31">
        <f t="shared" si="9"/>
        <v>0</v>
      </c>
    </row>
    <row r="2268">
      <c r="A2268" s="28">
        <v>38.0</v>
      </c>
      <c r="B2268" s="28">
        <v>31.0</v>
      </c>
      <c r="C2268" s="28">
        <v>53.4920206516112</v>
      </c>
      <c r="D2268" s="28">
        <v>9.99638356981734</v>
      </c>
      <c r="E2268" s="28" t="s">
        <v>25</v>
      </c>
      <c r="F2268" s="28" t="s">
        <v>14</v>
      </c>
      <c r="G2268" s="38"/>
      <c r="H2268" s="38"/>
      <c r="J2268" s="31">
        <f t="shared" si="9"/>
        <v>0</v>
      </c>
    </row>
    <row r="2269">
      <c r="A2269" s="28">
        <v>38.0</v>
      </c>
      <c r="B2269" s="28">
        <v>32.0</v>
      </c>
      <c r="C2269" s="28">
        <v>53.4920081244358</v>
      </c>
      <c r="D2269" s="28">
        <v>9.99662424069765</v>
      </c>
      <c r="E2269" s="28" t="s">
        <v>25</v>
      </c>
      <c r="F2269" s="28" t="s">
        <v>14</v>
      </c>
      <c r="G2269" s="38"/>
      <c r="H2269" s="38"/>
      <c r="J2269" s="31">
        <f t="shared" si="9"/>
        <v>0</v>
      </c>
    </row>
    <row r="2270">
      <c r="A2270" s="28">
        <v>38.0</v>
      </c>
      <c r="B2270" s="28">
        <v>33.0</v>
      </c>
      <c r="C2270" s="28">
        <v>53.4919955972603</v>
      </c>
      <c r="D2270" s="28">
        <v>9.99686491150691</v>
      </c>
      <c r="E2270" s="28" t="s">
        <v>25</v>
      </c>
      <c r="F2270" s="28" t="s">
        <v>14</v>
      </c>
      <c r="G2270" s="38"/>
      <c r="H2270" s="38"/>
      <c r="J2270" s="31">
        <f t="shared" si="9"/>
        <v>0</v>
      </c>
    </row>
    <row r="2271">
      <c r="A2271" s="28">
        <v>38.0</v>
      </c>
      <c r="B2271" s="28">
        <v>34.0</v>
      </c>
      <c r="C2271" s="28">
        <v>53.4919830700849</v>
      </c>
      <c r="D2271" s="28">
        <v>9.99710558224512</v>
      </c>
      <c r="E2271" s="28" t="s">
        <v>25</v>
      </c>
      <c r="F2271" s="28" t="s">
        <v>14</v>
      </c>
      <c r="G2271" s="38"/>
      <c r="H2271" s="38"/>
      <c r="J2271" s="31">
        <f t="shared" si="9"/>
        <v>0</v>
      </c>
    </row>
    <row r="2272">
      <c r="A2272" s="28">
        <v>38.0</v>
      </c>
      <c r="B2272" s="28">
        <v>35.0</v>
      </c>
      <c r="C2272" s="28">
        <v>53.4919705429094</v>
      </c>
      <c r="D2272" s="28">
        <v>9.99734625291216</v>
      </c>
      <c r="E2272" s="28" t="s">
        <v>15</v>
      </c>
      <c r="F2272" s="28" t="s">
        <v>168</v>
      </c>
      <c r="G2272" s="29" t="s">
        <v>164</v>
      </c>
      <c r="H2272" s="35" t="s">
        <v>984</v>
      </c>
      <c r="J2272" s="31">
        <f t="shared" si="9"/>
        <v>133</v>
      </c>
    </row>
    <row r="2273">
      <c r="A2273" s="28">
        <v>38.0</v>
      </c>
      <c r="B2273" s="28">
        <v>36.0</v>
      </c>
      <c r="C2273" s="28">
        <v>53.491958015734</v>
      </c>
      <c r="D2273" s="28">
        <v>9.99758692350815</v>
      </c>
      <c r="E2273" s="28" t="s">
        <v>15</v>
      </c>
      <c r="F2273" s="28" t="s">
        <v>168</v>
      </c>
      <c r="G2273" s="38"/>
      <c r="H2273" s="38"/>
      <c r="J2273" s="31">
        <f t="shared" si="9"/>
        <v>0</v>
      </c>
    </row>
    <row r="2274">
      <c r="A2274" s="28">
        <v>38.0</v>
      </c>
      <c r="B2274" s="28">
        <v>37.0</v>
      </c>
      <c r="C2274" s="28">
        <v>53.4919454885585</v>
      </c>
      <c r="D2274" s="28">
        <v>9.99782759403308</v>
      </c>
      <c r="E2274" s="28" t="s">
        <v>15</v>
      </c>
      <c r="F2274" s="28" t="s">
        <v>168</v>
      </c>
      <c r="G2274" s="38"/>
      <c r="H2274" s="38"/>
      <c r="J2274" s="31">
        <f t="shared" si="9"/>
        <v>0</v>
      </c>
    </row>
    <row r="2275">
      <c r="A2275" s="28">
        <v>38.0</v>
      </c>
      <c r="B2275" s="28">
        <v>38.0</v>
      </c>
      <c r="C2275" s="28">
        <v>53.4919329613831</v>
      </c>
      <c r="D2275" s="28">
        <v>9.99806826448684</v>
      </c>
      <c r="E2275" s="28" t="s">
        <v>15</v>
      </c>
      <c r="F2275" s="28" t="s">
        <v>168</v>
      </c>
      <c r="G2275" s="29" t="s">
        <v>164</v>
      </c>
      <c r="H2275" s="35" t="s">
        <v>985</v>
      </c>
      <c r="J2275" s="31">
        <f t="shared" si="9"/>
        <v>133</v>
      </c>
    </row>
    <row r="2276">
      <c r="A2276" s="28">
        <v>38.0</v>
      </c>
      <c r="B2276" s="28">
        <v>39.0</v>
      </c>
      <c r="C2276" s="28">
        <v>53.4919204342077</v>
      </c>
      <c r="D2276" s="28">
        <v>9.99830893486955</v>
      </c>
      <c r="E2276" s="28" t="s">
        <v>15</v>
      </c>
      <c r="F2276" s="28" t="s">
        <v>168</v>
      </c>
      <c r="G2276" s="38"/>
      <c r="H2276" s="38"/>
      <c r="J2276" s="31">
        <f t="shared" si="9"/>
        <v>0</v>
      </c>
    </row>
    <row r="2277">
      <c r="A2277" s="28">
        <v>38.0</v>
      </c>
      <c r="B2277" s="28">
        <v>40.0</v>
      </c>
      <c r="C2277" s="28">
        <v>53.4919079070322</v>
      </c>
      <c r="D2277" s="28">
        <v>9.99854960518121</v>
      </c>
      <c r="E2277" s="28" t="s">
        <v>15</v>
      </c>
      <c r="F2277" s="28" t="s">
        <v>168</v>
      </c>
      <c r="G2277" s="38"/>
      <c r="H2277" s="38"/>
      <c r="J2277" s="31">
        <f t="shared" si="9"/>
        <v>0</v>
      </c>
    </row>
    <row r="2278">
      <c r="A2278" s="28">
        <v>38.0</v>
      </c>
      <c r="B2278" s="28">
        <v>41.0</v>
      </c>
      <c r="C2278" s="28">
        <v>53.4918953798568</v>
      </c>
      <c r="D2278" s="28">
        <v>9.99879027542169</v>
      </c>
      <c r="E2278" s="28" t="s">
        <v>15</v>
      </c>
      <c r="F2278" s="28" t="s">
        <v>168</v>
      </c>
      <c r="G2278" s="29" t="s">
        <v>164</v>
      </c>
      <c r="H2278" s="35" t="s">
        <v>986</v>
      </c>
      <c r="J2278" s="31">
        <f t="shared" si="9"/>
        <v>133</v>
      </c>
    </row>
    <row r="2279">
      <c r="A2279" s="28">
        <v>38.0</v>
      </c>
      <c r="B2279" s="28">
        <v>42.0</v>
      </c>
      <c r="C2279" s="28">
        <v>53.4918828526813</v>
      </c>
      <c r="D2279" s="28">
        <v>9.99903094559113</v>
      </c>
      <c r="E2279" s="28" t="s">
        <v>15</v>
      </c>
      <c r="F2279" s="28" t="s">
        <v>168</v>
      </c>
      <c r="G2279" s="38"/>
      <c r="H2279" s="38"/>
      <c r="J2279" s="31">
        <f t="shared" si="9"/>
        <v>0</v>
      </c>
    </row>
    <row r="2280">
      <c r="A2280" s="28">
        <v>38.0</v>
      </c>
      <c r="B2280" s="28">
        <v>43.0</v>
      </c>
      <c r="C2280" s="28">
        <v>53.4918703255059</v>
      </c>
      <c r="D2280" s="28">
        <v>9.9992716156895</v>
      </c>
      <c r="E2280" s="28" t="s">
        <v>15</v>
      </c>
      <c r="F2280" s="28" t="s">
        <v>168</v>
      </c>
      <c r="G2280" s="38"/>
      <c r="H2280" s="38"/>
      <c r="J2280" s="31">
        <f t="shared" si="9"/>
        <v>0</v>
      </c>
    </row>
    <row r="2281">
      <c r="A2281" s="28">
        <v>38.0</v>
      </c>
      <c r="B2281" s="28">
        <v>44.0</v>
      </c>
      <c r="C2281" s="28">
        <v>53.4918577983304</v>
      </c>
      <c r="D2281" s="28">
        <v>9.99951228571671</v>
      </c>
      <c r="E2281" s="28" t="s">
        <v>15</v>
      </c>
      <c r="F2281" s="28" t="s">
        <v>168</v>
      </c>
      <c r="G2281" s="29" t="s">
        <v>164</v>
      </c>
      <c r="H2281" s="35" t="s">
        <v>987</v>
      </c>
      <c r="J2281" s="31">
        <f t="shared" si="9"/>
        <v>133</v>
      </c>
    </row>
    <row r="2282">
      <c r="A2282" s="28">
        <v>38.0</v>
      </c>
      <c r="B2282" s="28">
        <v>45.0</v>
      </c>
      <c r="C2282" s="28">
        <v>53.491845271155</v>
      </c>
      <c r="D2282" s="28">
        <v>9.99975295567287</v>
      </c>
      <c r="E2282" s="28" t="s">
        <v>15</v>
      </c>
      <c r="F2282" s="28" t="s">
        <v>168</v>
      </c>
      <c r="G2282" s="38"/>
      <c r="H2282" s="38"/>
      <c r="J2282" s="31">
        <f t="shared" si="9"/>
        <v>0</v>
      </c>
    </row>
    <row r="2283">
      <c r="A2283" s="28">
        <v>38.0</v>
      </c>
      <c r="B2283" s="28">
        <v>46.0</v>
      </c>
      <c r="C2283" s="28">
        <v>53.4918327439795</v>
      </c>
      <c r="D2283" s="28">
        <v>9.99999362555797</v>
      </c>
      <c r="E2283" s="28" t="s">
        <v>25</v>
      </c>
      <c r="F2283" s="28" t="s">
        <v>14</v>
      </c>
      <c r="G2283" s="38"/>
      <c r="H2283" s="38"/>
      <c r="J2283" s="31">
        <f t="shared" si="9"/>
        <v>0</v>
      </c>
    </row>
    <row r="2284">
      <c r="A2284" s="28">
        <v>38.0</v>
      </c>
      <c r="B2284" s="28">
        <v>47.0</v>
      </c>
      <c r="C2284" s="28">
        <v>53.4918202168041</v>
      </c>
      <c r="D2284" s="28">
        <v>10.0002342953719</v>
      </c>
      <c r="E2284" s="28" t="s">
        <v>25</v>
      </c>
      <c r="F2284" s="28" t="s">
        <v>14</v>
      </c>
      <c r="G2284" s="38"/>
      <c r="H2284" s="38"/>
      <c r="J2284" s="31">
        <f t="shared" si="9"/>
        <v>0</v>
      </c>
    </row>
    <row r="2285">
      <c r="A2285" s="28">
        <v>38.0</v>
      </c>
      <c r="B2285" s="28">
        <v>48.0</v>
      </c>
      <c r="C2285" s="28">
        <v>53.4918076896287</v>
      </c>
      <c r="D2285" s="28">
        <v>10.0004749651147</v>
      </c>
      <c r="E2285" s="28" t="s">
        <v>25</v>
      </c>
      <c r="F2285" s="28" t="s">
        <v>14</v>
      </c>
      <c r="G2285" s="38"/>
      <c r="H2285" s="38"/>
      <c r="J2285" s="31">
        <f t="shared" si="9"/>
        <v>0</v>
      </c>
    </row>
    <row r="2286">
      <c r="A2286" s="28">
        <v>38.0</v>
      </c>
      <c r="B2286" s="28">
        <v>49.0</v>
      </c>
      <c r="C2286" s="28">
        <v>53.4917951624532</v>
      </c>
      <c r="D2286" s="28">
        <v>10.0007156347866</v>
      </c>
      <c r="E2286" s="28" t="s">
        <v>25</v>
      </c>
      <c r="F2286" s="28" t="s">
        <v>14</v>
      </c>
      <c r="G2286" s="38"/>
      <c r="H2286" s="38"/>
      <c r="J2286" s="31">
        <f t="shared" si="9"/>
        <v>0</v>
      </c>
    </row>
    <row r="2287">
      <c r="A2287" s="28">
        <v>38.0</v>
      </c>
      <c r="B2287" s="28">
        <v>50.0</v>
      </c>
      <c r="C2287" s="28">
        <v>53.4917826352778</v>
      </c>
      <c r="D2287" s="28">
        <v>10.0009563043872</v>
      </c>
      <c r="E2287" s="28" t="s">
        <v>25</v>
      </c>
      <c r="F2287" s="28" t="s">
        <v>14</v>
      </c>
      <c r="G2287" s="38"/>
      <c r="H2287" s="38"/>
      <c r="J2287" s="31">
        <f t="shared" si="9"/>
        <v>0</v>
      </c>
    </row>
    <row r="2288">
      <c r="A2288" s="28">
        <v>38.0</v>
      </c>
      <c r="B2288" s="28">
        <v>51.0</v>
      </c>
      <c r="C2288" s="28">
        <v>53.4917701081023</v>
      </c>
      <c r="D2288" s="28">
        <v>10.0011969739168</v>
      </c>
      <c r="E2288" s="28" t="s">
        <v>25</v>
      </c>
      <c r="F2288" s="28" t="s">
        <v>14</v>
      </c>
      <c r="G2288" s="38"/>
      <c r="H2288" s="38"/>
      <c r="J2288" s="31">
        <f t="shared" si="9"/>
        <v>0</v>
      </c>
    </row>
    <row r="2289">
      <c r="A2289" s="28">
        <v>38.0</v>
      </c>
      <c r="B2289" s="28">
        <v>52.0</v>
      </c>
      <c r="C2289" s="28">
        <v>53.4917575809269</v>
      </c>
      <c r="D2289" s="28">
        <v>10.0014376433754</v>
      </c>
      <c r="E2289" s="28" t="s">
        <v>25</v>
      </c>
      <c r="F2289" s="28" t="s">
        <v>14</v>
      </c>
      <c r="G2289" s="38"/>
      <c r="H2289" s="38"/>
      <c r="J2289" s="31">
        <f t="shared" si="9"/>
        <v>0</v>
      </c>
    </row>
    <row r="2290">
      <c r="A2290" s="28">
        <v>38.0</v>
      </c>
      <c r="B2290" s="28">
        <v>53.0</v>
      </c>
      <c r="C2290" s="28">
        <v>53.4917450537514</v>
      </c>
      <c r="D2290" s="28">
        <v>10.0016783127628</v>
      </c>
      <c r="E2290" s="28" t="s">
        <v>25</v>
      </c>
      <c r="F2290" s="28" t="s">
        <v>14</v>
      </c>
      <c r="G2290" s="38"/>
      <c r="H2290" s="38"/>
      <c r="J2290" s="31">
        <f t="shared" si="9"/>
        <v>0</v>
      </c>
    </row>
    <row r="2291">
      <c r="A2291" s="28">
        <v>38.0</v>
      </c>
      <c r="B2291" s="28">
        <v>54.0</v>
      </c>
      <c r="C2291" s="28">
        <v>53.491732526576</v>
      </c>
      <c r="D2291" s="28">
        <v>10.0019189820791</v>
      </c>
      <c r="E2291" s="28" t="s">
        <v>25</v>
      </c>
      <c r="F2291" s="28" t="s">
        <v>14</v>
      </c>
      <c r="G2291" s="38"/>
      <c r="H2291" s="38"/>
      <c r="J2291" s="31">
        <f t="shared" si="9"/>
        <v>0</v>
      </c>
    </row>
    <row r="2292">
      <c r="A2292" s="28">
        <v>38.0</v>
      </c>
      <c r="B2292" s="28">
        <v>55.0</v>
      </c>
      <c r="C2292" s="28">
        <v>53.4917199994006</v>
      </c>
      <c r="D2292" s="28">
        <v>10.0021596513244</v>
      </c>
      <c r="E2292" s="28" t="s">
        <v>25</v>
      </c>
      <c r="F2292" s="28" t="s">
        <v>14</v>
      </c>
      <c r="G2292" s="38"/>
      <c r="H2292" s="38"/>
      <c r="J2292" s="31">
        <f t="shared" si="9"/>
        <v>0</v>
      </c>
    </row>
    <row r="2293">
      <c r="A2293" s="28">
        <v>38.0</v>
      </c>
      <c r="B2293" s="28">
        <v>56.0</v>
      </c>
      <c r="C2293" s="28">
        <v>53.4917074722251</v>
      </c>
      <c r="D2293" s="28">
        <v>10.0024003204985</v>
      </c>
      <c r="E2293" s="28" t="s">
        <v>25</v>
      </c>
      <c r="F2293" s="28" t="s">
        <v>14</v>
      </c>
      <c r="G2293" s="38"/>
      <c r="H2293" s="38"/>
      <c r="J2293" s="31">
        <f t="shared" si="9"/>
        <v>0</v>
      </c>
    </row>
    <row r="2294">
      <c r="A2294" s="28">
        <v>38.0</v>
      </c>
      <c r="B2294" s="28">
        <v>57.0</v>
      </c>
      <c r="C2294" s="28">
        <v>53.4916949450497</v>
      </c>
      <c r="D2294" s="28">
        <v>10.0026409896015</v>
      </c>
      <c r="E2294" s="28" t="s">
        <v>15</v>
      </c>
      <c r="F2294" s="28" t="s">
        <v>168</v>
      </c>
      <c r="G2294" s="29" t="s">
        <v>164</v>
      </c>
      <c r="H2294" s="35" t="s">
        <v>988</v>
      </c>
      <c r="J2294" s="31">
        <f t="shared" si="9"/>
        <v>133</v>
      </c>
    </row>
    <row r="2295">
      <c r="A2295" s="28">
        <v>38.0</v>
      </c>
      <c r="B2295" s="28">
        <v>58.0</v>
      </c>
      <c r="C2295" s="28">
        <v>53.4916824178742</v>
      </c>
      <c r="D2295" s="28">
        <v>10.0028816586335</v>
      </c>
      <c r="E2295" s="28" t="s">
        <v>15</v>
      </c>
      <c r="F2295" s="28" t="s">
        <v>168</v>
      </c>
      <c r="G2295" s="38"/>
      <c r="H2295" s="38"/>
      <c r="J2295" s="31">
        <f t="shared" si="9"/>
        <v>0</v>
      </c>
    </row>
    <row r="2296">
      <c r="A2296" s="28">
        <v>38.0</v>
      </c>
      <c r="B2296" s="28">
        <v>59.0</v>
      </c>
      <c r="C2296" s="28">
        <v>53.4916698906988</v>
      </c>
      <c r="D2296" s="28">
        <v>10.0031223275944</v>
      </c>
      <c r="E2296" s="28" t="s">
        <v>15</v>
      </c>
      <c r="F2296" s="28" t="s">
        <v>168</v>
      </c>
      <c r="G2296" s="38"/>
      <c r="H2296" s="38"/>
      <c r="J2296" s="31">
        <f t="shared" si="9"/>
        <v>0</v>
      </c>
    </row>
    <row r="2297">
      <c r="A2297" s="28">
        <v>38.0</v>
      </c>
      <c r="B2297" s="28">
        <v>60.0</v>
      </c>
      <c r="C2297" s="28">
        <v>53.4916573635233</v>
      </c>
      <c r="D2297" s="28">
        <v>10.0033629964843</v>
      </c>
      <c r="E2297" s="28" t="s">
        <v>25</v>
      </c>
      <c r="F2297" s="28" t="s">
        <v>14</v>
      </c>
      <c r="G2297" s="29" t="s">
        <v>94</v>
      </c>
      <c r="H2297" s="33" t="s">
        <v>989</v>
      </c>
      <c r="J2297" s="31">
        <f t="shared" si="9"/>
        <v>42</v>
      </c>
    </row>
    <row r="2298">
      <c r="A2298" s="28">
        <v>39.0</v>
      </c>
      <c r="B2298" s="28">
        <v>1.0</v>
      </c>
      <c r="C2298" s="28">
        <v>53.4922532833651</v>
      </c>
      <c r="D2298" s="28">
        <v>9.98914235425343</v>
      </c>
      <c r="E2298" s="28" t="s">
        <v>25</v>
      </c>
      <c r="F2298" s="28" t="s">
        <v>14</v>
      </c>
      <c r="G2298" s="38"/>
      <c r="H2298" s="38"/>
      <c r="J2298" s="31">
        <f t="shared" si="9"/>
        <v>0</v>
      </c>
    </row>
    <row r="2299">
      <c r="A2299" s="28">
        <v>39.0</v>
      </c>
      <c r="B2299" s="28">
        <v>2.0</v>
      </c>
      <c r="C2299" s="28">
        <v>53.4922407561896</v>
      </c>
      <c r="D2299" s="28">
        <v>9.98938302645399</v>
      </c>
      <c r="E2299" s="28" t="s">
        <v>15</v>
      </c>
      <c r="F2299" s="28" t="s">
        <v>168</v>
      </c>
      <c r="G2299" s="38"/>
      <c r="H2299" s="38"/>
      <c r="J2299" s="31">
        <f t="shared" si="9"/>
        <v>0</v>
      </c>
    </row>
    <row r="2300">
      <c r="A2300" s="28">
        <v>39.0</v>
      </c>
      <c r="B2300" s="28">
        <v>3.0</v>
      </c>
      <c r="C2300" s="28">
        <v>53.4922282290142</v>
      </c>
      <c r="D2300" s="28">
        <v>9.9896236985835</v>
      </c>
      <c r="E2300" s="28" t="s">
        <v>15</v>
      </c>
      <c r="F2300" s="28" t="s">
        <v>168</v>
      </c>
      <c r="G2300" s="38"/>
      <c r="H2300" s="38"/>
      <c r="J2300" s="31">
        <f t="shared" si="9"/>
        <v>0</v>
      </c>
    </row>
    <row r="2301">
      <c r="A2301" s="28">
        <v>39.0</v>
      </c>
      <c r="B2301" s="28">
        <v>4.0</v>
      </c>
      <c r="C2301" s="28">
        <v>53.4922157018387</v>
      </c>
      <c r="D2301" s="28">
        <v>9.98986437064184</v>
      </c>
      <c r="E2301" s="28" t="s">
        <v>15</v>
      </c>
      <c r="F2301" s="28" t="s">
        <v>168</v>
      </c>
      <c r="G2301" s="38"/>
      <c r="H2301" s="38"/>
      <c r="J2301" s="31">
        <f t="shared" si="9"/>
        <v>0</v>
      </c>
    </row>
    <row r="2302">
      <c r="A2302" s="28">
        <v>39.0</v>
      </c>
      <c r="B2302" s="28">
        <v>5.0</v>
      </c>
      <c r="C2302" s="28">
        <v>53.4922031746633</v>
      </c>
      <c r="D2302" s="28">
        <v>9.99010504262912</v>
      </c>
      <c r="E2302" s="28" t="s">
        <v>15</v>
      </c>
      <c r="F2302" s="28" t="s">
        <v>168</v>
      </c>
      <c r="G2302" s="38"/>
      <c r="H2302" s="38"/>
      <c r="J2302" s="31">
        <f t="shared" si="9"/>
        <v>0</v>
      </c>
    </row>
    <row r="2303">
      <c r="A2303" s="28">
        <v>39.0</v>
      </c>
      <c r="B2303" s="28">
        <v>6.0</v>
      </c>
      <c r="C2303" s="28">
        <v>53.4921906474878</v>
      </c>
      <c r="D2303" s="28">
        <v>9.99034571454535</v>
      </c>
      <c r="E2303" s="28" t="s">
        <v>15</v>
      </c>
      <c r="F2303" s="28" t="s">
        <v>168</v>
      </c>
      <c r="G2303" s="38"/>
      <c r="H2303" s="38"/>
      <c r="J2303" s="31">
        <f t="shared" si="9"/>
        <v>0</v>
      </c>
    </row>
    <row r="2304">
      <c r="A2304" s="28">
        <v>39.0</v>
      </c>
      <c r="B2304" s="28">
        <v>7.0</v>
      </c>
      <c r="C2304" s="28">
        <v>53.4921781203124</v>
      </c>
      <c r="D2304" s="28">
        <v>9.99058638639041</v>
      </c>
      <c r="E2304" s="28" t="s">
        <v>15</v>
      </c>
      <c r="F2304" s="28" t="s">
        <v>168</v>
      </c>
      <c r="G2304" s="38"/>
      <c r="H2304" s="38"/>
      <c r="J2304" s="31">
        <f t="shared" si="9"/>
        <v>0</v>
      </c>
    </row>
    <row r="2305">
      <c r="A2305" s="28">
        <v>39.0</v>
      </c>
      <c r="B2305" s="28">
        <v>8.0</v>
      </c>
      <c r="C2305" s="28">
        <v>53.4921655931369</v>
      </c>
      <c r="D2305" s="28">
        <v>9.99082705816442</v>
      </c>
      <c r="E2305" s="28" t="s">
        <v>25</v>
      </c>
      <c r="F2305" s="28" t="s">
        <v>14</v>
      </c>
      <c r="G2305" s="38"/>
      <c r="H2305" s="38"/>
      <c r="J2305" s="31">
        <f t="shared" si="9"/>
        <v>0</v>
      </c>
    </row>
    <row r="2306">
      <c r="A2306" s="28">
        <v>39.0</v>
      </c>
      <c r="B2306" s="28">
        <v>9.0</v>
      </c>
      <c r="C2306" s="28">
        <v>53.4921530659615</v>
      </c>
      <c r="D2306" s="28">
        <v>9.99106772986738</v>
      </c>
      <c r="E2306" s="28" t="s">
        <v>25</v>
      </c>
      <c r="F2306" s="28" t="s">
        <v>14</v>
      </c>
      <c r="G2306" s="38"/>
      <c r="H2306" s="38"/>
      <c r="J2306" s="31">
        <f t="shared" si="9"/>
        <v>0</v>
      </c>
    </row>
    <row r="2307">
      <c r="A2307" s="28">
        <v>39.0</v>
      </c>
      <c r="B2307" s="28">
        <v>10.0</v>
      </c>
      <c r="C2307" s="28">
        <v>53.492140538786</v>
      </c>
      <c r="D2307" s="28">
        <v>9.99130840149916</v>
      </c>
      <c r="E2307" s="28" t="s">
        <v>25</v>
      </c>
      <c r="F2307" s="28" t="s">
        <v>14</v>
      </c>
      <c r="G2307" s="38"/>
      <c r="H2307" s="38"/>
      <c r="J2307" s="31">
        <f t="shared" si="9"/>
        <v>0</v>
      </c>
    </row>
    <row r="2308">
      <c r="A2308" s="28">
        <v>39.0</v>
      </c>
      <c r="B2308" s="28">
        <v>11.0</v>
      </c>
      <c r="C2308" s="28">
        <v>53.4921280116106</v>
      </c>
      <c r="D2308" s="28">
        <v>9.9915490730599</v>
      </c>
      <c r="E2308" s="28" t="s">
        <v>25</v>
      </c>
      <c r="F2308" s="28" t="s">
        <v>14</v>
      </c>
      <c r="G2308" s="38"/>
      <c r="H2308" s="38"/>
      <c r="J2308" s="31">
        <f t="shared" si="9"/>
        <v>0</v>
      </c>
    </row>
    <row r="2309">
      <c r="A2309" s="28">
        <v>39.0</v>
      </c>
      <c r="B2309" s="28">
        <v>12.0</v>
      </c>
      <c r="C2309" s="28">
        <v>53.4921154844351</v>
      </c>
      <c r="D2309" s="28">
        <v>9.99178974454957</v>
      </c>
      <c r="E2309" s="28" t="s">
        <v>25</v>
      </c>
      <c r="F2309" s="28" t="s">
        <v>14</v>
      </c>
      <c r="G2309" s="38"/>
      <c r="H2309" s="38"/>
      <c r="J2309" s="31">
        <f t="shared" si="9"/>
        <v>0</v>
      </c>
    </row>
    <row r="2310">
      <c r="A2310" s="28">
        <v>39.0</v>
      </c>
      <c r="B2310" s="28">
        <v>13.0</v>
      </c>
      <c r="C2310" s="28">
        <v>53.4921029572597</v>
      </c>
      <c r="D2310" s="28">
        <v>9.99203041596808</v>
      </c>
      <c r="E2310" s="28" t="s">
        <v>15</v>
      </c>
      <c r="F2310" s="28" t="s">
        <v>168</v>
      </c>
      <c r="G2310" s="29" t="s">
        <v>40</v>
      </c>
      <c r="H2310" s="36" t="s">
        <v>990</v>
      </c>
      <c r="J2310" s="31">
        <f t="shared" si="9"/>
        <v>88</v>
      </c>
    </row>
    <row r="2311">
      <c r="A2311" s="28">
        <v>39.0</v>
      </c>
      <c r="B2311" s="28">
        <v>14.0</v>
      </c>
      <c r="C2311" s="28">
        <v>53.4920904300842</v>
      </c>
      <c r="D2311" s="28">
        <v>9.99227108731554</v>
      </c>
      <c r="E2311" s="28" t="s">
        <v>15</v>
      </c>
      <c r="F2311" s="28" t="s">
        <v>168</v>
      </c>
      <c r="G2311" s="29" t="s">
        <v>724</v>
      </c>
      <c r="H2311" s="30" t="s">
        <v>991</v>
      </c>
      <c r="J2311" s="31">
        <f t="shared" si="9"/>
        <v>12</v>
      </c>
    </row>
    <row r="2312">
      <c r="A2312" s="28">
        <v>39.0</v>
      </c>
      <c r="B2312" s="28">
        <v>15.0</v>
      </c>
      <c r="C2312" s="28">
        <v>53.4920779029088</v>
      </c>
      <c r="D2312" s="28">
        <v>9.99251175859194</v>
      </c>
      <c r="E2312" s="28" t="s">
        <v>15</v>
      </c>
      <c r="F2312" s="28" t="s">
        <v>168</v>
      </c>
      <c r="G2312" s="29" t="s">
        <v>728</v>
      </c>
      <c r="H2312" s="30" t="s">
        <v>992</v>
      </c>
      <c r="J2312" s="31">
        <f t="shared" si="9"/>
        <v>12</v>
      </c>
    </row>
    <row r="2313">
      <c r="A2313" s="28">
        <v>39.0</v>
      </c>
      <c r="B2313" s="28">
        <v>16.0</v>
      </c>
      <c r="C2313" s="28">
        <v>53.4920653757334</v>
      </c>
      <c r="D2313" s="28">
        <v>9.99275242979717</v>
      </c>
      <c r="E2313" s="28" t="s">
        <v>15</v>
      </c>
      <c r="F2313" s="28" t="s">
        <v>168</v>
      </c>
      <c r="G2313" s="29" t="s">
        <v>40</v>
      </c>
      <c r="H2313" s="36" t="s">
        <v>993</v>
      </c>
      <c r="J2313" s="31">
        <f t="shared" si="9"/>
        <v>88</v>
      </c>
    </row>
    <row r="2314">
      <c r="A2314" s="28">
        <v>39.0</v>
      </c>
      <c r="B2314" s="28">
        <v>17.0</v>
      </c>
      <c r="C2314" s="28">
        <v>53.4920528485579</v>
      </c>
      <c r="D2314" s="28">
        <v>9.99299310093135</v>
      </c>
      <c r="E2314" s="28" t="s">
        <v>15</v>
      </c>
      <c r="F2314" s="28" t="s">
        <v>168</v>
      </c>
      <c r="G2314" s="38"/>
      <c r="H2314" s="38"/>
      <c r="J2314" s="31">
        <f t="shared" si="9"/>
        <v>0</v>
      </c>
    </row>
    <row r="2315">
      <c r="A2315" s="28">
        <v>39.0</v>
      </c>
      <c r="B2315" s="28">
        <v>18.0</v>
      </c>
      <c r="C2315" s="28">
        <v>53.4920403213825</v>
      </c>
      <c r="D2315" s="28">
        <v>9.99323377199448</v>
      </c>
      <c r="E2315" s="28" t="s">
        <v>15</v>
      </c>
      <c r="F2315" s="28" t="s">
        <v>168</v>
      </c>
      <c r="G2315" s="38"/>
      <c r="H2315" s="38"/>
      <c r="J2315" s="31">
        <f t="shared" si="9"/>
        <v>0</v>
      </c>
    </row>
    <row r="2316">
      <c r="A2316" s="28">
        <v>39.0</v>
      </c>
      <c r="B2316" s="28">
        <v>19.0</v>
      </c>
      <c r="C2316" s="28">
        <v>53.492027794207</v>
      </c>
      <c r="D2316" s="28">
        <v>9.99347444298644</v>
      </c>
      <c r="E2316" s="28" t="s">
        <v>15</v>
      </c>
      <c r="F2316" s="28" t="s">
        <v>168</v>
      </c>
      <c r="G2316" s="29" t="s">
        <v>40</v>
      </c>
      <c r="H2316" s="36" t="s">
        <v>994</v>
      </c>
      <c r="J2316" s="31">
        <f t="shared" si="9"/>
        <v>88</v>
      </c>
    </row>
    <row r="2317">
      <c r="A2317" s="28">
        <v>39.0</v>
      </c>
      <c r="B2317" s="28">
        <v>20.0</v>
      </c>
      <c r="C2317" s="28">
        <v>53.4920152670316</v>
      </c>
      <c r="D2317" s="28">
        <v>9.99371511390734</v>
      </c>
      <c r="E2317" s="28" t="s">
        <v>15</v>
      </c>
      <c r="F2317" s="28" t="s">
        <v>168</v>
      </c>
      <c r="G2317" s="38"/>
      <c r="H2317" s="38"/>
      <c r="J2317" s="31">
        <f t="shared" si="9"/>
        <v>0</v>
      </c>
    </row>
    <row r="2318">
      <c r="A2318" s="28">
        <v>39.0</v>
      </c>
      <c r="B2318" s="28">
        <v>21.0</v>
      </c>
      <c r="C2318" s="28">
        <v>53.4920027398561</v>
      </c>
      <c r="D2318" s="28">
        <v>9.99395578475719</v>
      </c>
      <c r="E2318" s="28" t="s">
        <v>15</v>
      </c>
      <c r="F2318" s="28" t="s">
        <v>168</v>
      </c>
      <c r="G2318" s="38"/>
      <c r="H2318" s="38"/>
      <c r="J2318" s="31">
        <f t="shared" si="9"/>
        <v>0</v>
      </c>
    </row>
    <row r="2319">
      <c r="A2319" s="28">
        <v>39.0</v>
      </c>
      <c r="B2319" s="28">
        <v>22.0</v>
      </c>
      <c r="C2319" s="28">
        <v>53.4919902126807</v>
      </c>
      <c r="D2319" s="28">
        <v>9.99419645553587</v>
      </c>
      <c r="E2319" s="28" t="s">
        <v>15</v>
      </c>
      <c r="F2319" s="28" t="s">
        <v>168</v>
      </c>
      <c r="G2319" s="29" t="s">
        <v>40</v>
      </c>
      <c r="H2319" s="36" t="s">
        <v>995</v>
      </c>
      <c r="J2319" s="31">
        <f t="shared" si="9"/>
        <v>88</v>
      </c>
    </row>
    <row r="2320">
      <c r="A2320" s="28">
        <v>39.0</v>
      </c>
      <c r="B2320" s="28">
        <v>23.0</v>
      </c>
      <c r="C2320" s="28">
        <v>53.4919776855053</v>
      </c>
      <c r="D2320" s="28">
        <v>9.99443712624349</v>
      </c>
      <c r="E2320" s="28" t="s">
        <v>15</v>
      </c>
      <c r="F2320" s="28" t="s">
        <v>168</v>
      </c>
      <c r="G2320" s="38"/>
      <c r="H2320" s="38"/>
      <c r="J2320" s="31">
        <f t="shared" si="9"/>
        <v>0</v>
      </c>
    </row>
    <row r="2321">
      <c r="A2321" s="28">
        <v>39.0</v>
      </c>
      <c r="B2321" s="28">
        <v>24.0</v>
      </c>
      <c r="C2321" s="28">
        <v>53.4919651583298</v>
      </c>
      <c r="D2321" s="28">
        <v>9.99467779688006</v>
      </c>
      <c r="E2321" s="28" t="s">
        <v>15</v>
      </c>
      <c r="F2321" s="28" t="s">
        <v>168</v>
      </c>
      <c r="G2321" s="38"/>
      <c r="H2321" s="38"/>
      <c r="J2321" s="31">
        <f t="shared" si="9"/>
        <v>0</v>
      </c>
    </row>
    <row r="2322">
      <c r="A2322" s="28">
        <v>39.0</v>
      </c>
      <c r="B2322" s="28">
        <v>25.0</v>
      </c>
      <c r="C2322" s="28">
        <v>53.4919526311544</v>
      </c>
      <c r="D2322" s="28">
        <v>9.99491846744547</v>
      </c>
      <c r="E2322" s="28" t="s">
        <v>15</v>
      </c>
      <c r="F2322" s="28" t="s">
        <v>168</v>
      </c>
      <c r="G2322" s="29" t="s">
        <v>40</v>
      </c>
      <c r="H2322" s="36" t="s">
        <v>996</v>
      </c>
      <c r="J2322" s="31">
        <f t="shared" si="9"/>
        <v>88</v>
      </c>
    </row>
    <row r="2323">
      <c r="A2323" s="28">
        <v>39.0</v>
      </c>
      <c r="B2323" s="28">
        <v>26.0</v>
      </c>
      <c r="C2323" s="28">
        <v>53.4919401039789</v>
      </c>
      <c r="D2323" s="28">
        <v>9.99515913793982</v>
      </c>
      <c r="E2323" s="28" t="s">
        <v>15</v>
      </c>
      <c r="F2323" s="28" t="s">
        <v>168</v>
      </c>
      <c r="G2323" s="38"/>
      <c r="H2323" s="38"/>
      <c r="J2323" s="31">
        <f t="shared" si="9"/>
        <v>0</v>
      </c>
    </row>
    <row r="2324">
      <c r="A2324" s="28">
        <v>39.0</v>
      </c>
      <c r="B2324" s="28">
        <v>27.0</v>
      </c>
      <c r="C2324" s="28">
        <v>53.4919275768035</v>
      </c>
      <c r="D2324" s="28">
        <v>9.99539980836311</v>
      </c>
      <c r="E2324" s="28" t="s">
        <v>25</v>
      </c>
      <c r="F2324" s="28" t="s">
        <v>14</v>
      </c>
      <c r="G2324" s="38"/>
      <c r="H2324" s="38"/>
      <c r="J2324" s="31">
        <f t="shared" si="9"/>
        <v>0</v>
      </c>
    </row>
    <row r="2325">
      <c r="A2325" s="28">
        <v>39.0</v>
      </c>
      <c r="B2325" s="28">
        <v>28.0</v>
      </c>
      <c r="C2325" s="28">
        <v>53.491915049628</v>
      </c>
      <c r="D2325" s="28">
        <v>9.99564047871524</v>
      </c>
      <c r="E2325" s="28" t="s">
        <v>25</v>
      </c>
      <c r="F2325" s="28" t="s">
        <v>14</v>
      </c>
      <c r="G2325" s="38"/>
      <c r="H2325" s="38"/>
      <c r="J2325" s="31">
        <f t="shared" si="9"/>
        <v>0</v>
      </c>
    </row>
    <row r="2326">
      <c r="A2326" s="28">
        <v>39.0</v>
      </c>
      <c r="B2326" s="28">
        <v>29.0</v>
      </c>
      <c r="C2326" s="28">
        <v>53.4919025224526</v>
      </c>
      <c r="D2326" s="28">
        <v>9.99588114899631</v>
      </c>
      <c r="E2326" s="28" t="s">
        <v>25</v>
      </c>
      <c r="F2326" s="28" t="s">
        <v>14</v>
      </c>
      <c r="G2326" s="38"/>
      <c r="H2326" s="38"/>
      <c r="J2326" s="31">
        <f t="shared" si="9"/>
        <v>0</v>
      </c>
    </row>
    <row r="2327">
      <c r="A2327" s="28">
        <v>39.0</v>
      </c>
      <c r="B2327" s="28">
        <v>30.0</v>
      </c>
      <c r="C2327" s="28">
        <v>53.4918899952771</v>
      </c>
      <c r="D2327" s="28">
        <v>9.99612181920633</v>
      </c>
      <c r="E2327" s="28" t="s">
        <v>25</v>
      </c>
      <c r="F2327" s="28" t="s">
        <v>14</v>
      </c>
      <c r="G2327" s="38"/>
      <c r="H2327" s="38"/>
      <c r="J2327" s="31">
        <f t="shared" si="9"/>
        <v>0</v>
      </c>
    </row>
    <row r="2328">
      <c r="A2328" s="28">
        <v>39.0</v>
      </c>
      <c r="B2328" s="28">
        <v>31.0</v>
      </c>
      <c r="C2328" s="28">
        <v>53.4918774681017</v>
      </c>
      <c r="D2328" s="28">
        <v>9.99636248934518</v>
      </c>
      <c r="E2328" s="28" t="s">
        <v>25</v>
      </c>
      <c r="F2328" s="28" t="s">
        <v>14</v>
      </c>
      <c r="G2328" s="38"/>
      <c r="H2328" s="38"/>
      <c r="J2328" s="31">
        <f t="shared" si="9"/>
        <v>0</v>
      </c>
    </row>
    <row r="2329">
      <c r="A2329" s="28">
        <v>39.0</v>
      </c>
      <c r="B2329" s="28">
        <v>32.0</v>
      </c>
      <c r="C2329" s="28">
        <v>53.4918649409263</v>
      </c>
      <c r="D2329" s="28">
        <v>9.99660315941298</v>
      </c>
      <c r="E2329" s="28" t="s">
        <v>25</v>
      </c>
      <c r="F2329" s="28" t="s">
        <v>14</v>
      </c>
      <c r="G2329" s="38"/>
      <c r="H2329" s="38"/>
      <c r="J2329" s="31">
        <f t="shared" si="9"/>
        <v>0</v>
      </c>
    </row>
    <row r="2330">
      <c r="A2330" s="28">
        <v>39.0</v>
      </c>
      <c r="B2330" s="28">
        <v>33.0</v>
      </c>
      <c r="C2330" s="28">
        <v>53.4918524137508</v>
      </c>
      <c r="D2330" s="28">
        <v>9.99684382940972</v>
      </c>
      <c r="E2330" s="28" t="s">
        <v>25</v>
      </c>
      <c r="F2330" s="28" t="s">
        <v>14</v>
      </c>
      <c r="G2330" s="38"/>
      <c r="H2330" s="38"/>
      <c r="J2330" s="31">
        <f t="shared" si="9"/>
        <v>0</v>
      </c>
    </row>
    <row r="2331">
      <c r="A2331" s="28">
        <v>39.0</v>
      </c>
      <c r="B2331" s="28">
        <v>34.0</v>
      </c>
      <c r="C2331" s="28">
        <v>53.4918398865754</v>
      </c>
      <c r="D2331" s="28">
        <v>9.9970844993353</v>
      </c>
      <c r="E2331" s="28" t="s">
        <v>15</v>
      </c>
      <c r="F2331" s="28" t="s">
        <v>168</v>
      </c>
      <c r="G2331" s="38"/>
      <c r="H2331" s="38"/>
      <c r="J2331" s="31">
        <f t="shared" si="9"/>
        <v>0</v>
      </c>
    </row>
    <row r="2332">
      <c r="A2332" s="28">
        <v>39.0</v>
      </c>
      <c r="B2332" s="28">
        <v>35.0</v>
      </c>
      <c r="C2332" s="28">
        <v>53.4918273593999</v>
      </c>
      <c r="D2332" s="28">
        <v>9.99732516918982</v>
      </c>
      <c r="E2332" s="28" t="s">
        <v>15</v>
      </c>
      <c r="F2332" s="28" t="s">
        <v>168</v>
      </c>
      <c r="G2332" s="38"/>
      <c r="H2332" s="38"/>
      <c r="J2332" s="31">
        <f t="shared" si="9"/>
        <v>0</v>
      </c>
    </row>
    <row r="2333">
      <c r="A2333" s="28">
        <v>39.0</v>
      </c>
      <c r="B2333" s="28">
        <v>36.0</v>
      </c>
      <c r="C2333" s="28">
        <v>53.4918148322245</v>
      </c>
      <c r="D2333" s="28">
        <v>9.99756583897328</v>
      </c>
      <c r="E2333" s="28" t="s">
        <v>15</v>
      </c>
      <c r="F2333" s="28" t="s">
        <v>168</v>
      </c>
      <c r="G2333" s="38"/>
      <c r="H2333" s="38"/>
      <c r="J2333" s="31">
        <f t="shared" si="9"/>
        <v>0</v>
      </c>
    </row>
    <row r="2334">
      <c r="A2334" s="28">
        <v>39.0</v>
      </c>
      <c r="B2334" s="28">
        <v>37.0</v>
      </c>
      <c r="C2334" s="28">
        <v>53.491802305049</v>
      </c>
      <c r="D2334" s="28">
        <v>9.99780650868569</v>
      </c>
      <c r="E2334" s="28" t="s">
        <v>15</v>
      </c>
      <c r="F2334" s="28" t="s">
        <v>168</v>
      </c>
      <c r="G2334" s="38"/>
      <c r="H2334" s="38"/>
      <c r="J2334" s="31">
        <f t="shared" si="9"/>
        <v>0</v>
      </c>
    </row>
    <row r="2335">
      <c r="A2335" s="28">
        <v>39.0</v>
      </c>
      <c r="B2335" s="28">
        <v>38.0</v>
      </c>
      <c r="C2335" s="28">
        <v>53.4917897778736</v>
      </c>
      <c r="D2335" s="28">
        <v>9.99804717832694</v>
      </c>
      <c r="E2335" s="28" t="s">
        <v>15</v>
      </c>
      <c r="F2335" s="28" t="s">
        <v>168</v>
      </c>
      <c r="G2335" s="38"/>
      <c r="H2335" s="38"/>
      <c r="J2335" s="31">
        <f t="shared" si="9"/>
        <v>0</v>
      </c>
    </row>
    <row r="2336">
      <c r="A2336" s="28">
        <v>39.0</v>
      </c>
      <c r="B2336" s="28">
        <v>39.0</v>
      </c>
      <c r="C2336" s="28">
        <v>53.4917772506981</v>
      </c>
      <c r="D2336" s="28">
        <v>9.99828784789713</v>
      </c>
      <c r="E2336" s="28" t="s">
        <v>15</v>
      </c>
      <c r="F2336" s="28" t="s">
        <v>168</v>
      </c>
      <c r="G2336" s="38"/>
      <c r="H2336" s="38"/>
      <c r="J2336" s="31">
        <f t="shared" si="9"/>
        <v>0</v>
      </c>
    </row>
    <row r="2337">
      <c r="A2337" s="28">
        <v>39.0</v>
      </c>
      <c r="B2337" s="28">
        <v>40.0</v>
      </c>
      <c r="C2337" s="28">
        <v>53.4917647235227</v>
      </c>
      <c r="D2337" s="28">
        <v>9.99852851739615</v>
      </c>
      <c r="E2337" s="28" t="s">
        <v>15</v>
      </c>
      <c r="F2337" s="28" t="s">
        <v>168</v>
      </c>
      <c r="G2337" s="38"/>
      <c r="H2337" s="38"/>
      <c r="J2337" s="31">
        <f t="shared" si="9"/>
        <v>0</v>
      </c>
    </row>
    <row r="2338">
      <c r="A2338" s="28">
        <v>39.0</v>
      </c>
      <c r="B2338" s="28">
        <v>41.0</v>
      </c>
      <c r="C2338" s="28">
        <v>53.4917521963472</v>
      </c>
      <c r="D2338" s="28">
        <v>9.99876918682412</v>
      </c>
      <c r="E2338" s="28" t="s">
        <v>15</v>
      </c>
      <c r="F2338" s="28" t="s">
        <v>168</v>
      </c>
      <c r="G2338" s="38"/>
      <c r="H2338" s="38"/>
      <c r="J2338" s="31">
        <f t="shared" si="9"/>
        <v>0</v>
      </c>
    </row>
    <row r="2339">
      <c r="A2339" s="28">
        <v>39.0</v>
      </c>
      <c r="B2339" s="28">
        <v>42.0</v>
      </c>
      <c r="C2339" s="28">
        <v>53.4917396691718</v>
      </c>
      <c r="D2339" s="28">
        <v>9.99900985618103</v>
      </c>
      <c r="E2339" s="28" t="s">
        <v>15</v>
      </c>
      <c r="F2339" s="28" t="s">
        <v>168</v>
      </c>
      <c r="G2339" s="38"/>
      <c r="H2339" s="38"/>
      <c r="J2339" s="31">
        <f t="shared" si="9"/>
        <v>0</v>
      </c>
    </row>
    <row r="2340">
      <c r="A2340" s="28">
        <v>39.0</v>
      </c>
      <c r="B2340" s="28">
        <v>43.0</v>
      </c>
      <c r="C2340" s="28">
        <v>53.4917271419964</v>
      </c>
      <c r="D2340" s="28">
        <v>9.99925052546677</v>
      </c>
      <c r="E2340" s="28" t="s">
        <v>15</v>
      </c>
      <c r="F2340" s="28" t="s">
        <v>168</v>
      </c>
      <c r="G2340" s="38"/>
      <c r="H2340" s="38"/>
      <c r="J2340" s="31">
        <f t="shared" si="9"/>
        <v>0</v>
      </c>
    </row>
    <row r="2341">
      <c r="A2341" s="28">
        <v>39.0</v>
      </c>
      <c r="B2341" s="28">
        <v>44.0</v>
      </c>
      <c r="C2341" s="28">
        <v>53.4917146148209</v>
      </c>
      <c r="D2341" s="28">
        <v>9.99949119468146</v>
      </c>
      <c r="E2341" s="28" t="s">
        <v>15</v>
      </c>
      <c r="F2341" s="28" t="s">
        <v>168</v>
      </c>
      <c r="G2341" s="38"/>
      <c r="H2341" s="38"/>
      <c r="J2341" s="31">
        <f t="shared" si="9"/>
        <v>0</v>
      </c>
    </row>
    <row r="2342">
      <c r="A2342" s="28">
        <v>39.0</v>
      </c>
      <c r="B2342" s="28">
        <v>45.0</v>
      </c>
      <c r="C2342" s="28">
        <v>53.4917020876455</v>
      </c>
      <c r="D2342" s="28">
        <v>9.9997318638251</v>
      </c>
      <c r="E2342" s="28" t="s">
        <v>15</v>
      </c>
      <c r="F2342" s="28" t="s">
        <v>168</v>
      </c>
      <c r="G2342" s="38"/>
      <c r="H2342" s="38"/>
      <c r="J2342" s="31">
        <f t="shared" si="9"/>
        <v>0</v>
      </c>
    </row>
    <row r="2343">
      <c r="A2343" s="28">
        <v>39.0</v>
      </c>
      <c r="B2343" s="28">
        <v>46.0</v>
      </c>
      <c r="C2343" s="28">
        <v>53.49168956047</v>
      </c>
      <c r="D2343" s="28">
        <v>9.99997253289757</v>
      </c>
      <c r="E2343" s="28" t="s">
        <v>15</v>
      </c>
      <c r="F2343" s="28" t="s">
        <v>168</v>
      </c>
      <c r="G2343" s="38"/>
      <c r="H2343" s="38"/>
      <c r="J2343" s="31">
        <f t="shared" si="9"/>
        <v>0</v>
      </c>
    </row>
    <row r="2344">
      <c r="A2344" s="28">
        <v>39.0</v>
      </c>
      <c r="B2344" s="28">
        <v>47.0</v>
      </c>
      <c r="C2344" s="28">
        <v>53.4916770332946</v>
      </c>
      <c r="D2344" s="28">
        <v>10.0002132018989</v>
      </c>
      <c r="E2344" s="28" t="s">
        <v>25</v>
      </c>
      <c r="F2344" s="28" t="s">
        <v>14</v>
      </c>
      <c r="G2344" s="38"/>
      <c r="H2344" s="38"/>
      <c r="J2344" s="31">
        <f t="shared" si="9"/>
        <v>0</v>
      </c>
    </row>
    <row r="2345">
      <c r="A2345" s="28">
        <v>39.0</v>
      </c>
      <c r="B2345" s="28">
        <v>48.0</v>
      </c>
      <c r="C2345" s="28">
        <v>53.4916645061191</v>
      </c>
      <c r="D2345" s="28">
        <v>10.0004538708293</v>
      </c>
      <c r="E2345" s="28" t="s">
        <v>25</v>
      </c>
      <c r="F2345" s="28" t="s">
        <v>14</v>
      </c>
      <c r="G2345" s="38"/>
      <c r="H2345" s="38"/>
      <c r="J2345" s="31">
        <f t="shared" si="9"/>
        <v>0</v>
      </c>
    </row>
    <row r="2346">
      <c r="A2346" s="28">
        <v>39.0</v>
      </c>
      <c r="B2346" s="28">
        <v>49.0</v>
      </c>
      <c r="C2346" s="28">
        <v>53.4916519789437</v>
      </c>
      <c r="D2346" s="28">
        <v>10.0006945396885</v>
      </c>
      <c r="E2346" s="28" t="s">
        <v>25</v>
      </c>
      <c r="F2346" s="28" t="s">
        <v>14</v>
      </c>
      <c r="G2346" s="38"/>
      <c r="H2346" s="38"/>
      <c r="J2346" s="31">
        <f t="shared" si="9"/>
        <v>0</v>
      </c>
    </row>
    <row r="2347">
      <c r="A2347" s="28">
        <v>39.0</v>
      </c>
      <c r="B2347" s="28">
        <v>50.0</v>
      </c>
      <c r="C2347" s="28">
        <v>53.4916394517682</v>
      </c>
      <c r="D2347" s="28">
        <v>10.0009352084766</v>
      </c>
      <c r="E2347" s="28" t="s">
        <v>25</v>
      </c>
      <c r="F2347" s="28" t="s">
        <v>14</v>
      </c>
      <c r="G2347" s="38"/>
      <c r="H2347" s="38"/>
      <c r="J2347" s="31">
        <f t="shared" si="9"/>
        <v>0</v>
      </c>
    </row>
    <row r="2348">
      <c r="A2348" s="28">
        <v>39.0</v>
      </c>
      <c r="B2348" s="28">
        <v>51.0</v>
      </c>
      <c r="C2348" s="28">
        <v>53.4916269245928</v>
      </c>
      <c r="D2348" s="28">
        <v>10.0011758771937</v>
      </c>
      <c r="E2348" s="28" t="s">
        <v>25</v>
      </c>
      <c r="F2348" s="28" t="s">
        <v>14</v>
      </c>
      <c r="G2348" s="38"/>
      <c r="H2348" s="38"/>
      <c r="J2348" s="31">
        <f t="shared" si="9"/>
        <v>0</v>
      </c>
    </row>
    <row r="2349">
      <c r="A2349" s="28">
        <v>39.0</v>
      </c>
      <c r="B2349" s="28">
        <v>52.0</v>
      </c>
      <c r="C2349" s="28">
        <v>53.4916143974174</v>
      </c>
      <c r="D2349" s="28">
        <v>10.0014165458397</v>
      </c>
      <c r="E2349" s="28" t="s">
        <v>25</v>
      </c>
      <c r="F2349" s="28" t="s">
        <v>14</v>
      </c>
      <c r="G2349" s="38"/>
      <c r="H2349" s="38"/>
      <c r="J2349" s="31">
        <f t="shared" si="9"/>
        <v>0</v>
      </c>
    </row>
    <row r="2350">
      <c r="A2350" s="28">
        <v>39.0</v>
      </c>
      <c r="B2350" s="28">
        <v>53.0</v>
      </c>
      <c r="C2350" s="28">
        <v>53.4916018702419</v>
      </c>
      <c r="D2350" s="28">
        <v>10.0016572144146</v>
      </c>
      <c r="E2350" s="28" t="s">
        <v>25</v>
      </c>
      <c r="F2350" s="28" t="s">
        <v>14</v>
      </c>
      <c r="G2350" s="38"/>
      <c r="H2350" s="38"/>
      <c r="J2350" s="31">
        <f t="shared" si="9"/>
        <v>0</v>
      </c>
    </row>
    <row r="2351">
      <c r="A2351" s="28">
        <v>39.0</v>
      </c>
      <c r="B2351" s="28">
        <v>54.0</v>
      </c>
      <c r="C2351" s="28">
        <v>53.4915893430665</v>
      </c>
      <c r="D2351" s="28">
        <v>10.0018978829184</v>
      </c>
      <c r="E2351" s="28" t="s">
        <v>25</v>
      </c>
      <c r="F2351" s="28" t="s">
        <v>14</v>
      </c>
      <c r="G2351" s="38"/>
      <c r="H2351" s="38"/>
      <c r="J2351" s="31">
        <f t="shared" si="9"/>
        <v>0</v>
      </c>
    </row>
    <row r="2352">
      <c r="A2352" s="28">
        <v>39.0</v>
      </c>
      <c r="B2352" s="28">
        <v>55.0</v>
      </c>
      <c r="C2352" s="28">
        <v>53.491576815891</v>
      </c>
      <c r="D2352" s="28">
        <v>10.0021385513512</v>
      </c>
      <c r="E2352" s="28" t="s">
        <v>25</v>
      </c>
      <c r="F2352" s="28" t="s">
        <v>14</v>
      </c>
      <c r="G2352" s="38"/>
      <c r="H2352" s="38"/>
      <c r="J2352" s="31">
        <f t="shared" si="9"/>
        <v>0</v>
      </c>
    </row>
    <row r="2353">
      <c r="A2353" s="28">
        <v>39.0</v>
      </c>
      <c r="B2353" s="28">
        <v>56.0</v>
      </c>
      <c r="C2353" s="28">
        <v>53.4915642887156</v>
      </c>
      <c r="D2353" s="28">
        <v>10.0023792197127</v>
      </c>
      <c r="E2353" s="28" t="s">
        <v>15</v>
      </c>
      <c r="F2353" s="28" t="s">
        <v>168</v>
      </c>
      <c r="G2353" s="38"/>
      <c r="H2353" s="38"/>
      <c r="J2353" s="31">
        <f t="shared" si="9"/>
        <v>0</v>
      </c>
    </row>
    <row r="2354">
      <c r="A2354" s="28">
        <v>39.0</v>
      </c>
      <c r="B2354" s="28">
        <v>57.0</v>
      </c>
      <c r="C2354" s="28">
        <v>53.4915517615401</v>
      </c>
      <c r="D2354" s="28">
        <v>10.0026198880033</v>
      </c>
      <c r="E2354" s="28" t="s">
        <v>15</v>
      </c>
      <c r="F2354" s="28" t="s">
        <v>168</v>
      </c>
      <c r="G2354" s="38"/>
      <c r="H2354" s="38"/>
      <c r="J2354" s="31">
        <f t="shared" si="9"/>
        <v>0</v>
      </c>
    </row>
    <row r="2355">
      <c r="A2355" s="28">
        <v>39.0</v>
      </c>
      <c r="B2355" s="28">
        <v>58.0</v>
      </c>
      <c r="C2355" s="28">
        <v>53.4915392343647</v>
      </c>
      <c r="D2355" s="28">
        <v>10.0028605562228</v>
      </c>
      <c r="E2355" s="28" t="s">
        <v>15</v>
      </c>
      <c r="F2355" s="28" t="s">
        <v>168</v>
      </c>
      <c r="G2355" s="38"/>
      <c r="H2355" s="38"/>
      <c r="J2355" s="31">
        <f t="shared" si="9"/>
        <v>0</v>
      </c>
    </row>
    <row r="2356">
      <c r="A2356" s="28">
        <v>39.0</v>
      </c>
      <c r="B2356" s="28">
        <v>59.0</v>
      </c>
      <c r="C2356" s="28">
        <v>53.4915267071893</v>
      </c>
      <c r="D2356" s="28">
        <v>10.0031012243712</v>
      </c>
      <c r="E2356" s="28" t="s">
        <v>15</v>
      </c>
      <c r="F2356" s="28" t="s">
        <v>168</v>
      </c>
      <c r="G2356" s="38"/>
      <c r="H2356" s="38"/>
      <c r="J2356" s="31">
        <f t="shared" si="9"/>
        <v>0</v>
      </c>
    </row>
    <row r="2357">
      <c r="A2357" s="28">
        <v>39.0</v>
      </c>
      <c r="B2357" s="28">
        <v>60.0</v>
      </c>
      <c r="C2357" s="28">
        <v>53.4915141800138</v>
      </c>
      <c r="D2357" s="28">
        <v>10.0033418924484</v>
      </c>
      <c r="E2357" s="28" t="s">
        <v>25</v>
      </c>
      <c r="F2357" s="28" t="s">
        <v>14</v>
      </c>
      <c r="G2357" s="29" t="s">
        <v>164</v>
      </c>
      <c r="H2357" s="35" t="s">
        <v>997</v>
      </c>
      <c r="J2357" s="31">
        <f t="shared" si="9"/>
        <v>133</v>
      </c>
    </row>
    <row r="2358">
      <c r="A2358" s="28">
        <v>40.0</v>
      </c>
      <c r="B2358" s="28">
        <v>1.0</v>
      </c>
      <c r="C2358" s="28">
        <v>53.4921100998555</v>
      </c>
      <c r="D2358" s="28">
        <v>9.98912129822906</v>
      </c>
      <c r="E2358" s="28" t="s">
        <v>25</v>
      </c>
      <c r="F2358" s="28" t="s">
        <v>14</v>
      </c>
      <c r="G2358" s="29" t="s">
        <v>27</v>
      </c>
      <c r="H2358" s="30" t="str">
        <f>HYPERLINK("https://www.munzee.com/m/DarkHaribo/12317", "DarkHaribo/12317")</f>
        <v>DarkHaribo/12317</v>
      </c>
      <c r="J2358" s="31">
        <f t="shared" si="9"/>
        <v>103</v>
      </c>
    </row>
    <row r="2359">
      <c r="A2359" s="28">
        <v>40.0</v>
      </c>
      <c r="B2359" s="28">
        <v>2.0</v>
      </c>
      <c r="C2359" s="28">
        <v>53.49209757268</v>
      </c>
      <c r="D2359" s="28">
        <v>9.98936196961699</v>
      </c>
      <c r="E2359" s="28" t="s">
        <v>15</v>
      </c>
      <c r="F2359" s="28" t="s">
        <v>168</v>
      </c>
      <c r="G2359" s="38"/>
      <c r="H2359" s="38"/>
      <c r="J2359" s="31">
        <f t="shared" si="9"/>
        <v>0</v>
      </c>
    </row>
    <row r="2360">
      <c r="A2360" s="28">
        <v>40.0</v>
      </c>
      <c r="B2360" s="28">
        <v>3.0</v>
      </c>
      <c r="C2360" s="28">
        <v>53.4920850455046</v>
      </c>
      <c r="D2360" s="28">
        <v>9.98960264093386</v>
      </c>
      <c r="E2360" s="28" t="s">
        <v>15</v>
      </c>
      <c r="F2360" s="28" t="s">
        <v>168</v>
      </c>
      <c r="G2360" s="38"/>
      <c r="H2360" s="38"/>
      <c r="J2360" s="31">
        <f t="shared" si="9"/>
        <v>0</v>
      </c>
    </row>
    <row r="2361">
      <c r="A2361" s="28">
        <v>40.0</v>
      </c>
      <c r="B2361" s="28">
        <v>4.0</v>
      </c>
      <c r="C2361" s="28">
        <v>53.4920725183291</v>
      </c>
      <c r="D2361" s="28">
        <v>9.98984331217968</v>
      </c>
      <c r="E2361" s="28" t="s">
        <v>15</v>
      </c>
      <c r="F2361" s="28" t="s">
        <v>168</v>
      </c>
      <c r="G2361" s="38"/>
      <c r="H2361" s="38"/>
      <c r="J2361" s="31">
        <f t="shared" si="9"/>
        <v>0</v>
      </c>
    </row>
    <row r="2362">
      <c r="A2362" s="28">
        <v>40.0</v>
      </c>
      <c r="B2362" s="28">
        <v>5.0</v>
      </c>
      <c r="C2362" s="28">
        <v>53.4920599911537</v>
      </c>
      <c r="D2362" s="28">
        <v>9.99008398335445</v>
      </c>
      <c r="E2362" s="28" t="s">
        <v>15</v>
      </c>
      <c r="F2362" s="28" t="s">
        <v>168</v>
      </c>
      <c r="G2362" s="38"/>
      <c r="H2362" s="38"/>
      <c r="J2362" s="31">
        <f t="shared" si="9"/>
        <v>0</v>
      </c>
    </row>
    <row r="2363">
      <c r="A2363" s="28">
        <v>40.0</v>
      </c>
      <c r="B2363" s="28">
        <v>6.0</v>
      </c>
      <c r="C2363" s="28">
        <v>53.4920474639782</v>
      </c>
      <c r="D2363" s="28">
        <v>9.99032465445805</v>
      </c>
      <c r="E2363" s="28" t="s">
        <v>15</v>
      </c>
      <c r="F2363" s="28" t="s">
        <v>168</v>
      </c>
      <c r="G2363" s="38"/>
      <c r="H2363" s="38"/>
      <c r="J2363" s="31">
        <f t="shared" si="9"/>
        <v>0</v>
      </c>
    </row>
    <row r="2364">
      <c r="A2364" s="28">
        <v>40.0</v>
      </c>
      <c r="B2364" s="28">
        <v>7.0</v>
      </c>
      <c r="C2364" s="28">
        <v>53.4920349368028</v>
      </c>
      <c r="D2364" s="28">
        <v>9.99056532549059</v>
      </c>
      <c r="E2364" s="28" t="s">
        <v>15</v>
      </c>
      <c r="F2364" s="28" t="s">
        <v>168</v>
      </c>
      <c r="G2364" s="38"/>
      <c r="H2364" s="38"/>
      <c r="J2364" s="31">
        <f t="shared" si="9"/>
        <v>0</v>
      </c>
    </row>
    <row r="2365">
      <c r="A2365" s="28">
        <v>40.0</v>
      </c>
      <c r="B2365" s="28">
        <v>8.0</v>
      </c>
      <c r="C2365" s="28">
        <v>53.4920224096273</v>
      </c>
      <c r="D2365" s="28">
        <v>9.99080599645208</v>
      </c>
      <c r="E2365" s="28" t="s">
        <v>25</v>
      </c>
      <c r="F2365" s="28" t="s">
        <v>14</v>
      </c>
      <c r="G2365" s="38"/>
      <c r="H2365" s="38"/>
      <c r="J2365" s="31">
        <f t="shared" si="9"/>
        <v>0</v>
      </c>
    </row>
    <row r="2366">
      <c r="A2366" s="28">
        <v>40.0</v>
      </c>
      <c r="B2366" s="28">
        <v>9.0</v>
      </c>
      <c r="C2366" s="28">
        <v>53.4920098824519</v>
      </c>
      <c r="D2366" s="28">
        <v>9.9910466673424</v>
      </c>
      <c r="E2366" s="28" t="s">
        <v>25</v>
      </c>
      <c r="F2366" s="28" t="s">
        <v>14</v>
      </c>
      <c r="G2366" s="38"/>
      <c r="H2366" s="38"/>
      <c r="J2366" s="31">
        <f t="shared" si="9"/>
        <v>0</v>
      </c>
    </row>
    <row r="2367">
      <c r="A2367" s="28">
        <v>40.0</v>
      </c>
      <c r="B2367" s="28">
        <v>10.0</v>
      </c>
      <c r="C2367" s="28">
        <v>53.4919973552764</v>
      </c>
      <c r="D2367" s="28">
        <v>9.99128733816167</v>
      </c>
      <c r="E2367" s="28" t="s">
        <v>25</v>
      </c>
      <c r="F2367" s="28" t="s">
        <v>14</v>
      </c>
      <c r="G2367" s="38"/>
      <c r="H2367" s="38"/>
      <c r="J2367" s="31">
        <f t="shared" si="9"/>
        <v>0</v>
      </c>
    </row>
    <row r="2368">
      <c r="A2368" s="28">
        <v>40.0</v>
      </c>
      <c r="B2368" s="28">
        <v>11.0</v>
      </c>
      <c r="C2368" s="28">
        <v>53.491984828101</v>
      </c>
      <c r="D2368" s="28">
        <v>9.99152800890988</v>
      </c>
      <c r="E2368" s="28" t="s">
        <v>25</v>
      </c>
      <c r="F2368" s="28" t="s">
        <v>14</v>
      </c>
      <c r="G2368" s="38"/>
      <c r="H2368" s="38"/>
      <c r="J2368" s="31">
        <f t="shared" si="9"/>
        <v>0</v>
      </c>
    </row>
    <row r="2369">
      <c r="A2369" s="28">
        <v>40.0</v>
      </c>
      <c r="B2369" s="28">
        <v>12.0</v>
      </c>
      <c r="C2369" s="28">
        <v>53.4919723009256</v>
      </c>
      <c r="D2369" s="28">
        <v>9.99176867958692</v>
      </c>
      <c r="E2369" s="28" t="s">
        <v>25</v>
      </c>
      <c r="F2369" s="28" t="s">
        <v>14</v>
      </c>
      <c r="G2369" s="38"/>
      <c r="H2369" s="38"/>
      <c r="J2369" s="31">
        <f t="shared" si="9"/>
        <v>0</v>
      </c>
    </row>
    <row r="2370">
      <c r="A2370" s="28">
        <v>40.0</v>
      </c>
      <c r="B2370" s="28">
        <v>13.0</v>
      </c>
      <c r="C2370" s="28">
        <v>53.4919597737501</v>
      </c>
      <c r="D2370" s="28">
        <v>9.99200935019291</v>
      </c>
      <c r="E2370" s="28" t="s">
        <v>15</v>
      </c>
      <c r="F2370" s="28" t="s">
        <v>168</v>
      </c>
      <c r="G2370" s="38"/>
      <c r="H2370" s="38"/>
      <c r="J2370" s="31">
        <f t="shared" si="9"/>
        <v>0</v>
      </c>
    </row>
    <row r="2371">
      <c r="A2371" s="28">
        <v>40.0</v>
      </c>
      <c r="B2371" s="28">
        <v>14.0</v>
      </c>
      <c r="C2371" s="28">
        <v>53.4919472465747</v>
      </c>
      <c r="D2371" s="28">
        <v>9.99225002072785</v>
      </c>
      <c r="E2371" s="28" t="s">
        <v>15</v>
      </c>
      <c r="F2371" s="28" t="s">
        <v>168</v>
      </c>
      <c r="G2371" s="38"/>
      <c r="H2371" s="38"/>
      <c r="J2371" s="31">
        <f t="shared" si="9"/>
        <v>0</v>
      </c>
    </row>
    <row r="2372">
      <c r="A2372" s="28">
        <v>40.0</v>
      </c>
      <c r="B2372" s="28">
        <v>15.0</v>
      </c>
      <c r="C2372" s="28">
        <v>53.4919347193992</v>
      </c>
      <c r="D2372" s="28">
        <v>9.99249069119162</v>
      </c>
      <c r="E2372" s="28" t="s">
        <v>15</v>
      </c>
      <c r="F2372" s="28" t="s">
        <v>168</v>
      </c>
      <c r="G2372" s="38"/>
      <c r="H2372" s="38"/>
      <c r="J2372" s="31">
        <f t="shared" si="9"/>
        <v>0</v>
      </c>
    </row>
    <row r="2373">
      <c r="A2373" s="28">
        <v>40.0</v>
      </c>
      <c r="B2373" s="28">
        <v>16.0</v>
      </c>
      <c r="C2373" s="28">
        <v>53.4919221922238</v>
      </c>
      <c r="D2373" s="28">
        <v>9.99273136158433</v>
      </c>
      <c r="E2373" s="28" t="s">
        <v>15</v>
      </c>
      <c r="F2373" s="28" t="s">
        <v>168</v>
      </c>
      <c r="G2373" s="38"/>
      <c r="H2373" s="38"/>
      <c r="J2373" s="31">
        <f t="shared" si="9"/>
        <v>0</v>
      </c>
    </row>
    <row r="2374">
      <c r="A2374" s="28">
        <v>40.0</v>
      </c>
      <c r="B2374" s="28">
        <v>17.0</v>
      </c>
      <c r="C2374" s="28">
        <v>53.4919096650483</v>
      </c>
      <c r="D2374" s="28">
        <v>9.99297203190599</v>
      </c>
      <c r="E2374" s="28" t="s">
        <v>15</v>
      </c>
      <c r="F2374" s="28" t="s">
        <v>168</v>
      </c>
      <c r="G2374" s="38"/>
      <c r="H2374" s="38"/>
      <c r="J2374" s="31">
        <f t="shared" si="9"/>
        <v>0</v>
      </c>
    </row>
    <row r="2375">
      <c r="A2375" s="28">
        <v>40.0</v>
      </c>
      <c r="B2375" s="28">
        <v>18.0</v>
      </c>
      <c r="C2375" s="28">
        <v>53.4918971378729</v>
      </c>
      <c r="D2375" s="28">
        <v>9.99321270215648</v>
      </c>
      <c r="E2375" s="28" t="s">
        <v>15</v>
      </c>
      <c r="F2375" s="28" t="s">
        <v>168</v>
      </c>
      <c r="G2375" s="38"/>
      <c r="H2375" s="38"/>
      <c r="J2375" s="31">
        <f t="shared" si="9"/>
        <v>0</v>
      </c>
    </row>
    <row r="2376">
      <c r="A2376" s="28">
        <v>40.0</v>
      </c>
      <c r="B2376" s="28">
        <v>19.0</v>
      </c>
      <c r="C2376" s="28">
        <v>53.4918846106974</v>
      </c>
      <c r="D2376" s="28">
        <v>9.99345337233592</v>
      </c>
      <c r="E2376" s="28" t="s">
        <v>15</v>
      </c>
      <c r="F2376" s="28" t="s">
        <v>168</v>
      </c>
      <c r="G2376" s="38"/>
      <c r="H2376" s="38"/>
      <c r="J2376" s="31">
        <f t="shared" si="9"/>
        <v>0</v>
      </c>
    </row>
    <row r="2377">
      <c r="A2377" s="28">
        <v>40.0</v>
      </c>
      <c r="B2377" s="28">
        <v>20.0</v>
      </c>
      <c r="C2377" s="28">
        <v>53.491872083522</v>
      </c>
      <c r="D2377" s="28">
        <v>9.9936940424443</v>
      </c>
      <c r="E2377" s="28" t="s">
        <v>15</v>
      </c>
      <c r="F2377" s="28" t="s">
        <v>168</v>
      </c>
      <c r="G2377" s="38"/>
      <c r="H2377" s="38"/>
      <c r="J2377" s="31">
        <f t="shared" si="9"/>
        <v>0</v>
      </c>
    </row>
    <row r="2378">
      <c r="A2378" s="28">
        <v>40.0</v>
      </c>
      <c r="B2378" s="28">
        <v>21.0</v>
      </c>
      <c r="C2378" s="28">
        <v>53.4918595563465</v>
      </c>
      <c r="D2378" s="28">
        <v>9.99393471248151</v>
      </c>
      <c r="E2378" s="28" t="s">
        <v>15</v>
      </c>
      <c r="F2378" s="28" t="s">
        <v>168</v>
      </c>
      <c r="G2378" s="38"/>
      <c r="H2378" s="38"/>
      <c r="J2378" s="31">
        <f t="shared" si="9"/>
        <v>0</v>
      </c>
    </row>
    <row r="2379">
      <c r="A2379" s="28">
        <v>40.0</v>
      </c>
      <c r="B2379" s="28">
        <v>22.0</v>
      </c>
      <c r="C2379" s="28">
        <v>53.4918470291711</v>
      </c>
      <c r="D2379" s="28">
        <v>9.99417538244768</v>
      </c>
      <c r="E2379" s="28" t="s">
        <v>15</v>
      </c>
      <c r="F2379" s="28" t="s">
        <v>168</v>
      </c>
      <c r="G2379" s="38"/>
      <c r="H2379" s="38"/>
      <c r="J2379" s="31">
        <f t="shared" si="9"/>
        <v>0</v>
      </c>
    </row>
    <row r="2380">
      <c r="A2380" s="28">
        <v>40.0</v>
      </c>
      <c r="B2380" s="28">
        <v>23.0</v>
      </c>
      <c r="C2380" s="28">
        <v>53.4918345019957</v>
      </c>
      <c r="D2380" s="28">
        <v>9.99441605234278</v>
      </c>
      <c r="E2380" s="28" t="s">
        <v>15</v>
      </c>
      <c r="F2380" s="28" t="s">
        <v>168</v>
      </c>
      <c r="G2380" s="38"/>
      <c r="H2380" s="38"/>
      <c r="J2380" s="31">
        <f t="shared" si="9"/>
        <v>0</v>
      </c>
    </row>
    <row r="2381">
      <c r="A2381" s="28">
        <v>40.0</v>
      </c>
      <c r="B2381" s="28">
        <v>24.0</v>
      </c>
      <c r="C2381" s="28">
        <v>53.4918219748202</v>
      </c>
      <c r="D2381" s="28">
        <v>9.99465672216672</v>
      </c>
      <c r="E2381" s="28" t="s">
        <v>15</v>
      </c>
      <c r="F2381" s="28" t="s">
        <v>168</v>
      </c>
      <c r="G2381" s="38"/>
      <c r="H2381" s="38"/>
      <c r="J2381" s="31">
        <f t="shared" si="9"/>
        <v>0</v>
      </c>
    </row>
    <row r="2382">
      <c r="A2382" s="28">
        <v>40.0</v>
      </c>
      <c r="B2382" s="28">
        <v>25.0</v>
      </c>
      <c r="C2382" s="28">
        <v>53.4918094476448</v>
      </c>
      <c r="D2382" s="28">
        <v>9.9948973919196</v>
      </c>
      <c r="E2382" s="28" t="s">
        <v>15</v>
      </c>
      <c r="F2382" s="28" t="s">
        <v>168</v>
      </c>
      <c r="G2382" s="38"/>
      <c r="H2382" s="38"/>
      <c r="J2382" s="31">
        <f t="shared" si="9"/>
        <v>0</v>
      </c>
    </row>
    <row r="2383">
      <c r="A2383" s="28">
        <v>40.0</v>
      </c>
      <c r="B2383" s="28">
        <v>26.0</v>
      </c>
      <c r="C2383" s="28">
        <v>53.4917969204693</v>
      </c>
      <c r="D2383" s="28">
        <v>9.99513806160143</v>
      </c>
      <c r="E2383" s="28" t="s">
        <v>15</v>
      </c>
      <c r="F2383" s="28" t="s">
        <v>168</v>
      </c>
      <c r="G2383" s="38"/>
      <c r="H2383" s="38"/>
      <c r="J2383" s="31">
        <f t="shared" si="9"/>
        <v>0</v>
      </c>
    </row>
    <row r="2384">
      <c r="A2384" s="28">
        <v>40.0</v>
      </c>
      <c r="B2384" s="28">
        <v>27.0</v>
      </c>
      <c r="C2384" s="28">
        <v>53.4917843932939</v>
      </c>
      <c r="D2384" s="28">
        <v>9.9953787312121</v>
      </c>
      <c r="E2384" s="28" t="s">
        <v>15</v>
      </c>
      <c r="F2384" s="28" t="s">
        <v>168</v>
      </c>
      <c r="G2384" s="38"/>
      <c r="H2384" s="38"/>
      <c r="J2384" s="31">
        <f t="shared" si="9"/>
        <v>0</v>
      </c>
    </row>
    <row r="2385">
      <c r="A2385" s="28">
        <v>40.0</v>
      </c>
      <c r="B2385" s="28">
        <v>28.0</v>
      </c>
      <c r="C2385" s="28">
        <v>53.4917718661184</v>
      </c>
      <c r="D2385" s="28">
        <v>9.9956194007517</v>
      </c>
      <c r="E2385" s="28" t="s">
        <v>25</v>
      </c>
      <c r="F2385" s="28" t="s">
        <v>14</v>
      </c>
      <c r="G2385" s="38"/>
      <c r="H2385" s="38"/>
      <c r="J2385" s="31">
        <f t="shared" si="9"/>
        <v>0</v>
      </c>
    </row>
    <row r="2386">
      <c r="A2386" s="28">
        <v>40.0</v>
      </c>
      <c r="B2386" s="28">
        <v>29.0</v>
      </c>
      <c r="C2386" s="28">
        <v>53.491759338943</v>
      </c>
      <c r="D2386" s="28">
        <v>9.99586007022026</v>
      </c>
      <c r="E2386" s="28" t="s">
        <v>25</v>
      </c>
      <c r="F2386" s="28" t="s">
        <v>14</v>
      </c>
      <c r="G2386" s="38"/>
      <c r="H2386" s="38"/>
      <c r="J2386" s="31">
        <f t="shared" si="9"/>
        <v>0</v>
      </c>
    </row>
    <row r="2387">
      <c r="A2387" s="28">
        <v>40.0</v>
      </c>
      <c r="B2387" s="28">
        <v>30.0</v>
      </c>
      <c r="C2387" s="28">
        <v>53.4917468117676</v>
      </c>
      <c r="D2387" s="28">
        <v>9.99610073961764</v>
      </c>
      <c r="E2387" s="28" t="s">
        <v>25</v>
      </c>
      <c r="F2387" s="28" t="s">
        <v>14</v>
      </c>
      <c r="G2387" s="38"/>
      <c r="H2387" s="38"/>
      <c r="J2387" s="31">
        <f t="shared" si="9"/>
        <v>0</v>
      </c>
    </row>
    <row r="2388">
      <c r="A2388" s="28">
        <v>40.0</v>
      </c>
      <c r="B2388" s="28">
        <v>31.0</v>
      </c>
      <c r="C2388" s="28">
        <v>53.4917342845921</v>
      </c>
      <c r="D2388" s="28">
        <v>9.99634140894397</v>
      </c>
      <c r="E2388" s="28" t="s">
        <v>25</v>
      </c>
      <c r="F2388" s="28" t="s">
        <v>14</v>
      </c>
      <c r="G2388" s="38"/>
      <c r="H2388" s="38"/>
      <c r="J2388" s="31">
        <f t="shared" si="9"/>
        <v>0</v>
      </c>
    </row>
    <row r="2389">
      <c r="A2389" s="28">
        <v>40.0</v>
      </c>
      <c r="B2389" s="28">
        <v>32.0</v>
      </c>
      <c r="C2389" s="28">
        <v>53.4917217574167</v>
      </c>
      <c r="D2389" s="28">
        <v>9.99658207819925</v>
      </c>
      <c r="E2389" s="28" t="s">
        <v>25</v>
      </c>
      <c r="F2389" s="28" t="s">
        <v>14</v>
      </c>
      <c r="G2389" s="38"/>
      <c r="H2389" s="38"/>
      <c r="J2389" s="31">
        <f t="shared" si="9"/>
        <v>0</v>
      </c>
    </row>
    <row r="2390">
      <c r="A2390" s="28">
        <v>40.0</v>
      </c>
      <c r="B2390" s="28">
        <v>33.0</v>
      </c>
      <c r="C2390" s="28">
        <v>53.4917092302412</v>
      </c>
      <c r="D2390" s="28">
        <v>9.99682274738347</v>
      </c>
      <c r="E2390" s="28" t="s">
        <v>15</v>
      </c>
      <c r="F2390" s="28" t="s">
        <v>168</v>
      </c>
      <c r="G2390" s="38"/>
      <c r="H2390" s="38"/>
      <c r="J2390" s="31">
        <f t="shared" si="9"/>
        <v>0</v>
      </c>
    </row>
    <row r="2391">
      <c r="A2391" s="28">
        <v>40.0</v>
      </c>
      <c r="B2391" s="28">
        <v>34.0</v>
      </c>
      <c r="C2391" s="28">
        <v>53.4916967030658</v>
      </c>
      <c r="D2391" s="28">
        <v>9.99706341649653</v>
      </c>
      <c r="E2391" s="28" t="s">
        <v>15</v>
      </c>
      <c r="F2391" s="28" t="s">
        <v>168</v>
      </c>
      <c r="G2391" s="38"/>
      <c r="H2391" s="38"/>
      <c r="J2391" s="31">
        <f t="shared" si="9"/>
        <v>0</v>
      </c>
    </row>
    <row r="2392">
      <c r="A2392" s="28">
        <v>40.0</v>
      </c>
      <c r="B2392" s="28">
        <v>35.0</v>
      </c>
      <c r="C2392" s="28">
        <v>53.4916841758903</v>
      </c>
      <c r="D2392" s="28">
        <v>9.99730408553853</v>
      </c>
      <c r="E2392" s="28" t="s">
        <v>15</v>
      </c>
      <c r="F2392" s="28" t="s">
        <v>168</v>
      </c>
      <c r="G2392" s="38"/>
      <c r="H2392" s="38"/>
      <c r="J2392" s="31">
        <f t="shared" si="9"/>
        <v>0</v>
      </c>
    </row>
    <row r="2393">
      <c r="A2393" s="28">
        <v>40.0</v>
      </c>
      <c r="B2393" s="28">
        <v>36.0</v>
      </c>
      <c r="C2393" s="28">
        <v>53.4916716487149</v>
      </c>
      <c r="D2393" s="28">
        <v>9.99754475450936</v>
      </c>
      <c r="E2393" s="28" t="s">
        <v>15</v>
      </c>
      <c r="F2393" s="28" t="s">
        <v>168</v>
      </c>
      <c r="G2393" s="38"/>
      <c r="H2393" s="38"/>
      <c r="J2393" s="31">
        <f t="shared" si="9"/>
        <v>0</v>
      </c>
    </row>
    <row r="2394">
      <c r="A2394" s="28">
        <v>40.0</v>
      </c>
      <c r="B2394" s="28">
        <v>37.0</v>
      </c>
      <c r="C2394" s="28">
        <v>53.4916591215395</v>
      </c>
      <c r="D2394" s="28">
        <v>9.99778542340914</v>
      </c>
      <c r="E2394" s="28" t="s">
        <v>15</v>
      </c>
      <c r="F2394" s="28" t="s">
        <v>168</v>
      </c>
      <c r="G2394" s="38"/>
      <c r="H2394" s="38"/>
      <c r="J2394" s="31">
        <f t="shared" si="9"/>
        <v>0</v>
      </c>
    </row>
    <row r="2395">
      <c r="A2395" s="28">
        <v>40.0</v>
      </c>
      <c r="B2395" s="28">
        <v>38.0</v>
      </c>
      <c r="C2395" s="28">
        <v>53.491646594364</v>
      </c>
      <c r="D2395" s="28">
        <v>9.99802609223786</v>
      </c>
      <c r="E2395" s="28" t="s">
        <v>15</v>
      </c>
      <c r="F2395" s="28" t="s">
        <v>168</v>
      </c>
      <c r="G2395" s="38"/>
      <c r="H2395" s="38"/>
      <c r="J2395" s="31">
        <f t="shared" si="9"/>
        <v>0</v>
      </c>
    </row>
    <row r="2396">
      <c r="A2396" s="28">
        <v>40.0</v>
      </c>
      <c r="B2396" s="28">
        <v>39.0</v>
      </c>
      <c r="C2396" s="28">
        <v>53.4916340671886</v>
      </c>
      <c r="D2396" s="28">
        <v>9.99826676099542</v>
      </c>
      <c r="E2396" s="28" t="s">
        <v>15</v>
      </c>
      <c r="F2396" s="28" t="s">
        <v>168</v>
      </c>
      <c r="G2396" s="38"/>
      <c r="H2396" s="38"/>
      <c r="J2396" s="31">
        <f t="shared" si="9"/>
        <v>0</v>
      </c>
    </row>
    <row r="2397">
      <c r="A2397" s="28">
        <v>40.0</v>
      </c>
      <c r="B2397" s="28">
        <v>40.0</v>
      </c>
      <c r="C2397" s="28">
        <v>53.4916215400131</v>
      </c>
      <c r="D2397" s="28">
        <v>9.99850742968192</v>
      </c>
      <c r="E2397" s="28" t="s">
        <v>15</v>
      </c>
      <c r="F2397" s="28" t="s">
        <v>168</v>
      </c>
      <c r="G2397" s="38"/>
      <c r="H2397" s="38"/>
      <c r="J2397" s="31">
        <f t="shared" si="9"/>
        <v>0</v>
      </c>
    </row>
    <row r="2398">
      <c r="A2398" s="28">
        <v>40.0</v>
      </c>
      <c r="B2398" s="28">
        <v>41.0</v>
      </c>
      <c r="C2398" s="28">
        <v>53.4916090128377</v>
      </c>
      <c r="D2398" s="28">
        <v>9.99874809829737</v>
      </c>
      <c r="E2398" s="28" t="s">
        <v>15</v>
      </c>
      <c r="F2398" s="28" t="s">
        <v>168</v>
      </c>
      <c r="G2398" s="38"/>
      <c r="H2398" s="38"/>
      <c r="J2398" s="31">
        <f t="shared" si="9"/>
        <v>0</v>
      </c>
    </row>
    <row r="2399">
      <c r="A2399" s="28">
        <v>40.0</v>
      </c>
      <c r="B2399" s="28">
        <v>42.0</v>
      </c>
      <c r="C2399" s="28">
        <v>53.4915964856622</v>
      </c>
      <c r="D2399" s="28">
        <v>9.99898876684164</v>
      </c>
      <c r="E2399" s="28" t="s">
        <v>15</v>
      </c>
      <c r="F2399" s="28" t="s">
        <v>168</v>
      </c>
      <c r="G2399" s="38"/>
      <c r="H2399" s="38"/>
      <c r="J2399" s="31">
        <f t="shared" si="9"/>
        <v>0</v>
      </c>
    </row>
    <row r="2400">
      <c r="A2400" s="28">
        <v>40.0</v>
      </c>
      <c r="B2400" s="28">
        <v>43.0</v>
      </c>
      <c r="C2400" s="28">
        <v>53.4915839584868</v>
      </c>
      <c r="D2400" s="28">
        <v>9.99922943531487</v>
      </c>
      <c r="E2400" s="28" t="s">
        <v>15</v>
      </c>
      <c r="F2400" s="28" t="s">
        <v>168</v>
      </c>
      <c r="G2400" s="38"/>
      <c r="H2400" s="38"/>
      <c r="J2400" s="31">
        <f t="shared" si="9"/>
        <v>0</v>
      </c>
    </row>
    <row r="2401">
      <c r="A2401" s="28">
        <v>40.0</v>
      </c>
      <c r="B2401" s="28">
        <v>44.0</v>
      </c>
      <c r="C2401" s="28">
        <v>53.4915714313113</v>
      </c>
      <c r="D2401" s="28">
        <v>9.99947010371704</v>
      </c>
      <c r="E2401" s="28" t="s">
        <v>15</v>
      </c>
      <c r="F2401" s="28" t="s">
        <v>168</v>
      </c>
      <c r="G2401" s="38"/>
      <c r="H2401" s="38"/>
      <c r="J2401" s="31">
        <f t="shared" si="9"/>
        <v>0</v>
      </c>
    </row>
    <row r="2402">
      <c r="A2402" s="28">
        <v>40.0</v>
      </c>
      <c r="B2402" s="28">
        <v>45.0</v>
      </c>
      <c r="C2402" s="28">
        <v>53.4915589041359</v>
      </c>
      <c r="D2402" s="28">
        <v>9.99971077204804</v>
      </c>
      <c r="E2402" s="28" t="s">
        <v>15</v>
      </c>
      <c r="F2402" s="28" t="s">
        <v>168</v>
      </c>
      <c r="G2402" s="38"/>
      <c r="H2402" s="38"/>
      <c r="J2402" s="31">
        <f t="shared" si="9"/>
        <v>0</v>
      </c>
    </row>
    <row r="2403">
      <c r="A2403" s="28">
        <v>40.0</v>
      </c>
      <c r="B2403" s="28">
        <v>46.0</v>
      </c>
      <c r="C2403" s="28">
        <v>53.4915463769604</v>
      </c>
      <c r="D2403" s="28">
        <v>9.99995144030799</v>
      </c>
      <c r="E2403" s="28" t="s">
        <v>15</v>
      </c>
      <c r="F2403" s="28" t="s">
        <v>168</v>
      </c>
      <c r="G2403" s="38"/>
      <c r="H2403" s="38"/>
      <c r="J2403" s="31">
        <f t="shared" si="9"/>
        <v>0</v>
      </c>
    </row>
    <row r="2404">
      <c r="A2404" s="28">
        <v>40.0</v>
      </c>
      <c r="B2404" s="28">
        <v>47.0</v>
      </c>
      <c r="C2404" s="28">
        <v>53.491533849785</v>
      </c>
      <c r="D2404" s="28">
        <v>10.0001921084968</v>
      </c>
      <c r="E2404" s="28" t="s">
        <v>15</v>
      </c>
      <c r="F2404" s="28" t="s">
        <v>168</v>
      </c>
      <c r="G2404" s="38"/>
      <c r="H2404" s="38"/>
      <c r="J2404" s="31">
        <f t="shared" si="9"/>
        <v>0</v>
      </c>
    </row>
    <row r="2405">
      <c r="A2405" s="28">
        <v>40.0</v>
      </c>
      <c r="B2405" s="28">
        <v>48.0</v>
      </c>
      <c r="C2405" s="28">
        <v>53.4915213226096</v>
      </c>
      <c r="D2405" s="28">
        <v>10.0004327766147</v>
      </c>
      <c r="E2405" s="28" t="s">
        <v>25</v>
      </c>
      <c r="F2405" s="28" t="s">
        <v>14</v>
      </c>
      <c r="G2405" s="38"/>
      <c r="H2405" s="38"/>
      <c r="J2405" s="31">
        <f t="shared" si="9"/>
        <v>0</v>
      </c>
    </row>
    <row r="2406">
      <c r="A2406" s="28">
        <v>40.0</v>
      </c>
      <c r="B2406" s="28">
        <v>49.0</v>
      </c>
      <c r="C2406" s="28">
        <v>53.4915087954341</v>
      </c>
      <c r="D2406" s="28">
        <v>10.0006734446615</v>
      </c>
      <c r="E2406" s="28" t="s">
        <v>25</v>
      </c>
      <c r="F2406" s="28" t="s">
        <v>14</v>
      </c>
      <c r="G2406" s="38"/>
      <c r="H2406" s="38"/>
      <c r="J2406" s="31">
        <f t="shared" si="9"/>
        <v>0</v>
      </c>
    </row>
    <row r="2407">
      <c r="A2407" s="28">
        <v>40.0</v>
      </c>
      <c r="B2407" s="28">
        <v>50.0</v>
      </c>
      <c r="C2407" s="28">
        <v>53.4914962682587</v>
      </c>
      <c r="D2407" s="28">
        <v>10.0009141126371</v>
      </c>
      <c r="E2407" s="28" t="s">
        <v>25</v>
      </c>
      <c r="F2407" s="28" t="s">
        <v>14</v>
      </c>
      <c r="G2407" s="38"/>
      <c r="H2407" s="38"/>
      <c r="J2407" s="31">
        <f t="shared" si="9"/>
        <v>0</v>
      </c>
    </row>
    <row r="2408">
      <c r="A2408" s="28">
        <v>40.0</v>
      </c>
      <c r="B2408" s="28">
        <v>51.0</v>
      </c>
      <c r="C2408" s="28">
        <v>53.4914837410832</v>
      </c>
      <c r="D2408" s="28">
        <v>10.0011547805416</v>
      </c>
      <c r="E2408" s="28" t="s">
        <v>25</v>
      </c>
      <c r="F2408" s="28" t="s">
        <v>14</v>
      </c>
      <c r="G2408" s="38"/>
      <c r="H2408" s="38"/>
      <c r="J2408" s="31">
        <f t="shared" si="9"/>
        <v>0</v>
      </c>
    </row>
    <row r="2409">
      <c r="A2409" s="28">
        <v>40.0</v>
      </c>
      <c r="B2409" s="28">
        <v>52.0</v>
      </c>
      <c r="C2409" s="28">
        <v>53.4914712139078</v>
      </c>
      <c r="D2409" s="28">
        <v>10.0013954483752</v>
      </c>
      <c r="E2409" s="28" t="s">
        <v>25</v>
      </c>
      <c r="F2409" s="28" t="s">
        <v>14</v>
      </c>
      <c r="G2409" s="38"/>
      <c r="H2409" s="38"/>
      <c r="J2409" s="31">
        <f t="shared" si="9"/>
        <v>0</v>
      </c>
    </row>
    <row r="2410">
      <c r="A2410" s="28">
        <v>40.0</v>
      </c>
      <c r="B2410" s="28">
        <v>53.0</v>
      </c>
      <c r="C2410" s="28">
        <v>53.4914586867324</v>
      </c>
      <c r="D2410" s="28">
        <v>10.0016361161375</v>
      </c>
      <c r="E2410" s="28" t="s">
        <v>15</v>
      </c>
      <c r="F2410" s="28" t="s">
        <v>168</v>
      </c>
      <c r="G2410" s="38"/>
      <c r="H2410" s="38"/>
      <c r="J2410" s="31">
        <f t="shared" si="9"/>
        <v>0</v>
      </c>
    </row>
    <row r="2411">
      <c r="A2411" s="28">
        <v>40.0</v>
      </c>
      <c r="B2411" s="28">
        <v>54.0</v>
      </c>
      <c r="C2411" s="28">
        <v>53.4914461595569</v>
      </c>
      <c r="D2411" s="28">
        <v>10.0018767838288</v>
      </c>
      <c r="E2411" s="28" t="s">
        <v>15</v>
      </c>
      <c r="F2411" s="28" t="s">
        <v>168</v>
      </c>
      <c r="G2411" s="38"/>
      <c r="H2411" s="38"/>
      <c r="J2411" s="31">
        <f t="shared" si="9"/>
        <v>0</v>
      </c>
    </row>
    <row r="2412">
      <c r="A2412" s="28">
        <v>40.0</v>
      </c>
      <c r="B2412" s="28">
        <v>55.0</v>
      </c>
      <c r="C2412" s="28">
        <v>53.4914336323815</v>
      </c>
      <c r="D2412" s="28">
        <v>10.002117451449</v>
      </c>
      <c r="E2412" s="28" t="s">
        <v>15</v>
      </c>
      <c r="F2412" s="28" t="s">
        <v>168</v>
      </c>
      <c r="G2412" s="38"/>
      <c r="H2412" s="38"/>
      <c r="J2412" s="31">
        <f t="shared" si="9"/>
        <v>0</v>
      </c>
    </row>
    <row r="2413">
      <c r="A2413" s="28">
        <v>40.0</v>
      </c>
      <c r="B2413" s="28">
        <v>56.0</v>
      </c>
      <c r="C2413" s="28">
        <v>53.491421105206</v>
      </c>
      <c r="D2413" s="28">
        <v>10.0023581189981</v>
      </c>
      <c r="E2413" s="28" t="s">
        <v>15</v>
      </c>
      <c r="F2413" s="28" t="s">
        <v>168</v>
      </c>
      <c r="G2413" s="38"/>
      <c r="H2413" s="38"/>
      <c r="J2413" s="31">
        <f t="shared" si="9"/>
        <v>0</v>
      </c>
    </row>
    <row r="2414">
      <c r="A2414" s="28">
        <v>40.0</v>
      </c>
      <c r="B2414" s="28">
        <v>57.0</v>
      </c>
      <c r="C2414" s="28">
        <v>53.4914085780306</v>
      </c>
      <c r="D2414" s="28">
        <v>10.0025987864761</v>
      </c>
      <c r="E2414" s="28" t="s">
        <v>15</v>
      </c>
      <c r="F2414" s="28" t="s">
        <v>168</v>
      </c>
      <c r="G2414" s="38"/>
      <c r="H2414" s="38"/>
      <c r="J2414" s="31">
        <f t="shared" si="9"/>
        <v>0</v>
      </c>
    </row>
    <row r="2415">
      <c r="A2415" s="28">
        <v>40.0</v>
      </c>
      <c r="B2415" s="28">
        <v>58.0</v>
      </c>
      <c r="C2415" s="28">
        <v>53.4913960508551</v>
      </c>
      <c r="D2415" s="28">
        <v>10.002839453883</v>
      </c>
      <c r="E2415" s="28" t="s">
        <v>15</v>
      </c>
      <c r="F2415" s="28" t="s">
        <v>168</v>
      </c>
      <c r="G2415" s="38"/>
      <c r="H2415" s="38"/>
      <c r="J2415" s="31">
        <f t="shared" si="9"/>
        <v>0</v>
      </c>
    </row>
    <row r="2416">
      <c r="A2416" s="28">
        <v>40.0</v>
      </c>
      <c r="B2416" s="28">
        <v>59.0</v>
      </c>
      <c r="C2416" s="28">
        <v>53.4913835236797</v>
      </c>
      <c r="D2416" s="28">
        <v>10.0030801212188</v>
      </c>
      <c r="E2416" s="28" t="s">
        <v>15</v>
      </c>
      <c r="F2416" s="28" t="s">
        <v>168</v>
      </c>
      <c r="G2416" s="38"/>
      <c r="H2416" s="38"/>
      <c r="J2416" s="31">
        <f t="shared" si="9"/>
        <v>0</v>
      </c>
    </row>
    <row r="2417">
      <c r="A2417" s="28">
        <v>40.0</v>
      </c>
      <c r="B2417" s="28">
        <v>60.0</v>
      </c>
      <c r="C2417" s="28">
        <v>53.4913709965043</v>
      </c>
      <c r="D2417" s="28">
        <v>10.0033207884836</v>
      </c>
      <c r="E2417" s="28" t="s">
        <v>25</v>
      </c>
      <c r="F2417" s="28" t="s">
        <v>14</v>
      </c>
      <c r="G2417" s="29" t="s">
        <v>27</v>
      </c>
      <c r="H2417" s="30" t="str">
        <f>HYPERLINK("https://www.munzee.com/m/DarkHaribo/12440/", "DarkHaribo/12440")</f>
        <v>DarkHaribo/12440</v>
      </c>
      <c r="J2417" s="31">
        <f t="shared" si="9"/>
        <v>103</v>
      </c>
    </row>
    <row r="2418">
      <c r="A2418" s="28">
        <v>41.0</v>
      </c>
      <c r="B2418" s="28">
        <v>1.0</v>
      </c>
      <c r="C2418" s="28">
        <v>53.4919669163459</v>
      </c>
      <c r="D2418" s="28">
        <v>9.98910024227586</v>
      </c>
      <c r="E2418" s="28" t="s">
        <v>25</v>
      </c>
      <c r="F2418" s="28" t="s">
        <v>14</v>
      </c>
      <c r="G2418" s="29" t="s">
        <v>164</v>
      </c>
      <c r="H2418" s="35" t="s">
        <v>998</v>
      </c>
      <c r="J2418" s="31">
        <f t="shared" si="9"/>
        <v>133</v>
      </c>
    </row>
    <row r="2419">
      <c r="A2419" s="28">
        <v>41.0</v>
      </c>
      <c r="B2419" s="28">
        <v>2.0</v>
      </c>
      <c r="C2419" s="28">
        <v>53.4919543891705</v>
      </c>
      <c r="D2419" s="28">
        <v>9.98934091285127</v>
      </c>
      <c r="E2419" s="28" t="s">
        <v>15</v>
      </c>
      <c r="F2419" s="28" t="s">
        <v>168</v>
      </c>
      <c r="G2419" s="38"/>
      <c r="H2419" s="38"/>
      <c r="J2419" s="31">
        <f t="shared" si="9"/>
        <v>0</v>
      </c>
    </row>
    <row r="2420">
      <c r="A2420" s="28">
        <v>41.0</v>
      </c>
      <c r="B2420" s="28">
        <v>3.0</v>
      </c>
      <c r="C2420" s="28">
        <v>53.491941861995</v>
      </c>
      <c r="D2420" s="28">
        <v>9.98958158335563</v>
      </c>
      <c r="E2420" s="28" t="s">
        <v>15</v>
      </c>
      <c r="F2420" s="28" t="s">
        <v>168</v>
      </c>
      <c r="G2420" s="38"/>
      <c r="H2420" s="38"/>
      <c r="J2420" s="31">
        <f t="shared" si="9"/>
        <v>0</v>
      </c>
    </row>
    <row r="2421">
      <c r="A2421" s="28">
        <v>41.0</v>
      </c>
      <c r="B2421" s="28">
        <v>4.0</v>
      </c>
      <c r="C2421" s="28">
        <v>53.4919293348196</v>
      </c>
      <c r="D2421" s="28">
        <v>9.98982225378881</v>
      </c>
      <c r="E2421" s="28" t="s">
        <v>15</v>
      </c>
      <c r="F2421" s="28" t="s">
        <v>168</v>
      </c>
      <c r="G2421" s="29" t="s">
        <v>164</v>
      </c>
      <c r="H2421" s="35" t="s">
        <v>999</v>
      </c>
      <c r="J2421" s="31">
        <f t="shared" si="9"/>
        <v>133</v>
      </c>
    </row>
    <row r="2422">
      <c r="A2422" s="28">
        <v>41.0</v>
      </c>
      <c r="B2422" s="28">
        <v>5.0</v>
      </c>
      <c r="C2422" s="28">
        <v>53.4919168076441</v>
      </c>
      <c r="D2422" s="28">
        <v>9.99006292415094</v>
      </c>
      <c r="E2422" s="28" t="s">
        <v>15</v>
      </c>
      <c r="F2422" s="28" t="s">
        <v>168</v>
      </c>
      <c r="G2422" s="38"/>
      <c r="H2422" s="38"/>
      <c r="J2422" s="31">
        <f t="shared" si="9"/>
        <v>0</v>
      </c>
    </row>
    <row r="2423">
      <c r="A2423" s="28">
        <v>41.0</v>
      </c>
      <c r="B2423" s="28">
        <v>6.0</v>
      </c>
      <c r="C2423" s="28">
        <v>53.4919042804687</v>
      </c>
      <c r="D2423" s="28">
        <v>9.99030359444202</v>
      </c>
      <c r="E2423" s="28" t="s">
        <v>15</v>
      </c>
      <c r="F2423" s="28" t="s">
        <v>168</v>
      </c>
      <c r="G2423" s="38"/>
      <c r="H2423" s="38"/>
      <c r="J2423" s="31">
        <f t="shared" si="9"/>
        <v>0</v>
      </c>
    </row>
    <row r="2424">
      <c r="A2424" s="28">
        <v>41.0</v>
      </c>
      <c r="B2424" s="28">
        <v>7.0</v>
      </c>
      <c r="C2424" s="28">
        <v>53.4918917532932</v>
      </c>
      <c r="D2424" s="28">
        <v>9.99054426466204</v>
      </c>
      <c r="E2424" s="28" t="s">
        <v>15</v>
      </c>
      <c r="F2424" s="28" t="s">
        <v>168</v>
      </c>
      <c r="G2424" s="29" t="s">
        <v>164</v>
      </c>
      <c r="H2424" s="35" t="s">
        <v>1000</v>
      </c>
      <c r="J2424" s="31">
        <f t="shared" si="9"/>
        <v>133</v>
      </c>
    </row>
    <row r="2425">
      <c r="A2425" s="28">
        <v>41.0</v>
      </c>
      <c r="B2425" s="28">
        <v>8.0</v>
      </c>
      <c r="C2425" s="28">
        <v>53.4918792261178</v>
      </c>
      <c r="D2425" s="28">
        <v>9.9907849348109</v>
      </c>
      <c r="E2425" s="28" t="s">
        <v>25</v>
      </c>
      <c r="F2425" s="28" t="s">
        <v>14</v>
      </c>
      <c r="G2425" s="38"/>
      <c r="H2425" s="38"/>
      <c r="J2425" s="31">
        <f t="shared" si="9"/>
        <v>0</v>
      </c>
    </row>
    <row r="2426">
      <c r="A2426" s="28">
        <v>41.0</v>
      </c>
      <c r="B2426" s="28">
        <v>9.0</v>
      </c>
      <c r="C2426" s="28">
        <v>53.4918666989423</v>
      </c>
      <c r="D2426" s="28">
        <v>9.9910256048887</v>
      </c>
      <c r="E2426" s="28" t="s">
        <v>25</v>
      </c>
      <c r="F2426" s="28" t="s">
        <v>14</v>
      </c>
      <c r="G2426" s="38"/>
      <c r="H2426" s="38"/>
      <c r="J2426" s="31">
        <f t="shared" si="9"/>
        <v>0</v>
      </c>
    </row>
    <row r="2427">
      <c r="A2427" s="28">
        <v>41.0</v>
      </c>
      <c r="B2427" s="28">
        <v>10.0</v>
      </c>
      <c r="C2427" s="28">
        <v>53.4918541717669</v>
      </c>
      <c r="D2427" s="28">
        <v>9.99126627489545</v>
      </c>
      <c r="E2427" s="28" t="s">
        <v>25</v>
      </c>
      <c r="F2427" s="28" t="s">
        <v>14</v>
      </c>
      <c r="G2427" s="29" t="s">
        <v>164</v>
      </c>
      <c r="H2427" s="35" t="s">
        <v>1001</v>
      </c>
      <c r="J2427" s="31">
        <f t="shared" si="9"/>
        <v>133</v>
      </c>
    </row>
    <row r="2428">
      <c r="A2428" s="28">
        <v>41.0</v>
      </c>
      <c r="B2428" s="28">
        <v>11.0</v>
      </c>
      <c r="C2428" s="28">
        <v>53.4918416445914</v>
      </c>
      <c r="D2428" s="28">
        <v>9.99150694483103</v>
      </c>
      <c r="E2428" s="28" t="s">
        <v>25</v>
      </c>
      <c r="F2428" s="28" t="s">
        <v>14</v>
      </c>
      <c r="G2428" s="38"/>
      <c r="H2428" s="38"/>
      <c r="J2428" s="31">
        <f t="shared" si="9"/>
        <v>0</v>
      </c>
    </row>
    <row r="2429">
      <c r="A2429" s="28">
        <v>41.0</v>
      </c>
      <c r="B2429" s="28">
        <v>12.0</v>
      </c>
      <c r="C2429" s="28">
        <v>53.491829117416</v>
      </c>
      <c r="D2429" s="28">
        <v>9.99174761469555</v>
      </c>
      <c r="E2429" s="28" t="s">
        <v>15</v>
      </c>
      <c r="F2429" s="28" t="s">
        <v>168</v>
      </c>
      <c r="G2429" s="38"/>
      <c r="H2429" s="38"/>
      <c r="J2429" s="31">
        <f t="shared" si="9"/>
        <v>0</v>
      </c>
    </row>
    <row r="2430">
      <c r="A2430" s="28">
        <v>41.0</v>
      </c>
      <c r="B2430" s="28">
        <v>13.0</v>
      </c>
      <c r="C2430" s="28">
        <v>53.4918165902405</v>
      </c>
      <c r="D2430" s="28">
        <v>9.99198828448902</v>
      </c>
      <c r="E2430" s="28" t="s">
        <v>15</v>
      </c>
      <c r="F2430" s="28" t="s">
        <v>168</v>
      </c>
      <c r="G2430" s="38"/>
      <c r="H2430" s="38"/>
      <c r="J2430" s="31">
        <f t="shared" si="9"/>
        <v>0</v>
      </c>
    </row>
    <row r="2431">
      <c r="A2431" s="28">
        <v>41.0</v>
      </c>
      <c r="B2431" s="28">
        <v>14.0</v>
      </c>
      <c r="C2431" s="28">
        <v>53.4918040630651</v>
      </c>
      <c r="D2431" s="28">
        <v>9.99222895421132</v>
      </c>
      <c r="E2431" s="28" t="s">
        <v>15</v>
      </c>
      <c r="F2431" s="28" t="s">
        <v>168</v>
      </c>
      <c r="G2431" s="38"/>
      <c r="H2431" s="38"/>
      <c r="J2431" s="31">
        <f t="shared" si="9"/>
        <v>0</v>
      </c>
    </row>
    <row r="2432">
      <c r="A2432" s="28">
        <v>41.0</v>
      </c>
      <c r="B2432" s="28">
        <v>15.0</v>
      </c>
      <c r="C2432" s="28">
        <v>53.4917915358897</v>
      </c>
      <c r="D2432" s="28">
        <v>9.99246962386257</v>
      </c>
      <c r="E2432" s="28" t="s">
        <v>15</v>
      </c>
      <c r="F2432" s="28" t="s">
        <v>168</v>
      </c>
      <c r="G2432" s="38"/>
      <c r="H2432" s="38"/>
      <c r="J2432" s="31">
        <f t="shared" si="9"/>
        <v>0</v>
      </c>
    </row>
    <row r="2433">
      <c r="A2433" s="28">
        <v>41.0</v>
      </c>
      <c r="B2433" s="28">
        <v>16.0</v>
      </c>
      <c r="C2433" s="28">
        <v>53.4917790087142</v>
      </c>
      <c r="D2433" s="28">
        <v>9.99271029344277</v>
      </c>
      <c r="E2433" s="28" t="s">
        <v>15</v>
      </c>
      <c r="F2433" s="28" t="s">
        <v>168</v>
      </c>
      <c r="G2433" s="38"/>
      <c r="H2433" s="38"/>
      <c r="J2433" s="31">
        <f t="shared" si="9"/>
        <v>0</v>
      </c>
    </row>
    <row r="2434">
      <c r="A2434" s="28">
        <v>41.0</v>
      </c>
      <c r="B2434" s="28">
        <v>17.0</v>
      </c>
      <c r="C2434" s="28">
        <v>53.4917664815388</v>
      </c>
      <c r="D2434" s="28">
        <v>9.99295096295179</v>
      </c>
      <c r="E2434" s="28" t="s">
        <v>15</v>
      </c>
      <c r="F2434" s="28" t="s">
        <v>168</v>
      </c>
      <c r="G2434" s="38"/>
      <c r="H2434" s="38"/>
      <c r="J2434" s="31">
        <f t="shared" si="9"/>
        <v>0</v>
      </c>
    </row>
    <row r="2435">
      <c r="A2435" s="28">
        <v>41.0</v>
      </c>
      <c r="B2435" s="28">
        <v>18.0</v>
      </c>
      <c r="C2435" s="28">
        <v>53.4917539543633</v>
      </c>
      <c r="D2435" s="28">
        <v>9.99319163238976</v>
      </c>
      <c r="E2435" s="28" t="s">
        <v>15</v>
      </c>
      <c r="F2435" s="28" t="s">
        <v>168</v>
      </c>
      <c r="G2435" s="38"/>
      <c r="H2435" s="38"/>
      <c r="J2435" s="31">
        <f t="shared" si="9"/>
        <v>0</v>
      </c>
    </row>
    <row r="2436">
      <c r="A2436" s="28">
        <v>41.0</v>
      </c>
      <c r="B2436" s="28">
        <v>19.0</v>
      </c>
      <c r="C2436" s="28">
        <v>53.4917414271879</v>
      </c>
      <c r="D2436" s="28">
        <v>9.99343230175668</v>
      </c>
      <c r="E2436" s="28" t="s">
        <v>15</v>
      </c>
      <c r="F2436" s="28" t="s">
        <v>168</v>
      </c>
      <c r="G2436" s="38"/>
      <c r="H2436" s="38"/>
      <c r="J2436" s="31">
        <f t="shared" si="9"/>
        <v>0</v>
      </c>
    </row>
    <row r="2437">
      <c r="A2437" s="28">
        <v>41.0</v>
      </c>
      <c r="B2437" s="28">
        <v>20.0</v>
      </c>
      <c r="C2437" s="28">
        <v>53.4917289000125</v>
      </c>
      <c r="D2437" s="28">
        <v>9.99367297105243</v>
      </c>
      <c r="E2437" s="28" t="s">
        <v>15</v>
      </c>
      <c r="F2437" s="28" t="s">
        <v>168</v>
      </c>
      <c r="G2437" s="38"/>
      <c r="H2437" s="38"/>
      <c r="J2437" s="31">
        <f t="shared" si="9"/>
        <v>0</v>
      </c>
    </row>
    <row r="2438">
      <c r="A2438" s="28">
        <v>41.0</v>
      </c>
      <c r="B2438" s="28">
        <v>21.0</v>
      </c>
      <c r="C2438" s="28">
        <v>53.491716372837</v>
      </c>
      <c r="D2438" s="28">
        <v>9.99391364027712</v>
      </c>
      <c r="E2438" s="28" t="s">
        <v>15</v>
      </c>
      <c r="F2438" s="28" t="s">
        <v>168</v>
      </c>
      <c r="G2438" s="38"/>
      <c r="H2438" s="38"/>
      <c r="J2438" s="31">
        <f t="shared" si="9"/>
        <v>0</v>
      </c>
    </row>
    <row r="2439">
      <c r="A2439" s="28">
        <v>41.0</v>
      </c>
      <c r="B2439" s="28">
        <v>22.0</v>
      </c>
      <c r="C2439" s="28">
        <v>53.4917038456616</v>
      </c>
      <c r="D2439" s="28">
        <v>9.99415430943076</v>
      </c>
      <c r="E2439" s="28" t="s">
        <v>15</v>
      </c>
      <c r="F2439" s="28" t="s">
        <v>168</v>
      </c>
      <c r="G2439" s="38"/>
      <c r="H2439" s="38"/>
      <c r="J2439" s="31">
        <f t="shared" si="9"/>
        <v>0</v>
      </c>
    </row>
    <row r="2440">
      <c r="A2440" s="28">
        <v>41.0</v>
      </c>
      <c r="B2440" s="28">
        <v>23.0</v>
      </c>
      <c r="C2440" s="28">
        <v>53.4916913184861</v>
      </c>
      <c r="D2440" s="28">
        <v>9.99439497851324</v>
      </c>
      <c r="E2440" s="28" t="s">
        <v>15</v>
      </c>
      <c r="F2440" s="28" t="s">
        <v>168</v>
      </c>
      <c r="G2440" s="38"/>
      <c r="H2440" s="38"/>
      <c r="J2440" s="31">
        <f t="shared" si="9"/>
        <v>0</v>
      </c>
    </row>
    <row r="2441">
      <c r="A2441" s="28">
        <v>41.0</v>
      </c>
      <c r="B2441" s="28">
        <v>24.0</v>
      </c>
      <c r="C2441" s="28">
        <v>53.4916787913107</v>
      </c>
      <c r="D2441" s="28">
        <v>9.99463564752466</v>
      </c>
      <c r="E2441" s="28" t="s">
        <v>15</v>
      </c>
      <c r="F2441" s="28" t="s">
        <v>168</v>
      </c>
      <c r="G2441" s="38"/>
      <c r="H2441" s="38"/>
      <c r="J2441" s="31">
        <f t="shared" si="9"/>
        <v>0</v>
      </c>
    </row>
    <row r="2442">
      <c r="A2442" s="28">
        <v>41.0</v>
      </c>
      <c r="B2442" s="28">
        <v>25.0</v>
      </c>
      <c r="C2442" s="28">
        <v>53.4916662641352</v>
      </c>
      <c r="D2442" s="28">
        <v>9.99487631646502</v>
      </c>
      <c r="E2442" s="28" t="s">
        <v>15</v>
      </c>
      <c r="F2442" s="28" t="s">
        <v>168</v>
      </c>
      <c r="G2442" s="38"/>
      <c r="H2442" s="38"/>
      <c r="J2442" s="31">
        <f t="shared" si="9"/>
        <v>0</v>
      </c>
    </row>
    <row r="2443">
      <c r="A2443" s="28">
        <v>41.0</v>
      </c>
      <c r="B2443" s="28">
        <v>26.0</v>
      </c>
      <c r="C2443" s="28">
        <v>53.4916537369598</v>
      </c>
      <c r="D2443" s="28">
        <v>9.99511698533422</v>
      </c>
      <c r="E2443" s="28" t="s">
        <v>15</v>
      </c>
      <c r="F2443" s="28" t="s">
        <v>168</v>
      </c>
      <c r="G2443" s="38"/>
      <c r="H2443" s="38"/>
      <c r="J2443" s="31">
        <f t="shared" si="9"/>
        <v>0</v>
      </c>
    </row>
    <row r="2444">
      <c r="A2444" s="28">
        <v>41.0</v>
      </c>
      <c r="B2444" s="28">
        <v>27.0</v>
      </c>
      <c r="C2444" s="28">
        <v>53.4916412097843</v>
      </c>
      <c r="D2444" s="28">
        <v>9.99535765413236</v>
      </c>
      <c r="E2444" s="28" t="s">
        <v>15</v>
      </c>
      <c r="F2444" s="28" t="s">
        <v>168</v>
      </c>
      <c r="G2444" s="38"/>
      <c r="H2444" s="38"/>
      <c r="J2444" s="31">
        <f t="shared" si="9"/>
        <v>0</v>
      </c>
    </row>
    <row r="2445">
      <c r="A2445" s="28">
        <v>41.0</v>
      </c>
      <c r="B2445" s="28">
        <v>28.0</v>
      </c>
      <c r="C2445" s="28">
        <v>53.4916286826089</v>
      </c>
      <c r="D2445" s="28">
        <v>9.99559832285945</v>
      </c>
      <c r="E2445" s="28" t="s">
        <v>15</v>
      </c>
      <c r="F2445" s="28" t="s">
        <v>168</v>
      </c>
      <c r="G2445" s="38"/>
      <c r="H2445" s="38"/>
      <c r="J2445" s="31">
        <f t="shared" si="9"/>
        <v>0</v>
      </c>
    </row>
    <row r="2446">
      <c r="A2446" s="28">
        <v>41.0</v>
      </c>
      <c r="B2446" s="28">
        <v>29.0</v>
      </c>
      <c r="C2446" s="28">
        <v>53.4916161554335</v>
      </c>
      <c r="D2446" s="28">
        <v>9.99583899151548</v>
      </c>
      <c r="E2446" s="28" t="s">
        <v>15</v>
      </c>
      <c r="F2446" s="28" t="s">
        <v>168</v>
      </c>
      <c r="G2446" s="38"/>
      <c r="H2446" s="38"/>
      <c r="J2446" s="31">
        <f t="shared" si="9"/>
        <v>0</v>
      </c>
    </row>
    <row r="2447">
      <c r="A2447" s="28">
        <v>41.0</v>
      </c>
      <c r="B2447" s="28">
        <v>30.0</v>
      </c>
      <c r="C2447" s="28">
        <v>53.491603628258</v>
      </c>
      <c r="D2447" s="28">
        <v>9.99607966010035</v>
      </c>
      <c r="E2447" s="28" t="s">
        <v>15</v>
      </c>
      <c r="F2447" s="28" t="s">
        <v>168</v>
      </c>
      <c r="G2447" s="38"/>
      <c r="H2447" s="38"/>
      <c r="J2447" s="31">
        <f t="shared" si="9"/>
        <v>0</v>
      </c>
    </row>
    <row r="2448">
      <c r="A2448" s="28">
        <v>41.0</v>
      </c>
      <c r="B2448" s="28">
        <v>31.0</v>
      </c>
      <c r="C2448" s="28">
        <v>53.4915911010826</v>
      </c>
      <c r="D2448" s="28">
        <v>9.99632032861416</v>
      </c>
      <c r="E2448" s="28" t="s">
        <v>15</v>
      </c>
      <c r="F2448" s="28" t="s">
        <v>168</v>
      </c>
      <c r="G2448" s="38"/>
      <c r="H2448" s="38"/>
      <c r="J2448" s="31">
        <f t="shared" si="9"/>
        <v>0</v>
      </c>
    </row>
    <row r="2449">
      <c r="A2449" s="28">
        <v>41.0</v>
      </c>
      <c r="B2449" s="28">
        <v>32.0</v>
      </c>
      <c r="C2449" s="28">
        <v>53.4915785739071</v>
      </c>
      <c r="D2449" s="28">
        <v>9.9965609970568</v>
      </c>
      <c r="E2449" s="28" t="s">
        <v>15</v>
      </c>
      <c r="F2449" s="28" t="s">
        <v>168</v>
      </c>
      <c r="G2449" s="38"/>
      <c r="H2449" s="38"/>
      <c r="J2449" s="31">
        <f t="shared" si="9"/>
        <v>0</v>
      </c>
    </row>
    <row r="2450">
      <c r="A2450" s="28">
        <v>41.0</v>
      </c>
      <c r="B2450" s="28">
        <v>33.0</v>
      </c>
      <c r="C2450" s="28">
        <v>53.4915660467317</v>
      </c>
      <c r="D2450" s="28">
        <v>9.99680166542839</v>
      </c>
      <c r="E2450" s="28" t="s">
        <v>15</v>
      </c>
      <c r="F2450" s="28" t="s">
        <v>168</v>
      </c>
      <c r="G2450" s="38"/>
      <c r="H2450" s="38"/>
      <c r="J2450" s="31">
        <f t="shared" si="9"/>
        <v>0</v>
      </c>
    </row>
    <row r="2451">
      <c r="A2451" s="28">
        <v>41.0</v>
      </c>
      <c r="B2451" s="28">
        <v>34.0</v>
      </c>
      <c r="C2451" s="28">
        <v>53.4915535195563</v>
      </c>
      <c r="D2451" s="28">
        <v>9.99704233372892</v>
      </c>
      <c r="E2451" s="28" t="s">
        <v>15</v>
      </c>
      <c r="F2451" s="28" t="s">
        <v>168</v>
      </c>
      <c r="G2451" s="38"/>
      <c r="H2451" s="38"/>
      <c r="J2451" s="31">
        <f t="shared" si="9"/>
        <v>0</v>
      </c>
    </row>
    <row r="2452">
      <c r="A2452" s="28">
        <v>41.0</v>
      </c>
      <c r="B2452" s="28">
        <v>35.0</v>
      </c>
      <c r="C2452" s="28">
        <v>53.4915409923808</v>
      </c>
      <c r="D2452" s="28">
        <v>9.99728300195829</v>
      </c>
      <c r="E2452" s="28" t="s">
        <v>15</v>
      </c>
      <c r="F2452" s="28" t="s">
        <v>168</v>
      </c>
      <c r="G2452" s="38"/>
      <c r="H2452" s="38"/>
      <c r="J2452" s="31">
        <f t="shared" si="9"/>
        <v>0</v>
      </c>
    </row>
    <row r="2453">
      <c r="A2453" s="28">
        <v>41.0</v>
      </c>
      <c r="B2453" s="28">
        <v>36.0</v>
      </c>
      <c r="C2453" s="28">
        <v>53.4915284652054</v>
      </c>
      <c r="D2453" s="28">
        <v>9.9975236701166</v>
      </c>
      <c r="E2453" s="28" t="s">
        <v>15</v>
      </c>
      <c r="F2453" s="28" t="s">
        <v>168</v>
      </c>
      <c r="G2453" s="38"/>
      <c r="H2453" s="38"/>
      <c r="J2453" s="31">
        <f t="shared" si="9"/>
        <v>0</v>
      </c>
    </row>
    <row r="2454">
      <c r="A2454" s="28">
        <v>41.0</v>
      </c>
      <c r="B2454" s="28">
        <v>37.0</v>
      </c>
      <c r="C2454" s="28">
        <v>53.4915159380299</v>
      </c>
      <c r="D2454" s="28">
        <v>9.99776433820386</v>
      </c>
      <c r="E2454" s="28" t="s">
        <v>15</v>
      </c>
      <c r="F2454" s="28" t="s">
        <v>168</v>
      </c>
      <c r="G2454" s="38"/>
      <c r="H2454" s="38"/>
      <c r="J2454" s="31">
        <f t="shared" si="9"/>
        <v>0</v>
      </c>
    </row>
    <row r="2455">
      <c r="A2455" s="28">
        <v>41.0</v>
      </c>
      <c r="B2455" s="28">
        <v>38.0</v>
      </c>
      <c r="C2455" s="28">
        <v>53.4915034108545</v>
      </c>
      <c r="D2455" s="28">
        <v>9.99800500621995</v>
      </c>
      <c r="E2455" s="28" t="s">
        <v>15</v>
      </c>
      <c r="F2455" s="28" t="s">
        <v>168</v>
      </c>
      <c r="G2455" s="38"/>
      <c r="H2455" s="38"/>
      <c r="J2455" s="31">
        <f t="shared" si="9"/>
        <v>0</v>
      </c>
    </row>
    <row r="2456">
      <c r="A2456" s="28">
        <v>41.0</v>
      </c>
      <c r="B2456" s="28">
        <v>39.0</v>
      </c>
      <c r="C2456" s="28">
        <v>53.491490883679</v>
      </c>
      <c r="D2456" s="28">
        <v>9.99824567416499</v>
      </c>
      <c r="E2456" s="28" t="s">
        <v>15</v>
      </c>
      <c r="F2456" s="28" t="s">
        <v>168</v>
      </c>
      <c r="G2456" s="38"/>
      <c r="H2456" s="38"/>
      <c r="J2456" s="31">
        <f t="shared" si="9"/>
        <v>0</v>
      </c>
    </row>
    <row r="2457">
      <c r="A2457" s="28">
        <v>41.0</v>
      </c>
      <c r="B2457" s="28">
        <v>40.0</v>
      </c>
      <c r="C2457" s="28">
        <v>53.4914783565036</v>
      </c>
      <c r="D2457" s="28">
        <v>9.99848634203897</v>
      </c>
      <c r="E2457" s="28" t="s">
        <v>15</v>
      </c>
      <c r="F2457" s="28" t="s">
        <v>168</v>
      </c>
      <c r="G2457" s="38"/>
      <c r="H2457" s="38"/>
      <c r="J2457" s="31">
        <f t="shared" si="9"/>
        <v>0</v>
      </c>
    </row>
    <row r="2458">
      <c r="A2458" s="28">
        <v>41.0</v>
      </c>
      <c r="B2458" s="28">
        <v>41.0</v>
      </c>
      <c r="C2458" s="28">
        <v>53.4914658293282</v>
      </c>
      <c r="D2458" s="28">
        <v>9.9987270098419</v>
      </c>
      <c r="E2458" s="28" t="s">
        <v>15</v>
      </c>
      <c r="F2458" s="28" t="s">
        <v>168</v>
      </c>
      <c r="G2458" s="38"/>
      <c r="H2458" s="38"/>
      <c r="J2458" s="31">
        <f t="shared" si="9"/>
        <v>0</v>
      </c>
    </row>
    <row r="2459">
      <c r="A2459" s="28">
        <v>41.0</v>
      </c>
      <c r="B2459" s="28">
        <v>42.0</v>
      </c>
      <c r="C2459" s="28">
        <v>53.4914533021527</v>
      </c>
      <c r="D2459" s="28">
        <v>9.99896767757366</v>
      </c>
      <c r="E2459" s="28" t="s">
        <v>15</v>
      </c>
      <c r="F2459" s="28" t="s">
        <v>168</v>
      </c>
      <c r="G2459" s="38"/>
      <c r="H2459" s="38"/>
      <c r="J2459" s="31">
        <f t="shared" si="9"/>
        <v>0</v>
      </c>
    </row>
    <row r="2460">
      <c r="A2460" s="28">
        <v>41.0</v>
      </c>
      <c r="B2460" s="28">
        <v>43.0</v>
      </c>
      <c r="C2460" s="28">
        <v>53.4914407749773</v>
      </c>
      <c r="D2460" s="28">
        <v>9.99920834523436</v>
      </c>
      <c r="E2460" s="28" t="s">
        <v>15</v>
      </c>
      <c r="F2460" s="28" t="s">
        <v>168</v>
      </c>
      <c r="G2460" s="38"/>
      <c r="H2460" s="38"/>
      <c r="J2460" s="31">
        <f t="shared" si="9"/>
        <v>0</v>
      </c>
    </row>
    <row r="2461">
      <c r="A2461" s="28">
        <v>41.0</v>
      </c>
      <c r="B2461" s="28">
        <v>44.0</v>
      </c>
      <c r="C2461" s="28">
        <v>53.4914282478018</v>
      </c>
      <c r="D2461" s="28">
        <v>9.99944901282401</v>
      </c>
      <c r="E2461" s="28" t="s">
        <v>15</v>
      </c>
      <c r="F2461" s="28" t="s">
        <v>168</v>
      </c>
      <c r="G2461" s="38"/>
      <c r="H2461" s="38"/>
      <c r="J2461" s="31">
        <f t="shared" si="9"/>
        <v>0</v>
      </c>
    </row>
    <row r="2462">
      <c r="A2462" s="28">
        <v>41.0</v>
      </c>
      <c r="B2462" s="28">
        <v>45.0</v>
      </c>
      <c r="C2462" s="28">
        <v>53.4914157206264</v>
      </c>
      <c r="D2462" s="28">
        <v>9.99968968034249</v>
      </c>
      <c r="E2462" s="28" t="s">
        <v>15</v>
      </c>
      <c r="F2462" s="28" t="s">
        <v>168</v>
      </c>
      <c r="G2462" s="38"/>
      <c r="H2462" s="38"/>
      <c r="J2462" s="31">
        <f t="shared" si="9"/>
        <v>0</v>
      </c>
    </row>
    <row r="2463">
      <c r="A2463" s="28">
        <v>41.0</v>
      </c>
      <c r="B2463" s="28">
        <v>46.0</v>
      </c>
      <c r="C2463" s="28">
        <v>53.4914031934509</v>
      </c>
      <c r="D2463" s="28">
        <v>9.99993034778992</v>
      </c>
      <c r="E2463" s="28" t="s">
        <v>15</v>
      </c>
      <c r="F2463" s="28" t="s">
        <v>168</v>
      </c>
      <c r="G2463" s="38"/>
      <c r="H2463" s="38"/>
      <c r="J2463" s="31">
        <f t="shared" si="9"/>
        <v>0</v>
      </c>
    </row>
    <row r="2464">
      <c r="A2464" s="28">
        <v>41.0</v>
      </c>
      <c r="B2464" s="28">
        <v>47.0</v>
      </c>
      <c r="C2464" s="28">
        <v>53.4913906662755</v>
      </c>
      <c r="D2464" s="28">
        <v>10.0001710151663</v>
      </c>
      <c r="E2464" s="28" t="s">
        <v>15</v>
      </c>
      <c r="F2464" s="28" t="s">
        <v>168</v>
      </c>
      <c r="G2464" s="38"/>
      <c r="H2464" s="38"/>
      <c r="J2464" s="31">
        <f t="shared" si="9"/>
        <v>0</v>
      </c>
    </row>
    <row r="2465">
      <c r="A2465" s="28">
        <v>41.0</v>
      </c>
      <c r="B2465" s="28">
        <v>48.0</v>
      </c>
      <c r="C2465" s="28">
        <v>53.4913781391</v>
      </c>
      <c r="D2465" s="28">
        <v>10.0004116824716</v>
      </c>
      <c r="E2465" s="28" t="s">
        <v>25</v>
      </c>
      <c r="F2465" s="28" t="s">
        <v>14</v>
      </c>
      <c r="G2465" s="29" t="s">
        <v>164</v>
      </c>
      <c r="H2465" s="35" t="s">
        <v>1002</v>
      </c>
      <c r="J2465" s="31">
        <f t="shared" si="9"/>
        <v>133</v>
      </c>
    </row>
    <row r="2466">
      <c r="A2466" s="28">
        <v>41.0</v>
      </c>
      <c r="B2466" s="28">
        <v>49.0</v>
      </c>
      <c r="C2466" s="28">
        <v>53.4913656119246</v>
      </c>
      <c r="D2466" s="28">
        <v>10.0006523497057</v>
      </c>
      <c r="E2466" s="28" t="s">
        <v>25</v>
      </c>
      <c r="F2466" s="28" t="s">
        <v>14</v>
      </c>
      <c r="G2466" s="38"/>
      <c r="H2466" s="38"/>
      <c r="J2466" s="31">
        <f t="shared" si="9"/>
        <v>0</v>
      </c>
    </row>
    <row r="2467">
      <c r="A2467" s="28">
        <v>41.0</v>
      </c>
      <c r="B2467" s="28">
        <v>50.0</v>
      </c>
      <c r="C2467" s="28">
        <v>53.4913530847492</v>
      </c>
      <c r="D2467" s="28">
        <v>10.0008930168688</v>
      </c>
      <c r="E2467" s="28" t="s">
        <v>25</v>
      </c>
      <c r="F2467" s="28" t="s">
        <v>14</v>
      </c>
      <c r="G2467" s="38"/>
      <c r="H2467" s="38"/>
      <c r="J2467" s="31">
        <f t="shared" si="9"/>
        <v>0</v>
      </c>
    </row>
    <row r="2468">
      <c r="A2468" s="28">
        <v>41.0</v>
      </c>
      <c r="B2468" s="28">
        <v>51.0</v>
      </c>
      <c r="C2468" s="28">
        <v>53.4913405575737</v>
      </c>
      <c r="D2468" s="28">
        <v>10.0011336839609</v>
      </c>
      <c r="E2468" s="28" t="s">
        <v>25</v>
      </c>
      <c r="F2468" s="28" t="s">
        <v>14</v>
      </c>
      <c r="G2468" s="38"/>
      <c r="H2468" s="38"/>
      <c r="J2468" s="31">
        <f t="shared" si="9"/>
        <v>0</v>
      </c>
    </row>
    <row r="2469">
      <c r="A2469" s="28">
        <v>41.0</v>
      </c>
      <c r="B2469" s="28">
        <v>52.0</v>
      </c>
      <c r="C2469" s="28">
        <v>53.4913280303983</v>
      </c>
      <c r="D2469" s="28">
        <v>10.0013743509817</v>
      </c>
      <c r="E2469" s="28" t="s">
        <v>25</v>
      </c>
      <c r="F2469" s="28" t="s">
        <v>14</v>
      </c>
      <c r="G2469" s="29" t="s">
        <v>164</v>
      </c>
      <c r="H2469" s="35" t="s">
        <v>1003</v>
      </c>
      <c r="J2469" s="31">
        <f t="shared" si="9"/>
        <v>133</v>
      </c>
    </row>
    <row r="2470">
      <c r="A2470" s="28">
        <v>41.0</v>
      </c>
      <c r="B2470" s="28">
        <v>53.0</v>
      </c>
      <c r="C2470" s="28">
        <v>53.4913155032228</v>
      </c>
      <c r="D2470" s="28">
        <v>10.0016150179316</v>
      </c>
      <c r="E2470" s="28" t="s">
        <v>15</v>
      </c>
      <c r="F2470" s="28" t="s">
        <v>168</v>
      </c>
      <c r="G2470" s="38"/>
      <c r="H2470" s="38"/>
      <c r="J2470" s="31">
        <f t="shared" si="9"/>
        <v>0</v>
      </c>
    </row>
    <row r="2471">
      <c r="A2471" s="28">
        <v>41.0</v>
      </c>
      <c r="B2471" s="28">
        <v>54.0</v>
      </c>
      <c r="C2471" s="28">
        <v>53.4913029760474</v>
      </c>
      <c r="D2471" s="28">
        <v>10.0018556848103</v>
      </c>
      <c r="E2471" s="28" t="s">
        <v>15</v>
      </c>
      <c r="F2471" s="28" t="s">
        <v>168</v>
      </c>
      <c r="G2471" s="38"/>
      <c r="H2471" s="38"/>
      <c r="J2471" s="31">
        <f t="shared" si="9"/>
        <v>0</v>
      </c>
    </row>
    <row r="2472">
      <c r="A2472" s="28">
        <v>41.0</v>
      </c>
      <c r="B2472" s="28">
        <v>55.0</v>
      </c>
      <c r="C2472" s="28">
        <v>53.4912904488719</v>
      </c>
      <c r="D2472" s="28">
        <v>10.002096351618</v>
      </c>
      <c r="E2472" s="28" t="s">
        <v>15</v>
      </c>
      <c r="F2472" s="28" t="s">
        <v>168</v>
      </c>
      <c r="G2472" s="38"/>
      <c r="H2472" s="38"/>
      <c r="J2472" s="31">
        <f t="shared" si="9"/>
        <v>0</v>
      </c>
    </row>
    <row r="2473">
      <c r="A2473" s="28">
        <v>41.0</v>
      </c>
      <c r="B2473" s="28">
        <v>56.0</v>
      </c>
      <c r="C2473" s="28">
        <v>53.4912779216965</v>
      </c>
      <c r="D2473" s="28">
        <v>10.0023370183546</v>
      </c>
      <c r="E2473" s="28" t="s">
        <v>15</v>
      </c>
      <c r="F2473" s="28" t="s">
        <v>168</v>
      </c>
      <c r="G2473" s="38"/>
      <c r="H2473" s="38"/>
      <c r="J2473" s="31">
        <f t="shared" si="9"/>
        <v>0</v>
      </c>
    </row>
    <row r="2474">
      <c r="A2474" s="28">
        <v>41.0</v>
      </c>
      <c r="B2474" s="28">
        <v>57.0</v>
      </c>
      <c r="C2474" s="28">
        <v>53.4912653945211</v>
      </c>
      <c r="D2474" s="28">
        <v>10.0025776850201</v>
      </c>
      <c r="E2474" s="28" t="s">
        <v>15</v>
      </c>
      <c r="F2474" s="28" t="s">
        <v>168</v>
      </c>
      <c r="G2474" s="38"/>
      <c r="H2474" s="38"/>
      <c r="J2474" s="31">
        <f t="shared" si="9"/>
        <v>0</v>
      </c>
    </row>
    <row r="2475">
      <c r="A2475" s="28">
        <v>41.0</v>
      </c>
      <c r="B2475" s="28">
        <v>58.0</v>
      </c>
      <c r="C2475" s="28">
        <v>53.4912528673456</v>
      </c>
      <c r="D2475" s="28">
        <v>10.0028183516144</v>
      </c>
      <c r="E2475" s="28" t="s">
        <v>15</v>
      </c>
      <c r="F2475" s="28" t="s">
        <v>168</v>
      </c>
      <c r="G2475" s="38"/>
      <c r="H2475" s="38"/>
      <c r="J2475" s="31">
        <f t="shared" si="9"/>
        <v>0</v>
      </c>
    </row>
    <row r="2476">
      <c r="A2476" s="28">
        <v>41.0</v>
      </c>
      <c r="B2476" s="28">
        <v>59.0</v>
      </c>
      <c r="C2476" s="28">
        <v>53.4912403401702</v>
      </c>
      <c r="D2476" s="28">
        <v>10.0030590181377</v>
      </c>
      <c r="E2476" s="28" t="s">
        <v>15</v>
      </c>
      <c r="F2476" s="28" t="s">
        <v>168</v>
      </c>
      <c r="G2476" s="29" t="s">
        <v>26</v>
      </c>
      <c r="H2476" s="30" t="str">
        <f>HYPERLINK("https://www.munzee.com/m/Elli/6224/", "Elli/6224")</f>
        <v>Elli/6224</v>
      </c>
      <c r="J2476" s="31">
        <f t="shared" si="9"/>
        <v>143</v>
      </c>
    </row>
    <row r="2477">
      <c r="A2477" s="28">
        <v>41.0</v>
      </c>
      <c r="B2477" s="28">
        <v>60.0</v>
      </c>
      <c r="C2477" s="28">
        <v>53.4912278129947</v>
      </c>
      <c r="D2477" s="28">
        <v>10.0032996845899</v>
      </c>
      <c r="E2477" s="28" t="s">
        <v>25</v>
      </c>
      <c r="F2477" s="28" t="s">
        <v>14</v>
      </c>
      <c r="G2477" s="29" t="s">
        <v>94</v>
      </c>
      <c r="H2477" s="33" t="s">
        <v>1004</v>
      </c>
      <c r="J2477" s="31">
        <f t="shared" si="9"/>
        <v>42</v>
      </c>
    </row>
    <row r="2478">
      <c r="A2478" s="28">
        <v>42.0</v>
      </c>
      <c r="B2478" s="28">
        <v>1.0</v>
      </c>
      <c r="C2478" s="28">
        <v>53.4918237328363</v>
      </c>
      <c r="D2478" s="28">
        <v>9.98907918639372</v>
      </c>
      <c r="E2478" s="28" t="s">
        <v>25</v>
      </c>
      <c r="F2478" s="28" t="s">
        <v>14</v>
      </c>
      <c r="G2478" s="38"/>
      <c r="H2478" s="38"/>
      <c r="J2478" s="31">
        <f t="shared" si="9"/>
        <v>0</v>
      </c>
    </row>
    <row r="2479">
      <c r="A2479" s="28">
        <v>42.0</v>
      </c>
      <c r="B2479" s="28">
        <v>2.0</v>
      </c>
      <c r="C2479" s="28">
        <v>53.4918112056609</v>
      </c>
      <c r="D2479" s="28">
        <v>9.98931985615661</v>
      </c>
      <c r="E2479" s="28" t="s">
        <v>15</v>
      </c>
      <c r="F2479" s="28" t="s">
        <v>168</v>
      </c>
      <c r="G2479" s="38"/>
      <c r="H2479" s="38"/>
      <c r="J2479" s="31">
        <f t="shared" si="9"/>
        <v>0</v>
      </c>
    </row>
    <row r="2480">
      <c r="A2480" s="28">
        <v>42.0</v>
      </c>
      <c r="B2480" s="28">
        <v>3.0</v>
      </c>
      <c r="C2480" s="28">
        <v>53.4917986784854</v>
      </c>
      <c r="D2480" s="28">
        <v>9.98956052584844</v>
      </c>
      <c r="E2480" s="28" t="s">
        <v>15</v>
      </c>
      <c r="F2480" s="28" t="s">
        <v>168</v>
      </c>
      <c r="G2480" s="38"/>
      <c r="H2480" s="38"/>
      <c r="J2480" s="31">
        <f t="shared" si="9"/>
        <v>0</v>
      </c>
    </row>
    <row r="2481">
      <c r="A2481" s="28">
        <v>42.0</v>
      </c>
      <c r="B2481" s="28">
        <v>4.0</v>
      </c>
      <c r="C2481" s="28">
        <v>53.49178615131</v>
      </c>
      <c r="D2481" s="28">
        <v>9.98980119546911</v>
      </c>
      <c r="E2481" s="28" t="s">
        <v>15</v>
      </c>
      <c r="F2481" s="28" t="s">
        <v>168</v>
      </c>
      <c r="G2481" s="38"/>
      <c r="H2481" s="38"/>
      <c r="J2481" s="31">
        <f t="shared" si="9"/>
        <v>0</v>
      </c>
    </row>
    <row r="2482">
      <c r="A2482" s="28">
        <v>42.0</v>
      </c>
      <c r="B2482" s="28">
        <v>5.0</v>
      </c>
      <c r="C2482" s="28">
        <v>53.4917736241345</v>
      </c>
      <c r="D2482" s="28">
        <v>9.99004186501872</v>
      </c>
      <c r="E2482" s="28" t="s">
        <v>15</v>
      </c>
      <c r="F2482" s="28" t="s">
        <v>168</v>
      </c>
      <c r="G2482" s="38"/>
      <c r="H2482" s="38"/>
      <c r="J2482" s="31">
        <f t="shared" si="9"/>
        <v>0</v>
      </c>
    </row>
    <row r="2483">
      <c r="A2483" s="28">
        <v>42.0</v>
      </c>
      <c r="B2483" s="28">
        <v>6.0</v>
      </c>
      <c r="C2483" s="28">
        <v>53.4917610969591</v>
      </c>
      <c r="D2483" s="28">
        <v>9.99028253449728</v>
      </c>
      <c r="E2483" s="28" t="s">
        <v>15</v>
      </c>
      <c r="F2483" s="28" t="s">
        <v>168</v>
      </c>
      <c r="G2483" s="38"/>
      <c r="H2483" s="38"/>
      <c r="J2483" s="31">
        <f t="shared" si="9"/>
        <v>0</v>
      </c>
    </row>
    <row r="2484">
      <c r="A2484" s="28">
        <v>42.0</v>
      </c>
      <c r="B2484" s="28">
        <v>7.0</v>
      </c>
      <c r="C2484" s="28">
        <v>53.4917485697837</v>
      </c>
      <c r="D2484" s="28">
        <v>9.99052320390467</v>
      </c>
      <c r="E2484" s="28" t="s">
        <v>15</v>
      </c>
      <c r="F2484" s="28" t="s">
        <v>168</v>
      </c>
      <c r="G2484" s="38"/>
      <c r="H2484" s="38"/>
      <c r="J2484" s="31">
        <f t="shared" si="9"/>
        <v>0</v>
      </c>
    </row>
    <row r="2485">
      <c r="A2485" s="28">
        <v>42.0</v>
      </c>
      <c r="B2485" s="28">
        <v>8.0</v>
      </c>
      <c r="C2485" s="28">
        <v>53.4917360426082</v>
      </c>
      <c r="D2485" s="28">
        <v>9.990763873241</v>
      </c>
      <c r="E2485" s="28" t="s">
        <v>15</v>
      </c>
      <c r="F2485" s="28" t="s">
        <v>168</v>
      </c>
      <c r="G2485" s="38"/>
      <c r="H2485" s="38"/>
      <c r="J2485" s="31">
        <f t="shared" si="9"/>
        <v>0</v>
      </c>
    </row>
    <row r="2486">
      <c r="A2486" s="28">
        <v>42.0</v>
      </c>
      <c r="B2486" s="28">
        <v>9.0</v>
      </c>
      <c r="C2486" s="28">
        <v>53.4917235154328</v>
      </c>
      <c r="D2486" s="28">
        <v>9.99100454250628</v>
      </c>
      <c r="E2486" s="28" t="s">
        <v>25</v>
      </c>
      <c r="F2486" s="28" t="s">
        <v>14</v>
      </c>
      <c r="G2486" s="38"/>
      <c r="H2486" s="38"/>
      <c r="J2486" s="31">
        <f t="shared" si="9"/>
        <v>0</v>
      </c>
    </row>
    <row r="2487">
      <c r="A2487" s="28">
        <v>42.0</v>
      </c>
      <c r="B2487" s="28">
        <v>10.0</v>
      </c>
      <c r="C2487" s="28">
        <v>53.4917109882573</v>
      </c>
      <c r="D2487" s="28">
        <v>9.9912452117004</v>
      </c>
      <c r="E2487" s="28" t="s">
        <v>25</v>
      </c>
      <c r="F2487" s="28" t="s">
        <v>14</v>
      </c>
      <c r="G2487" s="38"/>
      <c r="H2487" s="38"/>
      <c r="J2487" s="31">
        <f t="shared" si="9"/>
        <v>0</v>
      </c>
    </row>
    <row r="2488">
      <c r="A2488" s="28">
        <v>42.0</v>
      </c>
      <c r="B2488" s="28">
        <v>11.0</v>
      </c>
      <c r="C2488" s="28">
        <v>53.4916984610819</v>
      </c>
      <c r="D2488" s="28">
        <v>9.99148588082346</v>
      </c>
      <c r="E2488" s="28" t="s">
        <v>15</v>
      </c>
      <c r="F2488" s="28" t="s">
        <v>168</v>
      </c>
      <c r="G2488" s="38"/>
      <c r="H2488" s="38"/>
      <c r="J2488" s="31">
        <f t="shared" si="9"/>
        <v>0</v>
      </c>
    </row>
    <row r="2489">
      <c r="A2489" s="28">
        <v>42.0</v>
      </c>
      <c r="B2489" s="28">
        <v>12.0</v>
      </c>
      <c r="C2489" s="28">
        <v>53.4916859339064</v>
      </c>
      <c r="D2489" s="28">
        <v>9.99172654987546</v>
      </c>
      <c r="E2489" s="28" t="s">
        <v>15</v>
      </c>
      <c r="F2489" s="28" t="s">
        <v>168</v>
      </c>
      <c r="G2489" s="38"/>
      <c r="H2489" s="38"/>
      <c r="J2489" s="31">
        <f t="shared" si="9"/>
        <v>0</v>
      </c>
    </row>
    <row r="2490">
      <c r="A2490" s="28">
        <v>42.0</v>
      </c>
      <c r="B2490" s="28">
        <v>13.0</v>
      </c>
      <c r="C2490" s="28">
        <v>53.491673406731</v>
      </c>
      <c r="D2490" s="28">
        <v>9.9919672188563</v>
      </c>
      <c r="E2490" s="28" t="s">
        <v>15</v>
      </c>
      <c r="F2490" s="28" t="s">
        <v>168</v>
      </c>
      <c r="G2490" s="38"/>
      <c r="H2490" s="38"/>
      <c r="J2490" s="31">
        <f t="shared" si="9"/>
        <v>0</v>
      </c>
    </row>
    <row r="2491">
      <c r="A2491" s="28">
        <v>42.0</v>
      </c>
      <c r="B2491" s="28">
        <v>14.0</v>
      </c>
      <c r="C2491" s="28">
        <v>53.4916608795555</v>
      </c>
      <c r="D2491" s="28">
        <v>9.99220788776608</v>
      </c>
      <c r="E2491" s="28" t="s">
        <v>15</v>
      </c>
      <c r="F2491" s="28" t="s">
        <v>168</v>
      </c>
      <c r="G2491" s="38"/>
      <c r="H2491" s="38"/>
      <c r="J2491" s="31">
        <f t="shared" si="9"/>
        <v>0</v>
      </c>
    </row>
    <row r="2492">
      <c r="A2492" s="28">
        <v>42.0</v>
      </c>
      <c r="B2492" s="28">
        <v>15.0</v>
      </c>
      <c r="C2492" s="28">
        <v>53.4916483523801</v>
      </c>
      <c r="D2492" s="28">
        <v>9.99244855660481</v>
      </c>
      <c r="E2492" s="28" t="s">
        <v>15</v>
      </c>
      <c r="F2492" s="28" t="s">
        <v>168</v>
      </c>
      <c r="G2492" s="38"/>
      <c r="H2492" s="38"/>
      <c r="J2492" s="31">
        <f t="shared" si="9"/>
        <v>0</v>
      </c>
    </row>
    <row r="2493">
      <c r="A2493" s="28">
        <v>42.0</v>
      </c>
      <c r="B2493" s="28">
        <v>16.0</v>
      </c>
      <c r="C2493" s="28">
        <v>53.4916358252047</v>
      </c>
      <c r="D2493" s="28">
        <v>9.99268922537237</v>
      </c>
      <c r="E2493" s="28" t="s">
        <v>15</v>
      </c>
      <c r="F2493" s="28" t="s">
        <v>168</v>
      </c>
      <c r="G2493" s="38"/>
      <c r="H2493" s="38"/>
      <c r="J2493" s="31">
        <f t="shared" si="9"/>
        <v>0</v>
      </c>
    </row>
    <row r="2494">
      <c r="A2494" s="28">
        <v>42.0</v>
      </c>
      <c r="B2494" s="28">
        <v>17.0</v>
      </c>
      <c r="C2494" s="28">
        <v>53.4916232980292</v>
      </c>
      <c r="D2494" s="28">
        <v>9.99292989406888</v>
      </c>
      <c r="E2494" s="28" t="s">
        <v>15</v>
      </c>
      <c r="F2494" s="28" t="s">
        <v>168</v>
      </c>
      <c r="G2494" s="38"/>
      <c r="H2494" s="38"/>
      <c r="J2494" s="31">
        <f t="shared" si="9"/>
        <v>0</v>
      </c>
    </row>
    <row r="2495">
      <c r="A2495" s="28">
        <v>42.0</v>
      </c>
      <c r="B2495" s="28">
        <v>18.0</v>
      </c>
      <c r="C2495" s="28">
        <v>53.4916107708538</v>
      </c>
      <c r="D2495" s="28">
        <v>9.99317056269433</v>
      </c>
      <c r="E2495" s="28" t="s">
        <v>15</v>
      </c>
      <c r="F2495" s="28" t="s">
        <v>168</v>
      </c>
      <c r="G2495" s="38"/>
      <c r="H2495" s="38"/>
      <c r="J2495" s="31">
        <f t="shared" si="9"/>
        <v>0</v>
      </c>
    </row>
    <row r="2496">
      <c r="A2496" s="28">
        <v>42.0</v>
      </c>
      <c r="B2496" s="28">
        <v>19.0</v>
      </c>
      <c r="C2496" s="28">
        <v>53.4915982436783</v>
      </c>
      <c r="D2496" s="28">
        <v>9.99341123124861</v>
      </c>
      <c r="E2496" s="28" t="s">
        <v>15</v>
      </c>
      <c r="F2496" s="28" t="s">
        <v>168</v>
      </c>
      <c r="G2496" s="38"/>
      <c r="H2496" s="38"/>
      <c r="J2496" s="31">
        <f t="shared" si="9"/>
        <v>0</v>
      </c>
    </row>
    <row r="2497">
      <c r="A2497" s="28">
        <v>42.0</v>
      </c>
      <c r="B2497" s="28">
        <v>20.0</v>
      </c>
      <c r="C2497" s="28">
        <v>53.4915857165029</v>
      </c>
      <c r="D2497" s="28">
        <v>9.99365189973184</v>
      </c>
      <c r="E2497" s="28" t="s">
        <v>15</v>
      </c>
      <c r="F2497" s="28" t="s">
        <v>168</v>
      </c>
      <c r="G2497" s="38"/>
      <c r="H2497" s="38"/>
      <c r="J2497" s="31">
        <f t="shared" si="9"/>
        <v>0</v>
      </c>
    </row>
    <row r="2498">
      <c r="A2498" s="28">
        <v>42.0</v>
      </c>
      <c r="B2498" s="28">
        <v>21.0</v>
      </c>
      <c r="C2498" s="28">
        <v>53.4915731893274</v>
      </c>
      <c r="D2498" s="28">
        <v>9.99389256814402</v>
      </c>
      <c r="E2498" s="28" t="s">
        <v>15</v>
      </c>
      <c r="F2498" s="28" t="s">
        <v>168</v>
      </c>
      <c r="G2498" s="38"/>
      <c r="H2498" s="38"/>
      <c r="J2498" s="31">
        <f t="shared" si="9"/>
        <v>0</v>
      </c>
    </row>
    <row r="2499">
      <c r="A2499" s="28">
        <v>42.0</v>
      </c>
      <c r="B2499" s="28">
        <v>22.0</v>
      </c>
      <c r="C2499" s="28">
        <v>53.491560662152</v>
      </c>
      <c r="D2499" s="28">
        <v>9.99413323648502</v>
      </c>
      <c r="E2499" s="28" t="s">
        <v>15</v>
      </c>
      <c r="F2499" s="28" t="s">
        <v>168</v>
      </c>
      <c r="G2499" s="38"/>
      <c r="H2499" s="38"/>
      <c r="J2499" s="31">
        <f t="shared" si="9"/>
        <v>0</v>
      </c>
    </row>
    <row r="2500">
      <c r="A2500" s="28">
        <v>42.0</v>
      </c>
      <c r="B2500" s="28">
        <v>23.0</v>
      </c>
      <c r="C2500" s="28">
        <v>53.4915481349766</v>
      </c>
      <c r="D2500" s="28">
        <v>9.99437390475498</v>
      </c>
      <c r="E2500" s="28" t="s">
        <v>15</v>
      </c>
      <c r="F2500" s="28" t="s">
        <v>168</v>
      </c>
      <c r="G2500" s="38"/>
      <c r="H2500" s="38"/>
      <c r="J2500" s="31">
        <f t="shared" si="9"/>
        <v>0</v>
      </c>
    </row>
    <row r="2501">
      <c r="A2501" s="28">
        <v>42.0</v>
      </c>
      <c r="B2501" s="28">
        <v>24.0</v>
      </c>
      <c r="C2501" s="28">
        <v>53.4915356078011</v>
      </c>
      <c r="D2501" s="28">
        <v>9.99461457295387</v>
      </c>
      <c r="E2501" s="28" t="s">
        <v>15</v>
      </c>
      <c r="F2501" s="28" t="s">
        <v>168</v>
      </c>
      <c r="G2501" s="38"/>
      <c r="H2501" s="38"/>
      <c r="J2501" s="31">
        <f t="shared" si="9"/>
        <v>0</v>
      </c>
    </row>
    <row r="2502">
      <c r="A2502" s="28">
        <v>42.0</v>
      </c>
      <c r="B2502" s="28">
        <v>25.0</v>
      </c>
      <c r="C2502" s="28">
        <v>53.4915230806257</v>
      </c>
      <c r="D2502" s="28">
        <v>9.99485524108172</v>
      </c>
      <c r="E2502" s="28" t="s">
        <v>15</v>
      </c>
      <c r="F2502" s="28" t="s">
        <v>168</v>
      </c>
      <c r="G2502" s="38"/>
      <c r="H2502" s="38"/>
      <c r="J2502" s="31">
        <f t="shared" si="9"/>
        <v>0</v>
      </c>
    </row>
    <row r="2503">
      <c r="A2503" s="28">
        <v>42.0</v>
      </c>
      <c r="B2503" s="28">
        <v>26.0</v>
      </c>
      <c r="C2503" s="28">
        <v>53.4915105534502</v>
      </c>
      <c r="D2503" s="28">
        <v>9.9950959091384</v>
      </c>
      <c r="E2503" s="28" t="s">
        <v>15</v>
      </c>
      <c r="F2503" s="28" t="s">
        <v>168</v>
      </c>
      <c r="G2503" s="38"/>
      <c r="H2503" s="38"/>
      <c r="J2503" s="31">
        <f t="shared" si="9"/>
        <v>0</v>
      </c>
    </row>
    <row r="2504">
      <c r="A2504" s="28">
        <v>42.0</v>
      </c>
      <c r="B2504" s="28">
        <v>27.0</v>
      </c>
      <c r="C2504" s="28">
        <v>53.4914980262748</v>
      </c>
      <c r="D2504" s="28">
        <v>9.99533657712402</v>
      </c>
      <c r="E2504" s="28" t="s">
        <v>15</v>
      </c>
      <c r="F2504" s="28" t="s">
        <v>168</v>
      </c>
      <c r="G2504" s="38"/>
      <c r="H2504" s="38"/>
      <c r="J2504" s="31">
        <f t="shared" si="9"/>
        <v>0</v>
      </c>
    </row>
    <row r="2505">
      <c r="A2505" s="28">
        <v>42.0</v>
      </c>
      <c r="B2505" s="28">
        <v>28.0</v>
      </c>
      <c r="C2505" s="28">
        <v>53.4914854990993</v>
      </c>
      <c r="D2505" s="28">
        <v>9.99557724503847</v>
      </c>
      <c r="E2505" s="28" t="s">
        <v>15</v>
      </c>
      <c r="F2505" s="28" t="s">
        <v>168</v>
      </c>
      <c r="G2505" s="38"/>
      <c r="H2505" s="38"/>
      <c r="J2505" s="31">
        <f t="shared" si="9"/>
        <v>0</v>
      </c>
    </row>
    <row r="2506">
      <c r="A2506" s="28">
        <v>42.0</v>
      </c>
      <c r="B2506" s="28">
        <v>29.0</v>
      </c>
      <c r="C2506" s="28">
        <v>53.4914729719239</v>
      </c>
      <c r="D2506" s="28">
        <v>9.99581791288187</v>
      </c>
      <c r="E2506" s="28" t="s">
        <v>15</v>
      </c>
      <c r="F2506" s="28" t="s">
        <v>168</v>
      </c>
      <c r="G2506" s="38"/>
      <c r="H2506" s="38"/>
      <c r="J2506" s="31">
        <f t="shared" si="9"/>
        <v>0</v>
      </c>
    </row>
    <row r="2507">
      <c r="A2507" s="28">
        <v>42.0</v>
      </c>
      <c r="B2507" s="28">
        <v>30.0</v>
      </c>
      <c r="C2507" s="28">
        <v>53.4914604447485</v>
      </c>
      <c r="D2507" s="28">
        <v>9.99605858065422</v>
      </c>
      <c r="E2507" s="28" t="s">
        <v>15</v>
      </c>
      <c r="F2507" s="28" t="s">
        <v>168</v>
      </c>
      <c r="G2507" s="38"/>
      <c r="H2507" s="38"/>
      <c r="J2507" s="31">
        <f t="shared" si="9"/>
        <v>0</v>
      </c>
    </row>
    <row r="2508">
      <c r="A2508" s="28">
        <v>42.0</v>
      </c>
      <c r="B2508" s="28">
        <v>31.0</v>
      </c>
      <c r="C2508" s="28">
        <v>53.491447917573</v>
      </c>
      <c r="D2508" s="28">
        <v>9.99629924835539</v>
      </c>
      <c r="E2508" s="28" t="s">
        <v>15</v>
      </c>
      <c r="F2508" s="28" t="s">
        <v>168</v>
      </c>
      <c r="G2508" s="38"/>
      <c r="H2508" s="38"/>
      <c r="J2508" s="31">
        <f t="shared" si="9"/>
        <v>0</v>
      </c>
    </row>
    <row r="2509">
      <c r="A2509" s="28">
        <v>42.0</v>
      </c>
      <c r="B2509" s="28">
        <v>32.0</v>
      </c>
      <c r="C2509" s="28">
        <v>53.4914353903976</v>
      </c>
      <c r="D2509" s="28">
        <v>9.99653991598552</v>
      </c>
      <c r="E2509" s="28" t="s">
        <v>15</v>
      </c>
      <c r="F2509" s="28" t="s">
        <v>168</v>
      </c>
      <c r="G2509" s="38"/>
      <c r="H2509" s="38"/>
      <c r="J2509" s="31">
        <f t="shared" si="9"/>
        <v>0</v>
      </c>
    </row>
    <row r="2510">
      <c r="A2510" s="28">
        <v>42.0</v>
      </c>
      <c r="B2510" s="28">
        <v>33.0</v>
      </c>
      <c r="C2510" s="28">
        <v>53.4914228632221</v>
      </c>
      <c r="D2510" s="28">
        <v>9.99678058354459</v>
      </c>
      <c r="E2510" s="28" t="s">
        <v>15</v>
      </c>
      <c r="F2510" s="28" t="s">
        <v>168</v>
      </c>
      <c r="G2510" s="38"/>
      <c r="H2510" s="38"/>
      <c r="J2510" s="31">
        <f t="shared" si="9"/>
        <v>0</v>
      </c>
    </row>
    <row r="2511">
      <c r="A2511" s="28">
        <v>42.0</v>
      </c>
      <c r="B2511" s="28">
        <v>34.0</v>
      </c>
      <c r="C2511" s="28">
        <v>53.4914103360467</v>
      </c>
      <c r="D2511" s="28">
        <v>9.9970212510326</v>
      </c>
      <c r="E2511" s="28" t="s">
        <v>15</v>
      </c>
      <c r="F2511" s="28" t="s">
        <v>168</v>
      </c>
      <c r="G2511" s="38"/>
      <c r="H2511" s="38"/>
      <c r="J2511" s="31">
        <f t="shared" si="9"/>
        <v>0</v>
      </c>
    </row>
    <row r="2512">
      <c r="A2512" s="28">
        <v>42.0</v>
      </c>
      <c r="B2512" s="28">
        <v>35.0</v>
      </c>
      <c r="C2512" s="28">
        <v>53.4913978088713</v>
      </c>
      <c r="D2512" s="28">
        <v>9.99726191844945</v>
      </c>
      <c r="E2512" s="28" t="s">
        <v>15</v>
      </c>
      <c r="F2512" s="28" t="s">
        <v>168</v>
      </c>
      <c r="G2512" s="38"/>
      <c r="H2512" s="38"/>
      <c r="J2512" s="31">
        <f t="shared" si="9"/>
        <v>0</v>
      </c>
    </row>
    <row r="2513">
      <c r="A2513" s="28">
        <v>42.0</v>
      </c>
      <c r="B2513" s="28">
        <v>36.0</v>
      </c>
      <c r="C2513" s="28">
        <v>53.4913852816958</v>
      </c>
      <c r="D2513" s="28">
        <v>9.99750258579524</v>
      </c>
      <c r="E2513" s="28" t="s">
        <v>15</v>
      </c>
      <c r="F2513" s="28" t="s">
        <v>168</v>
      </c>
      <c r="G2513" s="38"/>
      <c r="H2513" s="38"/>
      <c r="J2513" s="31">
        <f t="shared" si="9"/>
        <v>0</v>
      </c>
    </row>
    <row r="2514">
      <c r="A2514" s="28">
        <v>42.0</v>
      </c>
      <c r="B2514" s="28">
        <v>37.0</v>
      </c>
      <c r="C2514" s="28">
        <v>53.4913727545204</v>
      </c>
      <c r="D2514" s="28">
        <v>9.99774325306998</v>
      </c>
      <c r="E2514" s="28" t="s">
        <v>15</v>
      </c>
      <c r="F2514" s="28" t="s">
        <v>168</v>
      </c>
      <c r="G2514" s="38"/>
      <c r="H2514" s="38"/>
      <c r="J2514" s="31">
        <f t="shared" si="9"/>
        <v>0</v>
      </c>
    </row>
    <row r="2515">
      <c r="A2515" s="28">
        <v>42.0</v>
      </c>
      <c r="B2515" s="28">
        <v>38.0</v>
      </c>
      <c r="C2515" s="28">
        <v>53.4913602273449</v>
      </c>
      <c r="D2515" s="28">
        <v>9.99798392027355</v>
      </c>
      <c r="E2515" s="28" t="s">
        <v>15</v>
      </c>
      <c r="F2515" s="28" t="s">
        <v>168</v>
      </c>
      <c r="G2515" s="38"/>
      <c r="H2515" s="38"/>
      <c r="J2515" s="31">
        <f t="shared" si="9"/>
        <v>0</v>
      </c>
    </row>
    <row r="2516">
      <c r="A2516" s="28">
        <v>42.0</v>
      </c>
      <c r="B2516" s="28">
        <v>39.0</v>
      </c>
      <c r="C2516" s="28">
        <v>53.4913477001695</v>
      </c>
      <c r="D2516" s="28">
        <v>9.99822458740607</v>
      </c>
      <c r="E2516" s="28" t="s">
        <v>15</v>
      </c>
      <c r="F2516" s="28" t="s">
        <v>168</v>
      </c>
      <c r="G2516" s="38"/>
      <c r="H2516" s="38"/>
      <c r="J2516" s="31">
        <f t="shared" si="9"/>
        <v>0</v>
      </c>
    </row>
    <row r="2517">
      <c r="A2517" s="28">
        <v>42.0</v>
      </c>
      <c r="B2517" s="28">
        <v>40.0</v>
      </c>
      <c r="C2517" s="28">
        <v>53.491335172994</v>
      </c>
      <c r="D2517" s="28">
        <v>9.99846525446753</v>
      </c>
      <c r="E2517" s="28" t="s">
        <v>15</v>
      </c>
      <c r="F2517" s="28" t="s">
        <v>168</v>
      </c>
      <c r="G2517" s="38"/>
      <c r="H2517" s="38"/>
      <c r="J2517" s="31">
        <f t="shared" si="9"/>
        <v>0</v>
      </c>
    </row>
    <row r="2518">
      <c r="A2518" s="28">
        <v>42.0</v>
      </c>
      <c r="B2518" s="28">
        <v>41.0</v>
      </c>
      <c r="C2518" s="28">
        <v>53.4913226458186</v>
      </c>
      <c r="D2518" s="28">
        <v>9.99870592145794</v>
      </c>
      <c r="E2518" s="28" t="s">
        <v>15</v>
      </c>
      <c r="F2518" s="28" t="s">
        <v>168</v>
      </c>
      <c r="G2518" s="38"/>
      <c r="H2518" s="38"/>
      <c r="J2518" s="31">
        <f t="shared" si="9"/>
        <v>0</v>
      </c>
    </row>
    <row r="2519">
      <c r="A2519" s="28">
        <v>42.0</v>
      </c>
      <c r="B2519" s="28">
        <v>42.0</v>
      </c>
      <c r="C2519" s="28">
        <v>53.4913101186432</v>
      </c>
      <c r="D2519" s="28">
        <v>9.99894658837718</v>
      </c>
      <c r="E2519" s="28" t="s">
        <v>15</v>
      </c>
      <c r="F2519" s="28" t="s">
        <v>168</v>
      </c>
      <c r="G2519" s="38"/>
      <c r="H2519" s="38"/>
      <c r="J2519" s="31">
        <f t="shared" si="9"/>
        <v>0</v>
      </c>
    </row>
    <row r="2520">
      <c r="A2520" s="28">
        <v>42.0</v>
      </c>
      <c r="B2520" s="28">
        <v>43.0</v>
      </c>
      <c r="C2520" s="28">
        <v>53.4912975914677</v>
      </c>
      <c r="D2520" s="28">
        <v>9.99918725522536</v>
      </c>
      <c r="E2520" s="28" t="s">
        <v>15</v>
      </c>
      <c r="F2520" s="28" t="s">
        <v>168</v>
      </c>
      <c r="G2520" s="38"/>
      <c r="H2520" s="38"/>
      <c r="J2520" s="31">
        <f t="shared" si="9"/>
        <v>0</v>
      </c>
    </row>
    <row r="2521">
      <c r="A2521" s="28">
        <v>42.0</v>
      </c>
      <c r="B2521" s="28">
        <v>44.0</v>
      </c>
      <c r="C2521" s="28">
        <v>53.4912850642923</v>
      </c>
      <c r="D2521" s="28">
        <v>9.99942792200249</v>
      </c>
      <c r="E2521" s="28" t="s">
        <v>15</v>
      </c>
      <c r="F2521" s="28" t="s">
        <v>168</v>
      </c>
      <c r="G2521" s="38"/>
      <c r="H2521" s="38"/>
      <c r="J2521" s="31">
        <f t="shared" si="9"/>
        <v>0</v>
      </c>
    </row>
    <row r="2522">
      <c r="A2522" s="28">
        <v>42.0</v>
      </c>
      <c r="B2522" s="28">
        <v>45.0</v>
      </c>
      <c r="C2522" s="28">
        <v>53.4912725371168</v>
      </c>
      <c r="D2522" s="28">
        <v>9.99966858870846</v>
      </c>
      <c r="E2522" s="28" t="s">
        <v>15</v>
      </c>
      <c r="F2522" s="28" t="s">
        <v>168</v>
      </c>
      <c r="G2522" s="38"/>
      <c r="H2522" s="38"/>
      <c r="J2522" s="31">
        <f t="shared" si="9"/>
        <v>0</v>
      </c>
    </row>
    <row r="2523">
      <c r="A2523" s="28">
        <v>42.0</v>
      </c>
      <c r="B2523" s="28">
        <v>46.0</v>
      </c>
      <c r="C2523" s="28">
        <v>53.4912600099414</v>
      </c>
      <c r="D2523" s="28">
        <v>9.99990925534336</v>
      </c>
      <c r="E2523" s="28" t="s">
        <v>15</v>
      </c>
      <c r="F2523" s="28" t="s">
        <v>168</v>
      </c>
      <c r="G2523" s="38"/>
      <c r="H2523" s="38"/>
      <c r="J2523" s="31">
        <f t="shared" si="9"/>
        <v>0</v>
      </c>
    </row>
    <row r="2524">
      <c r="A2524" s="28">
        <v>42.0</v>
      </c>
      <c r="B2524" s="28">
        <v>47.0</v>
      </c>
      <c r="C2524" s="28">
        <v>53.491247482766</v>
      </c>
      <c r="D2524" s="28">
        <v>10.0001499219072</v>
      </c>
      <c r="E2524" s="28" t="s">
        <v>15</v>
      </c>
      <c r="F2524" s="28" t="s">
        <v>168</v>
      </c>
      <c r="G2524" s="38"/>
      <c r="H2524" s="38"/>
      <c r="J2524" s="31">
        <f t="shared" si="9"/>
        <v>0</v>
      </c>
    </row>
    <row r="2525">
      <c r="A2525" s="28">
        <v>42.0</v>
      </c>
      <c r="B2525" s="28">
        <v>48.0</v>
      </c>
      <c r="C2525" s="28">
        <v>53.4912349555905</v>
      </c>
      <c r="D2525" s="28">
        <v>10.0003905884</v>
      </c>
      <c r="E2525" s="28" t="s">
        <v>15</v>
      </c>
      <c r="F2525" s="28" t="s">
        <v>168</v>
      </c>
      <c r="G2525" s="38"/>
      <c r="H2525" s="38"/>
      <c r="J2525" s="31">
        <f t="shared" si="9"/>
        <v>0</v>
      </c>
    </row>
    <row r="2526">
      <c r="A2526" s="28">
        <v>42.0</v>
      </c>
      <c r="B2526" s="28">
        <v>49.0</v>
      </c>
      <c r="C2526" s="28">
        <v>53.4912224284151</v>
      </c>
      <c r="D2526" s="28">
        <v>10.0006312548216</v>
      </c>
      <c r="E2526" s="28" t="s">
        <v>25</v>
      </c>
      <c r="F2526" s="28" t="s">
        <v>14</v>
      </c>
      <c r="G2526" s="38"/>
      <c r="H2526" s="38"/>
      <c r="J2526" s="31">
        <f t="shared" si="9"/>
        <v>0</v>
      </c>
    </row>
    <row r="2527">
      <c r="A2527" s="28">
        <v>42.0</v>
      </c>
      <c r="B2527" s="28">
        <v>50.0</v>
      </c>
      <c r="C2527" s="28">
        <v>53.4912099012396</v>
      </c>
      <c r="D2527" s="28">
        <v>10.0008719211722</v>
      </c>
      <c r="E2527" s="28" t="s">
        <v>25</v>
      </c>
      <c r="F2527" s="28" t="s">
        <v>14</v>
      </c>
      <c r="G2527" s="38"/>
      <c r="H2527" s="38"/>
      <c r="J2527" s="31">
        <f t="shared" si="9"/>
        <v>0</v>
      </c>
    </row>
    <row r="2528">
      <c r="A2528" s="28">
        <v>42.0</v>
      </c>
      <c r="B2528" s="28">
        <v>51.0</v>
      </c>
      <c r="C2528" s="28">
        <v>53.4911973740642</v>
      </c>
      <c r="D2528" s="28">
        <v>10.0011125874516</v>
      </c>
      <c r="E2528" s="28" t="s">
        <v>25</v>
      </c>
      <c r="F2528" s="28" t="s">
        <v>14</v>
      </c>
      <c r="G2528" s="38"/>
      <c r="H2528" s="38"/>
      <c r="J2528" s="31">
        <f t="shared" si="9"/>
        <v>0</v>
      </c>
    </row>
    <row r="2529">
      <c r="A2529" s="28">
        <v>42.0</v>
      </c>
      <c r="B2529" s="28">
        <v>52.0</v>
      </c>
      <c r="C2529" s="28">
        <v>53.4911848468887</v>
      </c>
      <c r="D2529" s="28">
        <v>10.00135325366</v>
      </c>
      <c r="E2529" s="28" t="s">
        <v>15</v>
      </c>
      <c r="F2529" s="28" t="s">
        <v>168</v>
      </c>
      <c r="G2529" s="38"/>
      <c r="H2529" s="38"/>
      <c r="J2529" s="31">
        <f t="shared" si="9"/>
        <v>0</v>
      </c>
    </row>
    <row r="2530">
      <c r="A2530" s="28">
        <v>42.0</v>
      </c>
      <c r="B2530" s="28">
        <v>53.0</v>
      </c>
      <c r="C2530" s="28">
        <v>53.4911723197133</v>
      </c>
      <c r="D2530" s="28">
        <v>10.0015939197973</v>
      </c>
      <c r="E2530" s="28" t="s">
        <v>15</v>
      </c>
      <c r="F2530" s="28" t="s">
        <v>168</v>
      </c>
      <c r="G2530" s="38"/>
      <c r="H2530" s="38"/>
      <c r="J2530" s="31">
        <f t="shared" si="9"/>
        <v>0</v>
      </c>
    </row>
    <row r="2531">
      <c r="A2531" s="28">
        <v>42.0</v>
      </c>
      <c r="B2531" s="28">
        <v>54.0</v>
      </c>
      <c r="C2531" s="28">
        <v>53.4911597925378</v>
      </c>
      <c r="D2531" s="28">
        <v>10.0018345858634</v>
      </c>
      <c r="E2531" s="28" t="s">
        <v>15</v>
      </c>
      <c r="F2531" s="28" t="s">
        <v>168</v>
      </c>
      <c r="G2531" s="38"/>
      <c r="H2531" s="38"/>
      <c r="J2531" s="31">
        <f t="shared" si="9"/>
        <v>0</v>
      </c>
    </row>
    <row r="2532">
      <c r="A2532" s="28">
        <v>42.0</v>
      </c>
      <c r="B2532" s="28">
        <v>55.0</v>
      </c>
      <c r="C2532" s="28">
        <v>53.4911472653624</v>
      </c>
      <c r="D2532" s="28">
        <v>10.0020752518585</v>
      </c>
      <c r="E2532" s="28" t="s">
        <v>15</v>
      </c>
      <c r="F2532" s="28" t="s">
        <v>168</v>
      </c>
      <c r="G2532" s="38"/>
      <c r="H2532" s="38"/>
      <c r="J2532" s="31">
        <f t="shared" si="9"/>
        <v>0</v>
      </c>
    </row>
    <row r="2533">
      <c r="A2533" s="28">
        <v>42.0</v>
      </c>
      <c r="B2533" s="28">
        <v>56.0</v>
      </c>
      <c r="C2533" s="28">
        <v>53.491134738187</v>
      </c>
      <c r="D2533" s="28">
        <v>10.0023159177825</v>
      </c>
      <c r="E2533" s="28" t="s">
        <v>15</v>
      </c>
      <c r="F2533" s="28" t="s">
        <v>168</v>
      </c>
      <c r="G2533" s="38"/>
      <c r="H2533" s="38"/>
      <c r="J2533" s="31">
        <f t="shared" si="9"/>
        <v>0</v>
      </c>
    </row>
    <row r="2534">
      <c r="A2534" s="28">
        <v>42.0</v>
      </c>
      <c r="B2534" s="28">
        <v>57.0</v>
      </c>
      <c r="C2534" s="28">
        <v>53.4911222110115</v>
      </c>
      <c r="D2534" s="28">
        <v>10.0025565836355</v>
      </c>
      <c r="E2534" s="28" t="s">
        <v>15</v>
      </c>
      <c r="F2534" s="28" t="s">
        <v>168</v>
      </c>
      <c r="G2534" s="38"/>
      <c r="H2534" s="38"/>
      <c r="J2534" s="31">
        <f t="shared" si="9"/>
        <v>0</v>
      </c>
    </row>
    <row r="2535">
      <c r="A2535" s="28">
        <v>42.0</v>
      </c>
      <c r="B2535" s="28">
        <v>58.0</v>
      </c>
      <c r="C2535" s="28">
        <v>53.4911096838361</v>
      </c>
      <c r="D2535" s="28">
        <v>10.0027972494174</v>
      </c>
      <c r="E2535" s="28" t="s">
        <v>15</v>
      </c>
      <c r="F2535" s="28" t="s">
        <v>168</v>
      </c>
      <c r="G2535" s="38"/>
      <c r="H2535" s="38"/>
      <c r="J2535" s="31">
        <f t="shared" si="9"/>
        <v>0</v>
      </c>
    </row>
    <row r="2536">
      <c r="A2536" s="28">
        <v>42.0</v>
      </c>
      <c r="B2536" s="28">
        <v>59.0</v>
      </c>
      <c r="C2536" s="28">
        <v>53.4910971566607</v>
      </c>
      <c r="D2536" s="28">
        <v>10.0030379151281</v>
      </c>
      <c r="E2536" s="28" t="s">
        <v>15</v>
      </c>
      <c r="F2536" s="28" t="s">
        <v>168</v>
      </c>
      <c r="G2536" s="29" t="s">
        <v>1005</v>
      </c>
      <c r="H2536" s="33" t="s">
        <v>1006</v>
      </c>
      <c r="J2536" s="31">
        <f t="shared" si="9"/>
        <v>6</v>
      </c>
    </row>
    <row r="2537">
      <c r="A2537" s="28">
        <v>42.0</v>
      </c>
      <c r="B2537" s="28">
        <v>60.0</v>
      </c>
      <c r="C2537" s="28">
        <v>53.4910846294852</v>
      </c>
      <c r="D2537" s="28">
        <v>10.0032785807678</v>
      </c>
      <c r="E2537" s="28" t="s">
        <v>25</v>
      </c>
      <c r="F2537" s="28" t="s">
        <v>14</v>
      </c>
      <c r="G2537" s="29" t="s">
        <v>164</v>
      </c>
      <c r="H2537" s="35" t="s">
        <v>1007</v>
      </c>
      <c r="J2537" s="31">
        <f t="shared" si="9"/>
        <v>133</v>
      </c>
    </row>
    <row r="2538">
      <c r="A2538" s="28">
        <v>43.0</v>
      </c>
      <c r="B2538" s="28">
        <v>1.0</v>
      </c>
      <c r="C2538" s="28">
        <v>53.4916805493268</v>
      </c>
      <c r="D2538" s="28">
        <v>9.98905813058263</v>
      </c>
      <c r="E2538" s="28" t="s">
        <v>25</v>
      </c>
      <c r="F2538" s="28" t="s">
        <v>14</v>
      </c>
      <c r="G2538" s="29" t="s">
        <v>27</v>
      </c>
      <c r="H2538" s="30" t="str">
        <f>HYPERLINK("https://www.munzee.com/m/DarkHaribo/12320", "DarkHaribo/12320")</f>
        <v>DarkHaribo/12320</v>
      </c>
      <c r="J2538" s="31">
        <f t="shared" si="9"/>
        <v>103</v>
      </c>
    </row>
    <row r="2539">
      <c r="A2539" s="28">
        <v>43.0</v>
      </c>
      <c r="B2539" s="28">
        <v>2.0</v>
      </c>
      <c r="C2539" s="28">
        <v>53.4916680221513</v>
      </c>
      <c r="D2539" s="28">
        <v>9.98929879953289</v>
      </c>
      <c r="E2539" s="28" t="s">
        <v>15</v>
      </c>
      <c r="F2539" s="28" t="s">
        <v>168</v>
      </c>
      <c r="G2539" s="38"/>
      <c r="H2539" s="38"/>
      <c r="J2539" s="31">
        <f t="shared" si="9"/>
        <v>0</v>
      </c>
    </row>
    <row r="2540">
      <c r="A2540" s="28">
        <v>43.0</v>
      </c>
      <c r="B2540" s="28">
        <v>3.0</v>
      </c>
      <c r="C2540" s="28">
        <v>53.4916554949759</v>
      </c>
      <c r="D2540" s="28">
        <v>9.98953946841209</v>
      </c>
      <c r="E2540" s="28" t="s">
        <v>15</v>
      </c>
      <c r="F2540" s="28" t="s">
        <v>168</v>
      </c>
      <c r="G2540" s="38"/>
      <c r="H2540" s="38"/>
      <c r="J2540" s="31">
        <f t="shared" si="9"/>
        <v>0</v>
      </c>
    </row>
    <row r="2541">
      <c r="A2541" s="28">
        <v>43.0</v>
      </c>
      <c r="B2541" s="28">
        <v>4.0</v>
      </c>
      <c r="C2541" s="28">
        <v>53.4916429678004</v>
      </c>
      <c r="D2541" s="28">
        <v>9.98978013722023</v>
      </c>
      <c r="E2541" s="28" t="s">
        <v>15</v>
      </c>
      <c r="F2541" s="28" t="s">
        <v>168</v>
      </c>
      <c r="G2541" s="38"/>
      <c r="H2541" s="38"/>
      <c r="J2541" s="31">
        <f t="shared" si="9"/>
        <v>0</v>
      </c>
    </row>
    <row r="2542">
      <c r="A2542" s="28">
        <v>43.0</v>
      </c>
      <c r="B2542" s="28">
        <v>5.0</v>
      </c>
      <c r="C2542" s="28">
        <v>53.491630440625</v>
      </c>
      <c r="D2542" s="28">
        <v>9.99002080595732</v>
      </c>
      <c r="E2542" s="28" t="s">
        <v>15</v>
      </c>
      <c r="F2542" s="28" t="s">
        <v>168</v>
      </c>
      <c r="G2542" s="38"/>
      <c r="H2542" s="38"/>
      <c r="J2542" s="31">
        <f t="shared" si="9"/>
        <v>0</v>
      </c>
    </row>
    <row r="2543">
      <c r="A2543" s="28">
        <v>43.0</v>
      </c>
      <c r="B2543" s="28">
        <v>6.0</v>
      </c>
      <c r="C2543" s="28">
        <v>53.4916179134495</v>
      </c>
      <c r="D2543" s="28">
        <v>9.99026147462325</v>
      </c>
      <c r="E2543" s="28" t="s">
        <v>15</v>
      </c>
      <c r="F2543" s="28" t="s">
        <v>168</v>
      </c>
      <c r="G2543" s="38"/>
      <c r="H2543" s="38"/>
      <c r="J2543" s="31">
        <f t="shared" si="9"/>
        <v>0</v>
      </c>
    </row>
    <row r="2544">
      <c r="A2544" s="28">
        <v>43.0</v>
      </c>
      <c r="B2544" s="28">
        <v>7.0</v>
      </c>
      <c r="C2544" s="28">
        <v>53.4916053862741</v>
      </c>
      <c r="D2544" s="28">
        <v>9.99050214321812</v>
      </c>
      <c r="E2544" s="28" t="s">
        <v>15</v>
      </c>
      <c r="F2544" s="28" t="s">
        <v>168</v>
      </c>
      <c r="G2544" s="38"/>
      <c r="H2544" s="38"/>
      <c r="J2544" s="31">
        <f t="shared" si="9"/>
        <v>0</v>
      </c>
    </row>
    <row r="2545">
      <c r="A2545" s="28">
        <v>43.0</v>
      </c>
      <c r="B2545" s="28">
        <v>8.0</v>
      </c>
      <c r="C2545" s="28">
        <v>53.4915928590987</v>
      </c>
      <c r="D2545" s="28">
        <v>9.99074281174193</v>
      </c>
      <c r="E2545" s="28" t="s">
        <v>15</v>
      </c>
      <c r="F2545" s="28" t="s">
        <v>168</v>
      </c>
      <c r="G2545" s="38"/>
      <c r="H2545" s="38"/>
      <c r="J2545" s="31">
        <f t="shared" si="9"/>
        <v>0</v>
      </c>
    </row>
    <row r="2546">
      <c r="A2546" s="28">
        <v>43.0</v>
      </c>
      <c r="B2546" s="28">
        <v>9.0</v>
      </c>
      <c r="C2546" s="28">
        <v>53.4915803319232</v>
      </c>
      <c r="D2546" s="28">
        <v>9.99098348019458</v>
      </c>
      <c r="E2546" s="28" t="s">
        <v>15</v>
      </c>
      <c r="F2546" s="28" t="s">
        <v>168</v>
      </c>
      <c r="G2546" s="38"/>
      <c r="H2546" s="38"/>
      <c r="J2546" s="31">
        <f t="shared" si="9"/>
        <v>0</v>
      </c>
    </row>
    <row r="2547">
      <c r="A2547" s="28">
        <v>43.0</v>
      </c>
      <c r="B2547" s="28">
        <v>10.0</v>
      </c>
      <c r="C2547" s="28">
        <v>53.4915678047478</v>
      </c>
      <c r="D2547" s="28">
        <v>9.99122414857618</v>
      </c>
      <c r="E2547" s="28" t="s">
        <v>15</v>
      </c>
      <c r="F2547" s="28" t="s">
        <v>168</v>
      </c>
      <c r="G2547" s="38"/>
      <c r="H2547" s="38"/>
      <c r="J2547" s="31">
        <f t="shared" si="9"/>
        <v>0</v>
      </c>
    </row>
    <row r="2548">
      <c r="A2548" s="28">
        <v>43.0</v>
      </c>
      <c r="B2548" s="28">
        <v>11.0</v>
      </c>
      <c r="C2548" s="28">
        <v>53.4915552775723</v>
      </c>
      <c r="D2548" s="28">
        <v>9.99146481688671</v>
      </c>
      <c r="E2548" s="28" t="s">
        <v>15</v>
      </c>
      <c r="F2548" s="28" t="s">
        <v>168</v>
      </c>
      <c r="G2548" s="38"/>
      <c r="H2548" s="38"/>
      <c r="J2548" s="31">
        <f t="shared" si="9"/>
        <v>0</v>
      </c>
    </row>
    <row r="2549">
      <c r="A2549" s="28">
        <v>43.0</v>
      </c>
      <c r="B2549" s="28">
        <v>12.0</v>
      </c>
      <c r="C2549" s="28">
        <v>53.4915427503969</v>
      </c>
      <c r="D2549" s="28">
        <v>9.99170548512609</v>
      </c>
      <c r="E2549" s="28" t="s">
        <v>15</v>
      </c>
      <c r="F2549" s="28" t="s">
        <v>168</v>
      </c>
      <c r="G2549" s="38"/>
      <c r="H2549" s="38"/>
      <c r="J2549" s="31">
        <f t="shared" si="9"/>
        <v>0</v>
      </c>
    </row>
    <row r="2550">
      <c r="A2550" s="28">
        <v>43.0</v>
      </c>
      <c r="B2550" s="28">
        <v>13.0</v>
      </c>
      <c r="C2550" s="28">
        <v>53.4915302232214</v>
      </c>
      <c r="D2550" s="28">
        <v>9.9919461532944</v>
      </c>
      <c r="E2550" s="28" t="s">
        <v>15</v>
      </c>
      <c r="F2550" s="28" t="s">
        <v>168</v>
      </c>
      <c r="G2550" s="38"/>
      <c r="H2550" s="38"/>
      <c r="J2550" s="31">
        <f t="shared" si="9"/>
        <v>0</v>
      </c>
    </row>
    <row r="2551">
      <c r="A2551" s="28">
        <v>43.0</v>
      </c>
      <c r="B2551" s="28">
        <v>14.0</v>
      </c>
      <c r="C2551" s="28">
        <v>53.491517696046</v>
      </c>
      <c r="D2551" s="28">
        <v>9.99218682139167</v>
      </c>
      <c r="E2551" s="28" t="s">
        <v>15</v>
      </c>
      <c r="F2551" s="28" t="s">
        <v>168</v>
      </c>
      <c r="G2551" s="38"/>
      <c r="H2551" s="38"/>
      <c r="J2551" s="31">
        <f t="shared" si="9"/>
        <v>0</v>
      </c>
    </row>
    <row r="2552">
      <c r="A2552" s="28">
        <v>43.0</v>
      </c>
      <c r="B2552" s="28">
        <v>15.0</v>
      </c>
      <c r="C2552" s="28">
        <v>53.4915051688706</v>
      </c>
      <c r="D2552" s="28">
        <v>9.99242748941776</v>
      </c>
      <c r="E2552" s="28" t="s">
        <v>15</v>
      </c>
      <c r="F2552" s="28" t="s">
        <v>168</v>
      </c>
      <c r="G2552" s="38"/>
      <c r="H2552" s="38"/>
      <c r="J2552" s="31">
        <f t="shared" si="9"/>
        <v>0</v>
      </c>
    </row>
    <row r="2553">
      <c r="A2553" s="28">
        <v>43.0</v>
      </c>
      <c r="B2553" s="28">
        <v>16.0</v>
      </c>
      <c r="C2553" s="28">
        <v>53.4914926416951</v>
      </c>
      <c r="D2553" s="28">
        <v>9.9926681573728</v>
      </c>
      <c r="E2553" s="28" t="s">
        <v>15</v>
      </c>
      <c r="F2553" s="28" t="s">
        <v>168</v>
      </c>
      <c r="G2553" s="38"/>
      <c r="H2553" s="38"/>
      <c r="J2553" s="31">
        <f t="shared" si="9"/>
        <v>0</v>
      </c>
    </row>
    <row r="2554">
      <c r="A2554" s="28">
        <v>43.0</v>
      </c>
      <c r="B2554" s="28">
        <v>17.0</v>
      </c>
      <c r="C2554" s="28">
        <v>53.4914801145197</v>
      </c>
      <c r="D2554" s="28">
        <v>9.99290882525679</v>
      </c>
      <c r="E2554" s="28" t="s">
        <v>15</v>
      </c>
      <c r="F2554" s="28" t="s">
        <v>168</v>
      </c>
      <c r="G2554" s="38"/>
      <c r="H2554" s="38"/>
      <c r="J2554" s="31">
        <f t="shared" si="9"/>
        <v>0</v>
      </c>
    </row>
    <row r="2555">
      <c r="A2555" s="28">
        <v>43.0</v>
      </c>
      <c r="B2555" s="28">
        <v>18.0</v>
      </c>
      <c r="C2555" s="28">
        <v>53.4914675873442</v>
      </c>
      <c r="D2555" s="28">
        <v>9.99314949306972</v>
      </c>
      <c r="E2555" s="28" t="s">
        <v>15</v>
      </c>
      <c r="F2555" s="28" t="s">
        <v>168</v>
      </c>
      <c r="G2555" s="38"/>
      <c r="H2555" s="38"/>
      <c r="J2555" s="31">
        <f t="shared" si="9"/>
        <v>0</v>
      </c>
    </row>
    <row r="2556">
      <c r="A2556" s="28">
        <v>43.0</v>
      </c>
      <c r="B2556" s="28">
        <v>19.0</v>
      </c>
      <c r="C2556" s="28">
        <v>53.4914550601688</v>
      </c>
      <c r="D2556" s="28">
        <v>9.99339016081148</v>
      </c>
      <c r="E2556" s="28" t="s">
        <v>15</v>
      </c>
      <c r="F2556" s="28" t="s">
        <v>168</v>
      </c>
      <c r="G2556" s="38"/>
      <c r="H2556" s="38"/>
      <c r="J2556" s="31">
        <f t="shared" si="9"/>
        <v>0</v>
      </c>
    </row>
    <row r="2557">
      <c r="A2557" s="28">
        <v>43.0</v>
      </c>
      <c r="B2557" s="28">
        <v>20.0</v>
      </c>
      <c r="C2557" s="28">
        <v>53.4914425329933</v>
      </c>
      <c r="D2557" s="28">
        <v>9.99363082848219</v>
      </c>
      <c r="E2557" s="28" t="s">
        <v>15</v>
      </c>
      <c r="F2557" s="28" t="s">
        <v>168</v>
      </c>
      <c r="G2557" s="38"/>
      <c r="H2557" s="38"/>
      <c r="J2557" s="31">
        <f t="shared" si="9"/>
        <v>0</v>
      </c>
    </row>
    <row r="2558">
      <c r="A2558" s="28">
        <v>43.0</v>
      </c>
      <c r="B2558" s="28">
        <v>21.0</v>
      </c>
      <c r="C2558" s="28">
        <v>53.4914300058179</v>
      </c>
      <c r="D2558" s="28">
        <v>9.99387149608173</v>
      </c>
      <c r="E2558" s="28" t="s">
        <v>15</v>
      </c>
      <c r="F2558" s="28" t="s">
        <v>168</v>
      </c>
      <c r="G2558" s="38"/>
      <c r="H2558" s="38"/>
      <c r="J2558" s="31">
        <f t="shared" si="9"/>
        <v>0</v>
      </c>
    </row>
    <row r="2559">
      <c r="A2559" s="28">
        <v>43.0</v>
      </c>
      <c r="B2559" s="28">
        <v>22.0</v>
      </c>
      <c r="C2559" s="28">
        <v>53.4914174786425</v>
      </c>
      <c r="D2559" s="28">
        <v>9.99411216361022</v>
      </c>
      <c r="E2559" s="28" t="s">
        <v>15</v>
      </c>
      <c r="F2559" s="28" t="s">
        <v>168</v>
      </c>
      <c r="G2559" s="38"/>
      <c r="H2559" s="38"/>
      <c r="J2559" s="31">
        <f t="shared" si="9"/>
        <v>0</v>
      </c>
    </row>
    <row r="2560">
      <c r="A2560" s="28">
        <v>43.0</v>
      </c>
      <c r="B2560" s="28">
        <v>23.0</v>
      </c>
      <c r="C2560" s="28">
        <v>53.491404951467</v>
      </c>
      <c r="D2560" s="28">
        <v>9.99435283106765</v>
      </c>
      <c r="E2560" s="28" t="s">
        <v>15</v>
      </c>
      <c r="F2560" s="28" t="s">
        <v>168</v>
      </c>
      <c r="G2560" s="38"/>
      <c r="H2560" s="38"/>
      <c r="J2560" s="31">
        <f t="shared" si="9"/>
        <v>0</v>
      </c>
    </row>
    <row r="2561">
      <c r="A2561" s="28">
        <v>43.0</v>
      </c>
      <c r="B2561" s="28">
        <v>24.0</v>
      </c>
      <c r="C2561" s="28">
        <v>53.4913924242916</v>
      </c>
      <c r="D2561" s="28">
        <v>9.99459349845392</v>
      </c>
      <c r="E2561" s="28" t="s">
        <v>15</v>
      </c>
      <c r="F2561" s="28" t="s">
        <v>168</v>
      </c>
      <c r="G2561" s="38"/>
      <c r="H2561" s="38"/>
      <c r="J2561" s="31">
        <f t="shared" si="9"/>
        <v>0</v>
      </c>
    </row>
    <row r="2562">
      <c r="A2562" s="28">
        <v>43.0</v>
      </c>
      <c r="B2562" s="28">
        <v>25.0</v>
      </c>
      <c r="C2562" s="28">
        <v>53.4913798971161</v>
      </c>
      <c r="D2562" s="28">
        <v>9.99483416576913</v>
      </c>
      <c r="E2562" s="28" t="s">
        <v>15</v>
      </c>
      <c r="F2562" s="28" t="s">
        <v>168</v>
      </c>
      <c r="G2562" s="38"/>
      <c r="H2562" s="38"/>
      <c r="J2562" s="31">
        <f t="shared" si="9"/>
        <v>0</v>
      </c>
    </row>
    <row r="2563">
      <c r="A2563" s="28">
        <v>43.0</v>
      </c>
      <c r="B2563" s="28">
        <v>26.0</v>
      </c>
      <c r="C2563" s="28">
        <v>53.4913673699407</v>
      </c>
      <c r="D2563" s="28">
        <v>9.99507483301329</v>
      </c>
      <c r="E2563" s="28" t="s">
        <v>15</v>
      </c>
      <c r="F2563" s="28" t="s">
        <v>168</v>
      </c>
      <c r="G2563" s="38"/>
      <c r="H2563" s="38"/>
      <c r="J2563" s="31">
        <f t="shared" si="9"/>
        <v>0</v>
      </c>
    </row>
    <row r="2564">
      <c r="A2564" s="28">
        <v>43.0</v>
      </c>
      <c r="B2564" s="28">
        <v>27.0</v>
      </c>
      <c r="C2564" s="28">
        <v>53.4913548427653</v>
      </c>
      <c r="D2564" s="28">
        <v>9.99531550018639</v>
      </c>
      <c r="E2564" s="28" t="s">
        <v>15</v>
      </c>
      <c r="F2564" s="28" t="s">
        <v>168</v>
      </c>
      <c r="G2564" s="38"/>
      <c r="H2564" s="38"/>
      <c r="J2564" s="31">
        <f t="shared" si="9"/>
        <v>0</v>
      </c>
    </row>
    <row r="2565">
      <c r="A2565" s="28">
        <v>43.0</v>
      </c>
      <c r="B2565" s="28">
        <v>28.0</v>
      </c>
      <c r="C2565" s="28">
        <v>53.4913423155898</v>
      </c>
      <c r="D2565" s="28">
        <v>9.99555616728832</v>
      </c>
      <c r="E2565" s="28" t="s">
        <v>15</v>
      </c>
      <c r="F2565" s="28" t="s">
        <v>168</v>
      </c>
      <c r="G2565" s="38"/>
      <c r="H2565" s="38"/>
      <c r="J2565" s="31">
        <f t="shared" si="9"/>
        <v>0</v>
      </c>
    </row>
    <row r="2566">
      <c r="A2566" s="28">
        <v>43.0</v>
      </c>
      <c r="B2566" s="28">
        <v>29.0</v>
      </c>
      <c r="C2566" s="28">
        <v>53.4913297884144</v>
      </c>
      <c r="D2566" s="28">
        <v>9.9957968343192</v>
      </c>
      <c r="E2566" s="28" t="s">
        <v>15</v>
      </c>
      <c r="F2566" s="28" t="s">
        <v>168</v>
      </c>
      <c r="G2566" s="38"/>
      <c r="H2566" s="38"/>
      <c r="J2566" s="31">
        <f t="shared" si="9"/>
        <v>0</v>
      </c>
    </row>
    <row r="2567">
      <c r="A2567" s="28">
        <v>43.0</v>
      </c>
      <c r="B2567" s="28">
        <v>30.0</v>
      </c>
      <c r="C2567" s="28">
        <v>53.4913172612389</v>
      </c>
      <c r="D2567" s="28">
        <v>9.99603750127903</v>
      </c>
      <c r="E2567" s="28" t="s">
        <v>15</v>
      </c>
      <c r="F2567" s="28" t="s">
        <v>168</v>
      </c>
      <c r="G2567" s="38"/>
      <c r="H2567" s="38"/>
      <c r="J2567" s="31">
        <f t="shared" si="9"/>
        <v>0</v>
      </c>
    </row>
    <row r="2568">
      <c r="A2568" s="28">
        <v>43.0</v>
      </c>
      <c r="B2568" s="28">
        <v>31.0</v>
      </c>
      <c r="C2568" s="28">
        <v>53.4913047340635</v>
      </c>
      <c r="D2568" s="28">
        <v>9.99627816816769</v>
      </c>
      <c r="E2568" s="28" t="s">
        <v>15</v>
      </c>
      <c r="F2568" s="28" t="s">
        <v>168</v>
      </c>
      <c r="G2568" s="38"/>
      <c r="H2568" s="38"/>
      <c r="J2568" s="31">
        <f t="shared" si="9"/>
        <v>0</v>
      </c>
    </row>
    <row r="2569">
      <c r="A2569" s="28">
        <v>43.0</v>
      </c>
      <c r="B2569" s="28">
        <v>32.0</v>
      </c>
      <c r="C2569" s="28">
        <v>53.491292206888</v>
      </c>
      <c r="D2569" s="28">
        <v>9.99651883498529</v>
      </c>
      <c r="E2569" s="28" t="s">
        <v>15</v>
      </c>
      <c r="F2569" s="28" t="s">
        <v>168</v>
      </c>
      <c r="G2569" s="38"/>
      <c r="H2569" s="38"/>
      <c r="J2569" s="31">
        <f t="shared" si="9"/>
        <v>0</v>
      </c>
    </row>
    <row r="2570">
      <c r="A2570" s="28">
        <v>43.0</v>
      </c>
      <c r="B2570" s="28">
        <v>33.0</v>
      </c>
      <c r="C2570" s="28">
        <v>53.4912796797126</v>
      </c>
      <c r="D2570" s="28">
        <v>9.99675950173184</v>
      </c>
      <c r="E2570" s="28" t="s">
        <v>15</v>
      </c>
      <c r="F2570" s="28" t="s">
        <v>168</v>
      </c>
      <c r="G2570" s="38"/>
      <c r="H2570" s="38"/>
      <c r="J2570" s="31">
        <f t="shared" si="9"/>
        <v>0</v>
      </c>
    </row>
    <row r="2571">
      <c r="A2571" s="28">
        <v>43.0</v>
      </c>
      <c r="B2571" s="28">
        <v>34.0</v>
      </c>
      <c r="C2571" s="28">
        <v>53.4912671525371</v>
      </c>
      <c r="D2571" s="28">
        <v>9.99700016840734</v>
      </c>
      <c r="E2571" s="28" t="s">
        <v>15</v>
      </c>
      <c r="F2571" s="28" t="s">
        <v>168</v>
      </c>
      <c r="G2571" s="38"/>
      <c r="H2571" s="38"/>
      <c r="J2571" s="31">
        <f t="shared" si="9"/>
        <v>0</v>
      </c>
    </row>
    <row r="2572">
      <c r="A2572" s="28">
        <v>43.0</v>
      </c>
      <c r="B2572" s="28">
        <v>35.0</v>
      </c>
      <c r="C2572" s="28">
        <v>53.4912546253617</v>
      </c>
      <c r="D2572" s="28">
        <v>9.99724083501166</v>
      </c>
      <c r="E2572" s="28" t="s">
        <v>15</v>
      </c>
      <c r="F2572" s="28" t="s">
        <v>168</v>
      </c>
      <c r="G2572" s="38"/>
      <c r="H2572" s="38"/>
      <c r="J2572" s="31">
        <f t="shared" si="9"/>
        <v>0</v>
      </c>
    </row>
    <row r="2573">
      <c r="A2573" s="28">
        <v>43.0</v>
      </c>
      <c r="B2573" s="28">
        <v>36.0</v>
      </c>
      <c r="C2573" s="28">
        <v>53.4912420981863</v>
      </c>
      <c r="D2573" s="28">
        <v>9.99748150154494</v>
      </c>
      <c r="E2573" s="28" t="s">
        <v>15</v>
      </c>
      <c r="F2573" s="28" t="s">
        <v>168</v>
      </c>
      <c r="G2573" s="38"/>
      <c r="H2573" s="38"/>
      <c r="J2573" s="31">
        <f t="shared" si="9"/>
        <v>0</v>
      </c>
    </row>
    <row r="2574">
      <c r="A2574" s="28">
        <v>43.0</v>
      </c>
      <c r="B2574" s="28">
        <v>37.0</v>
      </c>
      <c r="C2574" s="28">
        <v>53.4912295710108</v>
      </c>
      <c r="D2574" s="28">
        <v>9.99772216800715</v>
      </c>
      <c r="E2574" s="28" t="s">
        <v>15</v>
      </c>
      <c r="F2574" s="28" t="s">
        <v>168</v>
      </c>
      <c r="G2574" s="38"/>
      <c r="H2574" s="38"/>
      <c r="J2574" s="31">
        <f t="shared" si="9"/>
        <v>0</v>
      </c>
    </row>
    <row r="2575">
      <c r="A2575" s="28">
        <v>43.0</v>
      </c>
      <c r="B2575" s="28">
        <v>38.0</v>
      </c>
      <c r="C2575" s="28">
        <v>53.4912170438354</v>
      </c>
      <c r="D2575" s="28">
        <v>9.9979628343982</v>
      </c>
      <c r="E2575" s="28" t="s">
        <v>15</v>
      </c>
      <c r="F2575" s="28" t="s">
        <v>168</v>
      </c>
      <c r="G2575" s="38"/>
      <c r="H2575" s="38"/>
      <c r="J2575" s="31">
        <f t="shared" si="9"/>
        <v>0</v>
      </c>
    </row>
    <row r="2576">
      <c r="A2576" s="28">
        <v>43.0</v>
      </c>
      <c r="B2576" s="28">
        <v>39.0</v>
      </c>
      <c r="C2576" s="28">
        <v>53.4912045166599</v>
      </c>
      <c r="D2576" s="28">
        <v>9.9982035007182</v>
      </c>
      <c r="E2576" s="28" t="s">
        <v>15</v>
      </c>
      <c r="F2576" s="28" t="s">
        <v>168</v>
      </c>
      <c r="G2576" s="38"/>
      <c r="H2576" s="38"/>
      <c r="J2576" s="31">
        <f t="shared" si="9"/>
        <v>0</v>
      </c>
    </row>
    <row r="2577">
      <c r="A2577" s="28">
        <v>43.0</v>
      </c>
      <c r="B2577" s="28">
        <v>40.0</v>
      </c>
      <c r="C2577" s="28">
        <v>53.4911919894845</v>
      </c>
      <c r="D2577" s="28">
        <v>9.99844416696714</v>
      </c>
      <c r="E2577" s="28" t="s">
        <v>15</v>
      </c>
      <c r="F2577" s="28" t="s">
        <v>168</v>
      </c>
      <c r="G2577" s="38"/>
      <c r="H2577" s="38"/>
      <c r="J2577" s="31">
        <f t="shared" si="9"/>
        <v>0</v>
      </c>
    </row>
    <row r="2578">
      <c r="A2578" s="28">
        <v>43.0</v>
      </c>
      <c r="B2578" s="28">
        <v>41.0</v>
      </c>
      <c r="C2578" s="28">
        <v>53.4911794623091</v>
      </c>
      <c r="D2578" s="28">
        <v>9.99868483314503</v>
      </c>
      <c r="E2578" s="28" t="s">
        <v>15</v>
      </c>
      <c r="F2578" s="28" t="s">
        <v>168</v>
      </c>
      <c r="G2578" s="38"/>
      <c r="H2578" s="38"/>
      <c r="J2578" s="31">
        <f t="shared" si="9"/>
        <v>0</v>
      </c>
    </row>
    <row r="2579">
      <c r="A2579" s="28">
        <v>43.0</v>
      </c>
      <c r="B2579" s="28">
        <v>42.0</v>
      </c>
      <c r="C2579" s="28">
        <v>53.4911669351336</v>
      </c>
      <c r="D2579" s="28">
        <v>9.99892549925175</v>
      </c>
      <c r="E2579" s="28" t="s">
        <v>15</v>
      </c>
      <c r="F2579" s="28" t="s">
        <v>168</v>
      </c>
      <c r="G2579" s="38"/>
      <c r="H2579" s="38"/>
      <c r="J2579" s="31">
        <f t="shared" si="9"/>
        <v>0</v>
      </c>
    </row>
    <row r="2580">
      <c r="A2580" s="28">
        <v>43.0</v>
      </c>
      <c r="B2580" s="28">
        <v>43.0</v>
      </c>
      <c r="C2580" s="28">
        <v>53.4911544079582</v>
      </c>
      <c r="D2580" s="28">
        <v>9.99916616528742</v>
      </c>
      <c r="E2580" s="28" t="s">
        <v>15</v>
      </c>
      <c r="F2580" s="28" t="s">
        <v>168</v>
      </c>
      <c r="G2580" s="38"/>
      <c r="H2580" s="38"/>
      <c r="J2580" s="31">
        <f t="shared" si="9"/>
        <v>0</v>
      </c>
    </row>
    <row r="2581">
      <c r="A2581" s="28">
        <v>43.0</v>
      </c>
      <c r="B2581" s="28">
        <v>44.0</v>
      </c>
      <c r="C2581" s="28">
        <v>53.4911418807828</v>
      </c>
      <c r="D2581" s="28">
        <v>9.99940683125191</v>
      </c>
      <c r="E2581" s="28" t="s">
        <v>15</v>
      </c>
      <c r="F2581" s="28" t="s">
        <v>168</v>
      </c>
      <c r="G2581" s="38"/>
      <c r="H2581" s="38"/>
      <c r="J2581" s="31">
        <f t="shared" si="9"/>
        <v>0</v>
      </c>
    </row>
    <row r="2582">
      <c r="A2582" s="28">
        <v>43.0</v>
      </c>
      <c r="B2582" s="28">
        <v>45.0</v>
      </c>
      <c r="C2582" s="28">
        <v>53.4911293536073</v>
      </c>
      <c r="D2582" s="28">
        <v>9.99964749714536</v>
      </c>
      <c r="E2582" s="28" t="s">
        <v>15</v>
      </c>
      <c r="F2582" s="28" t="s">
        <v>168</v>
      </c>
      <c r="G2582" s="38"/>
      <c r="H2582" s="38"/>
      <c r="J2582" s="31">
        <f t="shared" si="9"/>
        <v>0</v>
      </c>
    </row>
    <row r="2583">
      <c r="A2583" s="28">
        <v>43.0</v>
      </c>
      <c r="B2583" s="28">
        <v>46.0</v>
      </c>
      <c r="C2583" s="28">
        <v>53.4911168264319</v>
      </c>
      <c r="D2583" s="28">
        <v>9.99988816296775</v>
      </c>
      <c r="E2583" s="28" t="s">
        <v>15</v>
      </c>
      <c r="F2583" s="28" t="s">
        <v>168</v>
      </c>
      <c r="G2583" s="38"/>
      <c r="H2583" s="38"/>
      <c r="J2583" s="31">
        <f t="shared" si="9"/>
        <v>0</v>
      </c>
    </row>
    <row r="2584">
      <c r="A2584" s="28">
        <v>43.0</v>
      </c>
      <c r="B2584" s="28">
        <v>47.0</v>
      </c>
      <c r="C2584" s="28">
        <v>53.4911042992564</v>
      </c>
      <c r="D2584" s="28">
        <v>10.000128828719</v>
      </c>
      <c r="E2584" s="28" t="s">
        <v>15</v>
      </c>
      <c r="F2584" s="28" t="s">
        <v>168</v>
      </c>
      <c r="G2584" s="38"/>
      <c r="H2584" s="38"/>
      <c r="J2584" s="31">
        <f t="shared" si="9"/>
        <v>0</v>
      </c>
    </row>
    <row r="2585">
      <c r="A2585" s="28">
        <v>43.0</v>
      </c>
      <c r="B2585" s="28">
        <v>48.0</v>
      </c>
      <c r="C2585" s="28">
        <v>53.491091772081</v>
      </c>
      <c r="D2585" s="28">
        <v>10.0003694943993</v>
      </c>
      <c r="E2585" s="28" t="s">
        <v>15</v>
      </c>
      <c r="F2585" s="28" t="s">
        <v>168</v>
      </c>
      <c r="G2585" s="38"/>
      <c r="H2585" s="38"/>
      <c r="J2585" s="31">
        <f t="shared" si="9"/>
        <v>0</v>
      </c>
    </row>
    <row r="2586">
      <c r="A2586" s="28">
        <v>43.0</v>
      </c>
      <c r="B2586" s="28">
        <v>49.0</v>
      </c>
      <c r="C2586" s="28">
        <v>53.4910792449056</v>
      </c>
      <c r="D2586" s="28">
        <v>10.0006101600084</v>
      </c>
      <c r="E2586" s="28" t="s">
        <v>15</v>
      </c>
      <c r="F2586" s="28" t="s">
        <v>168</v>
      </c>
      <c r="G2586" s="38"/>
      <c r="H2586" s="38"/>
      <c r="J2586" s="31">
        <f t="shared" si="9"/>
        <v>0</v>
      </c>
    </row>
    <row r="2587">
      <c r="A2587" s="28">
        <v>43.0</v>
      </c>
      <c r="B2587" s="28">
        <v>50.0</v>
      </c>
      <c r="C2587" s="28">
        <v>53.4910667177302</v>
      </c>
      <c r="D2587" s="28">
        <v>10.0008508255465</v>
      </c>
      <c r="E2587" s="28" t="s">
        <v>15</v>
      </c>
      <c r="F2587" s="28" t="s">
        <v>168</v>
      </c>
      <c r="G2587" s="38"/>
      <c r="H2587" s="38"/>
      <c r="J2587" s="31">
        <f t="shared" si="9"/>
        <v>0</v>
      </c>
    </row>
    <row r="2588">
      <c r="A2588" s="28">
        <v>43.0</v>
      </c>
      <c r="B2588" s="28">
        <v>51.0</v>
      </c>
      <c r="C2588" s="28">
        <v>53.4910541905547</v>
      </c>
      <c r="D2588" s="28">
        <v>10.0010914910135</v>
      </c>
      <c r="E2588" s="28" t="s">
        <v>15</v>
      </c>
      <c r="F2588" s="28" t="s">
        <v>168</v>
      </c>
      <c r="G2588" s="38"/>
      <c r="H2588" s="38"/>
      <c r="J2588" s="31">
        <f t="shared" si="9"/>
        <v>0</v>
      </c>
    </row>
    <row r="2589">
      <c r="A2589" s="28">
        <v>43.0</v>
      </c>
      <c r="B2589" s="28">
        <v>52.0</v>
      </c>
      <c r="C2589" s="28">
        <v>53.4910416633793</v>
      </c>
      <c r="D2589" s="28">
        <v>10.0013321564093</v>
      </c>
      <c r="E2589" s="28" t="s">
        <v>15</v>
      </c>
      <c r="F2589" s="28" t="s">
        <v>168</v>
      </c>
      <c r="G2589" s="38"/>
      <c r="H2589" s="38"/>
      <c r="J2589" s="31">
        <f t="shared" si="9"/>
        <v>0</v>
      </c>
    </row>
    <row r="2590">
      <c r="A2590" s="28">
        <v>43.0</v>
      </c>
      <c r="B2590" s="28">
        <v>53.0</v>
      </c>
      <c r="C2590" s="28">
        <v>53.4910291362039</v>
      </c>
      <c r="D2590" s="28">
        <v>10.0015728217341</v>
      </c>
      <c r="E2590" s="28" t="s">
        <v>15</v>
      </c>
      <c r="F2590" s="28" t="s">
        <v>168</v>
      </c>
      <c r="G2590" s="38"/>
      <c r="H2590" s="38"/>
      <c r="J2590" s="31">
        <f t="shared" si="9"/>
        <v>0</v>
      </c>
    </row>
    <row r="2591">
      <c r="A2591" s="28">
        <v>43.0</v>
      </c>
      <c r="B2591" s="28">
        <v>54.0</v>
      </c>
      <c r="C2591" s="28">
        <v>53.4910166090284</v>
      </c>
      <c r="D2591" s="28">
        <v>10.0018134869878</v>
      </c>
      <c r="E2591" s="28" t="s">
        <v>15</v>
      </c>
      <c r="F2591" s="28" t="s">
        <v>168</v>
      </c>
      <c r="G2591" s="38"/>
      <c r="H2591" s="38"/>
      <c r="J2591" s="31">
        <f t="shared" si="9"/>
        <v>0</v>
      </c>
    </row>
    <row r="2592">
      <c r="A2592" s="28">
        <v>43.0</v>
      </c>
      <c r="B2592" s="28">
        <v>55.0</v>
      </c>
      <c r="C2592" s="28">
        <v>53.491004081853</v>
      </c>
      <c r="D2592" s="28">
        <v>10.0020541521704</v>
      </c>
      <c r="E2592" s="28" t="s">
        <v>15</v>
      </c>
      <c r="F2592" s="28" t="s">
        <v>168</v>
      </c>
      <c r="G2592" s="38"/>
      <c r="H2592" s="38"/>
      <c r="J2592" s="31">
        <f t="shared" si="9"/>
        <v>0</v>
      </c>
    </row>
    <row r="2593">
      <c r="A2593" s="28">
        <v>43.0</v>
      </c>
      <c r="B2593" s="28">
        <v>56.0</v>
      </c>
      <c r="C2593" s="28">
        <v>53.4909915546776</v>
      </c>
      <c r="D2593" s="28">
        <v>10.0022948172819</v>
      </c>
      <c r="E2593" s="28" t="s">
        <v>15</v>
      </c>
      <c r="F2593" s="28" t="s">
        <v>168</v>
      </c>
      <c r="G2593" s="38"/>
      <c r="H2593" s="38"/>
      <c r="J2593" s="31">
        <f t="shared" si="9"/>
        <v>0</v>
      </c>
    </row>
    <row r="2594">
      <c r="A2594" s="28">
        <v>43.0</v>
      </c>
      <c r="B2594" s="28">
        <v>57.0</v>
      </c>
      <c r="C2594" s="28">
        <v>53.4909790275022</v>
      </c>
      <c r="D2594" s="28">
        <v>10.0025354823224</v>
      </c>
      <c r="E2594" s="28" t="s">
        <v>15</v>
      </c>
      <c r="F2594" s="28" t="s">
        <v>168</v>
      </c>
      <c r="G2594" s="38"/>
      <c r="H2594" s="38"/>
      <c r="J2594" s="31">
        <f t="shared" si="9"/>
        <v>0</v>
      </c>
    </row>
    <row r="2595">
      <c r="A2595" s="28">
        <v>43.0</v>
      </c>
      <c r="B2595" s="28">
        <v>58.0</v>
      </c>
      <c r="C2595" s="28">
        <v>53.4909665003267</v>
      </c>
      <c r="D2595" s="28">
        <v>10.0027761472917</v>
      </c>
      <c r="E2595" s="28" t="s">
        <v>15</v>
      </c>
      <c r="F2595" s="28" t="s">
        <v>168</v>
      </c>
      <c r="G2595" s="38"/>
      <c r="H2595" s="38"/>
      <c r="J2595" s="31">
        <f t="shared" si="9"/>
        <v>0</v>
      </c>
    </row>
    <row r="2596">
      <c r="A2596" s="28">
        <v>43.0</v>
      </c>
      <c r="B2596" s="28">
        <v>59.0</v>
      </c>
      <c r="C2596" s="28">
        <v>53.4909539731513</v>
      </c>
      <c r="D2596" s="28">
        <v>10.00301681219</v>
      </c>
      <c r="E2596" s="28" t="s">
        <v>15</v>
      </c>
      <c r="F2596" s="28" t="s">
        <v>168</v>
      </c>
      <c r="G2596" s="29" t="s">
        <v>1008</v>
      </c>
      <c r="H2596" s="35" t="str">
        <f>HYPERLINK("https://www.munzee.com/m/JaroslavKaas/11801/", "JaroslavKaas/11801")</f>
        <v>JaroslavKaas/11801</v>
      </c>
      <c r="J2596" s="31">
        <f t="shared" si="9"/>
        <v>1</v>
      </c>
    </row>
    <row r="2597">
      <c r="A2597" s="28">
        <v>43.0</v>
      </c>
      <c r="B2597" s="28">
        <v>60.0</v>
      </c>
      <c r="C2597" s="28">
        <v>53.4909414459759</v>
      </c>
      <c r="D2597" s="28">
        <v>10.0032574770172</v>
      </c>
      <c r="E2597" s="28" t="s">
        <v>25</v>
      </c>
      <c r="F2597" s="28" t="s">
        <v>14</v>
      </c>
      <c r="G2597" s="29" t="s">
        <v>27</v>
      </c>
      <c r="H2597" s="30" t="str">
        <f>HYPERLINK("https://www.munzee.com/m/DarkHaribo/12438", "DarkHaribo/12438")</f>
        <v>DarkHaribo/12438</v>
      </c>
      <c r="J2597" s="31">
        <f t="shared" si="9"/>
        <v>103</v>
      </c>
    </row>
    <row r="2598">
      <c r="A2598" s="28">
        <v>44.0</v>
      </c>
      <c r="B2598" s="28">
        <v>1.0</v>
      </c>
      <c r="C2598" s="28">
        <v>53.4915373658172</v>
      </c>
      <c r="D2598" s="28">
        <v>9.98903707484271</v>
      </c>
      <c r="E2598" s="28" t="s">
        <v>25</v>
      </c>
      <c r="F2598" s="28" t="s">
        <v>14</v>
      </c>
      <c r="G2598" s="29" t="s">
        <v>164</v>
      </c>
      <c r="H2598" s="35" t="s">
        <v>1009</v>
      </c>
      <c r="J2598" s="31">
        <f t="shared" si="9"/>
        <v>133</v>
      </c>
    </row>
    <row r="2599">
      <c r="A2599" s="28">
        <v>44.0</v>
      </c>
      <c r="B2599" s="28">
        <v>2.0</v>
      </c>
      <c r="C2599" s="28">
        <v>53.4915248386418</v>
      </c>
      <c r="D2599" s="28">
        <v>9.98927774298044</v>
      </c>
      <c r="E2599" s="28" t="s">
        <v>15</v>
      </c>
      <c r="F2599" s="28" t="s">
        <v>168</v>
      </c>
      <c r="G2599" s="38"/>
      <c r="H2599" s="38"/>
      <c r="J2599" s="31">
        <f t="shared" si="9"/>
        <v>0</v>
      </c>
    </row>
    <row r="2600">
      <c r="A2600" s="28">
        <v>44.0</v>
      </c>
      <c r="B2600" s="28">
        <v>3.0</v>
      </c>
      <c r="C2600" s="28">
        <v>53.4915123114663</v>
      </c>
      <c r="D2600" s="28">
        <v>9.98951841104713</v>
      </c>
      <c r="E2600" s="28" t="s">
        <v>15</v>
      </c>
      <c r="F2600" s="28" t="s">
        <v>168</v>
      </c>
      <c r="G2600" s="38"/>
      <c r="H2600" s="38"/>
      <c r="J2600" s="31">
        <f t="shared" si="9"/>
        <v>0</v>
      </c>
    </row>
    <row r="2601">
      <c r="A2601" s="28">
        <v>44.0</v>
      </c>
      <c r="B2601" s="28">
        <v>4.0</v>
      </c>
      <c r="C2601" s="28">
        <v>53.4914997842909</v>
      </c>
      <c r="D2601" s="28">
        <v>9.98975907904264</v>
      </c>
      <c r="E2601" s="28" t="s">
        <v>15</v>
      </c>
      <c r="F2601" s="28" t="s">
        <v>168</v>
      </c>
      <c r="G2601" s="38"/>
      <c r="H2601" s="38"/>
      <c r="J2601" s="31">
        <f t="shared" si="9"/>
        <v>0</v>
      </c>
    </row>
    <row r="2602">
      <c r="A2602" s="28">
        <v>44.0</v>
      </c>
      <c r="B2602" s="28">
        <v>5.0</v>
      </c>
      <c r="C2602" s="28">
        <v>53.4914872571154</v>
      </c>
      <c r="D2602" s="28">
        <v>9.9899997469671</v>
      </c>
      <c r="E2602" s="28" t="s">
        <v>15</v>
      </c>
      <c r="F2602" s="28" t="s">
        <v>168</v>
      </c>
      <c r="G2602" s="38"/>
      <c r="H2602" s="38"/>
      <c r="J2602" s="31">
        <f t="shared" si="9"/>
        <v>0</v>
      </c>
    </row>
    <row r="2603">
      <c r="A2603" s="28">
        <v>44.0</v>
      </c>
      <c r="B2603" s="28">
        <v>6.0</v>
      </c>
      <c r="C2603" s="28">
        <v>53.49147472994</v>
      </c>
      <c r="D2603" s="28">
        <v>9.9902404148205</v>
      </c>
      <c r="E2603" s="28" t="s">
        <v>15</v>
      </c>
      <c r="F2603" s="28" t="s">
        <v>168</v>
      </c>
      <c r="G2603" s="38"/>
      <c r="H2603" s="38"/>
      <c r="J2603" s="31">
        <f t="shared" si="9"/>
        <v>0</v>
      </c>
    </row>
    <row r="2604">
      <c r="A2604" s="28">
        <v>44.0</v>
      </c>
      <c r="B2604" s="28">
        <v>7.0</v>
      </c>
      <c r="C2604" s="28">
        <v>53.4914622027646</v>
      </c>
      <c r="D2604" s="28">
        <v>9.99048108260285</v>
      </c>
      <c r="E2604" s="28" t="s">
        <v>15</v>
      </c>
      <c r="F2604" s="28" t="s">
        <v>168</v>
      </c>
      <c r="G2604" s="38"/>
      <c r="H2604" s="38"/>
      <c r="J2604" s="31">
        <f t="shared" si="9"/>
        <v>0</v>
      </c>
    </row>
    <row r="2605">
      <c r="A2605" s="28">
        <v>44.0</v>
      </c>
      <c r="B2605" s="28">
        <v>8.0</v>
      </c>
      <c r="C2605" s="28">
        <v>53.4914496755891</v>
      </c>
      <c r="D2605" s="28">
        <v>9.99072175031403</v>
      </c>
      <c r="E2605" s="28" t="s">
        <v>15</v>
      </c>
      <c r="F2605" s="28" t="s">
        <v>168</v>
      </c>
      <c r="G2605" s="38"/>
      <c r="H2605" s="38"/>
      <c r="J2605" s="31">
        <f t="shared" si="9"/>
        <v>0</v>
      </c>
    </row>
    <row r="2606">
      <c r="A2606" s="28">
        <v>44.0</v>
      </c>
      <c r="B2606" s="28">
        <v>9.0</v>
      </c>
      <c r="C2606" s="28">
        <v>53.4914371484137</v>
      </c>
      <c r="D2606" s="28">
        <v>9.99096241795416</v>
      </c>
      <c r="E2606" s="28" t="s">
        <v>15</v>
      </c>
      <c r="F2606" s="28" t="s">
        <v>168</v>
      </c>
      <c r="G2606" s="38"/>
      <c r="H2606" s="38"/>
      <c r="J2606" s="31">
        <f t="shared" si="9"/>
        <v>0</v>
      </c>
    </row>
    <row r="2607">
      <c r="A2607" s="28">
        <v>44.0</v>
      </c>
      <c r="B2607" s="28">
        <v>10.0</v>
      </c>
      <c r="C2607" s="28">
        <v>53.4914246212382</v>
      </c>
      <c r="D2607" s="28">
        <v>9.99120308552323</v>
      </c>
      <c r="E2607" s="28" t="s">
        <v>15</v>
      </c>
      <c r="F2607" s="28" t="s">
        <v>168</v>
      </c>
      <c r="G2607" s="38"/>
      <c r="H2607" s="38"/>
      <c r="J2607" s="31">
        <f t="shared" si="9"/>
        <v>0</v>
      </c>
    </row>
    <row r="2608">
      <c r="A2608" s="28">
        <v>44.0</v>
      </c>
      <c r="B2608" s="28">
        <v>11.0</v>
      </c>
      <c r="C2608" s="28">
        <v>53.4914120940628</v>
      </c>
      <c r="D2608" s="28">
        <v>9.99144375302125</v>
      </c>
      <c r="E2608" s="28" t="s">
        <v>15</v>
      </c>
      <c r="F2608" s="28" t="s">
        <v>168</v>
      </c>
      <c r="G2608" s="38"/>
      <c r="H2608" s="38"/>
      <c r="J2608" s="31">
        <f t="shared" si="9"/>
        <v>0</v>
      </c>
    </row>
    <row r="2609">
      <c r="A2609" s="28">
        <v>44.0</v>
      </c>
      <c r="B2609" s="28">
        <v>12.0</v>
      </c>
      <c r="C2609" s="28">
        <v>53.4913995668873</v>
      </c>
      <c r="D2609" s="28">
        <v>9.99168442044811</v>
      </c>
      <c r="E2609" s="28" t="s">
        <v>15</v>
      </c>
      <c r="F2609" s="28" t="s">
        <v>168</v>
      </c>
      <c r="G2609" s="38"/>
      <c r="H2609" s="38"/>
      <c r="J2609" s="31">
        <f t="shared" si="9"/>
        <v>0</v>
      </c>
    </row>
    <row r="2610">
      <c r="A2610" s="28">
        <v>44.0</v>
      </c>
      <c r="B2610" s="28">
        <v>13.0</v>
      </c>
      <c r="C2610" s="28">
        <v>53.4913870397119</v>
      </c>
      <c r="D2610" s="28">
        <v>9.9919250878039</v>
      </c>
      <c r="E2610" s="28" t="s">
        <v>15</v>
      </c>
      <c r="F2610" s="28" t="s">
        <v>168</v>
      </c>
      <c r="G2610" s="38"/>
      <c r="H2610" s="38"/>
      <c r="J2610" s="31">
        <f t="shared" si="9"/>
        <v>0</v>
      </c>
    </row>
    <row r="2611">
      <c r="A2611" s="28">
        <v>44.0</v>
      </c>
      <c r="B2611" s="28">
        <v>14.0</v>
      </c>
      <c r="C2611" s="28">
        <v>53.4913745125365</v>
      </c>
      <c r="D2611" s="28">
        <v>9.99216575508853</v>
      </c>
      <c r="E2611" s="28" t="s">
        <v>15</v>
      </c>
      <c r="F2611" s="28" t="s">
        <v>168</v>
      </c>
      <c r="G2611" s="38"/>
      <c r="H2611" s="38"/>
      <c r="J2611" s="31">
        <f t="shared" si="9"/>
        <v>0</v>
      </c>
    </row>
    <row r="2612">
      <c r="A2612" s="28">
        <v>44.0</v>
      </c>
      <c r="B2612" s="28">
        <v>15.0</v>
      </c>
      <c r="C2612" s="28">
        <v>53.491361985361</v>
      </c>
      <c r="D2612" s="28">
        <v>9.99240642230211</v>
      </c>
      <c r="E2612" s="28" t="s">
        <v>15</v>
      </c>
      <c r="F2612" s="28" t="s">
        <v>168</v>
      </c>
      <c r="G2612" s="38"/>
      <c r="H2612" s="38"/>
      <c r="J2612" s="31">
        <f t="shared" si="9"/>
        <v>0</v>
      </c>
    </row>
    <row r="2613">
      <c r="A2613" s="28">
        <v>44.0</v>
      </c>
      <c r="B2613" s="28">
        <v>16.0</v>
      </c>
      <c r="C2613" s="28">
        <v>53.4913494581856</v>
      </c>
      <c r="D2613" s="28">
        <v>9.99264708944463</v>
      </c>
      <c r="E2613" s="28" t="s">
        <v>15</v>
      </c>
      <c r="F2613" s="28" t="s">
        <v>168</v>
      </c>
      <c r="G2613" s="38"/>
      <c r="H2613" s="38"/>
      <c r="J2613" s="31">
        <f t="shared" si="9"/>
        <v>0</v>
      </c>
    </row>
    <row r="2614">
      <c r="A2614" s="28">
        <v>44.0</v>
      </c>
      <c r="B2614" s="28">
        <v>17.0</v>
      </c>
      <c r="C2614" s="28">
        <v>53.4913369310101</v>
      </c>
      <c r="D2614" s="28">
        <v>9.99288775651598</v>
      </c>
      <c r="E2614" s="28" t="s">
        <v>15</v>
      </c>
      <c r="F2614" s="28" t="s">
        <v>168</v>
      </c>
      <c r="G2614" s="38"/>
      <c r="H2614" s="38"/>
      <c r="J2614" s="31">
        <f t="shared" si="9"/>
        <v>0</v>
      </c>
    </row>
    <row r="2615">
      <c r="A2615" s="28">
        <v>44.0</v>
      </c>
      <c r="B2615" s="28">
        <v>18.0</v>
      </c>
      <c r="C2615" s="28">
        <v>53.4913244038347</v>
      </c>
      <c r="D2615" s="28">
        <v>9.99312842351628</v>
      </c>
      <c r="E2615" s="28" t="s">
        <v>15</v>
      </c>
      <c r="F2615" s="28" t="s">
        <v>168</v>
      </c>
      <c r="G2615" s="38"/>
      <c r="H2615" s="38"/>
      <c r="J2615" s="31">
        <f t="shared" si="9"/>
        <v>0</v>
      </c>
    </row>
    <row r="2616">
      <c r="A2616" s="28">
        <v>44.0</v>
      </c>
      <c r="B2616" s="28">
        <v>19.0</v>
      </c>
      <c r="C2616" s="28">
        <v>53.4913118766593</v>
      </c>
      <c r="D2616" s="28">
        <v>9.99336909044552</v>
      </c>
      <c r="E2616" s="28" t="s">
        <v>15</v>
      </c>
      <c r="F2616" s="28" t="s">
        <v>168</v>
      </c>
      <c r="G2616" s="38"/>
      <c r="H2616" s="38"/>
      <c r="J2616" s="31">
        <f t="shared" si="9"/>
        <v>0</v>
      </c>
    </row>
    <row r="2617">
      <c r="A2617" s="28">
        <v>44.0</v>
      </c>
      <c r="B2617" s="28">
        <v>20.0</v>
      </c>
      <c r="C2617" s="28">
        <v>53.4912993494838</v>
      </c>
      <c r="D2617" s="28">
        <v>9.99360975730371</v>
      </c>
      <c r="E2617" s="28" t="s">
        <v>15</v>
      </c>
      <c r="F2617" s="28" t="s">
        <v>168</v>
      </c>
      <c r="G2617" s="38"/>
      <c r="H2617" s="38"/>
      <c r="J2617" s="31">
        <f t="shared" si="9"/>
        <v>0</v>
      </c>
    </row>
    <row r="2618">
      <c r="A2618" s="28">
        <v>44.0</v>
      </c>
      <c r="B2618" s="28">
        <v>21.0</v>
      </c>
      <c r="C2618" s="28">
        <v>53.4912868223084</v>
      </c>
      <c r="D2618" s="28">
        <v>9.99385042409073</v>
      </c>
      <c r="E2618" s="28" t="s">
        <v>15</v>
      </c>
      <c r="F2618" s="28" t="s">
        <v>168</v>
      </c>
      <c r="G2618" s="38"/>
      <c r="H2618" s="38"/>
      <c r="J2618" s="31">
        <f t="shared" si="9"/>
        <v>0</v>
      </c>
    </row>
    <row r="2619">
      <c r="A2619" s="28">
        <v>44.0</v>
      </c>
      <c r="B2619" s="28">
        <v>22.0</v>
      </c>
      <c r="C2619" s="28">
        <v>53.4912742951329</v>
      </c>
      <c r="D2619" s="28">
        <v>9.9940910908067</v>
      </c>
      <c r="E2619" s="28" t="s">
        <v>15</v>
      </c>
      <c r="F2619" s="28" t="s">
        <v>168</v>
      </c>
      <c r="G2619" s="38"/>
      <c r="H2619" s="38"/>
      <c r="J2619" s="31">
        <f t="shared" si="9"/>
        <v>0</v>
      </c>
    </row>
    <row r="2620">
      <c r="A2620" s="28">
        <v>44.0</v>
      </c>
      <c r="B2620" s="28">
        <v>23.0</v>
      </c>
      <c r="C2620" s="28">
        <v>53.4912617679575</v>
      </c>
      <c r="D2620" s="28">
        <v>9.99433175745161</v>
      </c>
      <c r="E2620" s="28" t="s">
        <v>15</v>
      </c>
      <c r="F2620" s="28" t="s">
        <v>168</v>
      </c>
      <c r="G2620" s="38"/>
      <c r="H2620" s="38"/>
      <c r="J2620" s="31">
        <f t="shared" si="9"/>
        <v>0</v>
      </c>
    </row>
    <row r="2621">
      <c r="A2621" s="28">
        <v>44.0</v>
      </c>
      <c r="B2621" s="28">
        <v>24.0</v>
      </c>
      <c r="C2621" s="28">
        <v>53.4912492407821</v>
      </c>
      <c r="D2621" s="28">
        <v>9.99457242402536</v>
      </c>
      <c r="E2621" s="28" t="s">
        <v>15</v>
      </c>
      <c r="F2621" s="28" t="s">
        <v>168</v>
      </c>
      <c r="G2621" s="38"/>
      <c r="H2621" s="38"/>
      <c r="J2621" s="31">
        <f t="shared" si="9"/>
        <v>0</v>
      </c>
    </row>
    <row r="2622">
      <c r="A2622" s="28">
        <v>44.0</v>
      </c>
      <c r="B2622" s="28">
        <v>25.0</v>
      </c>
      <c r="C2622" s="28">
        <v>53.4912367136066</v>
      </c>
      <c r="D2622" s="28">
        <v>9.99481309052805</v>
      </c>
      <c r="E2622" s="28" t="s">
        <v>15</v>
      </c>
      <c r="F2622" s="28" t="s">
        <v>168</v>
      </c>
      <c r="G2622" s="38"/>
      <c r="H2622" s="38"/>
      <c r="J2622" s="31">
        <f t="shared" si="9"/>
        <v>0</v>
      </c>
    </row>
    <row r="2623">
      <c r="A2623" s="28">
        <v>44.0</v>
      </c>
      <c r="B2623" s="28">
        <v>26.0</v>
      </c>
      <c r="C2623" s="28">
        <v>53.4912241864312</v>
      </c>
      <c r="D2623" s="28">
        <v>9.99505375695969</v>
      </c>
      <c r="E2623" s="28" t="s">
        <v>15</v>
      </c>
      <c r="F2623" s="28" t="s">
        <v>168</v>
      </c>
      <c r="G2623" s="38"/>
      <c r="H2623" s="38"/>
      <c r="J2623" s="31">
        <f t="shared" si="9"/>
        <v>0</v>
      </c>
    </row>
    <row r="2624">
      <c r="A2624" s="28">
        <v>44.0</v>
      </c>
      <c r="B2624" s="28">
        <v>27.0</v>
      </c>
      <c r="C2624" s="28">
        <v>53.4912116592557</v>
      </c>
      <c r="D2624" s="28">
        <v>9.99529442332027</v>
      </c>
      <c r="E2624" s="28" t="s">
        <v>15</v>
      </c>
      <c r="F2624" s="28" t="s">
        <v>168</v>
      </c>
      <c r="G2624" s="38"/>
      <c r="H2624" s="38"/>
      <c r="J2624" s="31">
        <f t="shared" si="9"/>
        <v>0</v>
      </c>
    </row>
    <row r="2625">
      <c r="A2625" s="28">
        <v>44.0</v>
      </c>
      <c r="B2625" s="28">
        <v>28.0</v>
      </c>
      <c r="C2625" s="28">
        <v>53.4911991320803</v>
      </c>
      <c r="D2625" s="28">
        <v>9.99553508960968</v>
      </c>
      <c r="E2625" s="28" t="s">
        <v>15</v>
      </c>
      <c r="F2625" s="28" t="s">
        <v>168</v>
      </c>
      <c r="G2625" s="38"/>
      <c r="H2625" s="38"/>
      <c r="J2625" s="31">
        <f t="shared" si="9"/>
        <v>0</v>
      </c>
    </row>
    <row r="2626">
      <c r="A2626" s="28">
        <v>44.0</v>
      </c>
      <c r="B2626" s="28">
        <v>29.0</v>
      </c>
      <c r="C2626" s="28">
        <v>53.4911866049049</v>
      </c>
      <c r="D2626" s="28">
        <v>9.99577575582805</v>
      </c>
      <c r="E2626" s="28" t="s">
        <v>15</v>
      </c>
      <c r="F2626" s="28" t="s">
        <v>168</v>
      </c>
      <c r="G2626" s="38"/>
      <c r="H2626" s="38"/>
      <c r="J2626" s="31">
        <f t="shared" si="9"/>
        <v>0</v>
      </c>
    </row>
    <row r="2627">
      <c r="A2627" s="28">
        <v>44.0</v>
      </c>
      <c r="B2627" s="28">
        <v>30.0</v>
      </c>
      <c r="C2627" s="28">
        <v>53.4911740777294</v>
      </c>
      <c r="D2627" s="28">
        <v>9.99601642197535</v>
      </c>
      <c r="E2627" s="28" t="s">
        <v>15</v>
      </c>
      <c r="F2627" s="28" t="s">
        <v>168</v>
      </c>
      <c r="G2627" s="38"/>
      <c r="H2627" s="38"/>
      <c r="J2627" s="31">
        <f t="shared" si="9"/>
        <v>0</v>
      </c>
    </row>
    <row r="2628">
      <c r="A2628" s="28">
        <v>44.0</v>
      </c>
      <c r="B2628" s="28">
        <v>31.0</v>
      </c>
      <c r="C2628" s="28">
        <v>53.491161550554</v>
      </c>
      <c r="D2628" s="28">
        <v>9.9962570880516</v>
      </c>
      <c r="E2628" s="28" t="s">
        <v>15</v>
      </c>
      <c r="F2628" s="28" t="s">
        <v>168</v>
      </c>
      <c r="G2628" s="38"/>
      <c r="H2628" s="38"/>
      <c r="J2628" s="31">
        <f t="shared" si="9"/>
        <v>0</v>
      </c>
    </row>
    <row r="2629">
      <c r="A2629" s="28">
        <v>44.0</v>
      </c>
      <c r="B2629" s="28">
        <v>32.0</v>
      </c>
      <c r="C2629" s="28">
        <v>53.4911490233785</v>
      </c>
      <c r="D2629" s="28">
        <v>9.99649775405669</v>
      </c>
      <c r="E2629" s="28" t="s">
        <v>15</v>
      </c>
      <c r="F2629" s="28" t="s">
        <v>168</v>
      </c>
      <c r="G2629" s="38"/>
      <c r="H2629" s="38"/>
      <c r="J2629" s="31">
        <f t="shared" si="9"/>
        <v>0</v>
      </c>
    </row>
    <row r="2630">
      <c r="A2630" s="28">
        <v>44.0</v>
      </c>
      <c r="B2630" s="28">
        <v>33.0</v>
      </c>
      <c r="C2630" s="28">
        <v>53.4911364962031</v>
      </c>
      <c r="D2630" s="28">
        <v>9.99673841999072</v>
      </c>
      <c r="E2630" s="28" t="s">
        <v>15</v>
      </c>
      <c r="F2630" s="28" t="s">
        <v>168</v>
      </c>
      <c r="G2630" s="38"/>
      <c r="H2630" s="38"/>
      <c r="J2630" s="31">
        <f t="shared" si="9"/>
        <v>0</v>
      </c>
    </row>
    <row r="2631">
      <c r="A2631" s="28">
        <v>44.0</v>
      </c>
      <c r="B2631" s="28">
        <v>34.0</v>
      </c>
      <c r="C2631" s="28">
        <v>53.4911239690277</v>
      </c>
      <c r="D2631" s="28">
        <v>9.99697908585358</v>
      </c>
      <c r="E2631" s="28" t="s">
        <v>15</v>
      </c>
      <c r="F2631" s="28" t="s">
        <v>168</v>
      </c>
      <c r="G2631" s="38"/>
      <c r="H2631" s="38"/>
      <c r="J2631" s="31">
        <f t="shared" si="9"/>
        <v>0</v>
      </c>
    </row>
    <row r="2632">
      <c r="A2632" s="28">
        <v>44.0</v>
      </c>
      <c r="B2632" s="28">
        <v>35.0</v>
      </c>
      <c r="C2632" s="28">
        <v>53.4911114418522</v>
      </c>
      <c r="D2632" s="28">
        <v>9.99721975164538</v>
      </c>
      <c r="E2632" s="28" t="s">
        <v>15</v>
      </c>
      <c r="F2632" s="28" t="s">
        <v>168</v>
      </c>
      <c r="G2632" s="38"/>
      <c r="H2632" s="38"/>
      <c r="J2632" s="31">
        <f t="shared" si="9"/>
        <v>0</v>
      </c>
    </row>
    <row r="2633">
      <c r="A2633" s="28">
        <v>44.0</v>
      </c>
      <c r="B2633" s="28">
        <v>36.0</v>
      </c>
      <c r="C2633" s="28">
        <v>53.4910989146768</v>
      </c>
      <c r="D2633" s="28">
        <v>9.99746041736614</v>
      </c>
      <c r="E2633" s="28" t="s">
        <v>15</v>
      </c>
      <c r="F2633" s="28" t="s">
        <v>168</v>
      </c>
      <c r="G2633" s="38"/>
      <c r="H2633" s="38"/>
      <c r="J2633" s="31">
        <f t="shared" si="9"/>
        <v>0</v>
      </c>
    </row>
    <row r="2634">
      <c r="A2634" s="28">
        <v>44.0</v>
      </c>
      <c r="B2634" s="28">
        <v>37.0</v>
      </c>
      <c r="C2634" s="28">
        <v>53.4910863875014</v>
      </c>
      <c r="D2634" s="28">
        <v>9.99770108301572</v>
      </c>
      <c r="E2634" s="28" t="s">
        <v>15</v>
      </c>
      <c r="F2634" s="28" t="s">
        <v>168</v>
      </c>
      <c r="G2634" s="38"/>
      <c r="H2634" s="38"/>
      <c r="J2634" s="31">
        <f t="shared" si="9"/>
        <v>0</v>
      </c>
    </row>
    <row r="2635">
      <c r="A2635" s="28">
        <v>44.0</v>
      </c>
      <c r="B2635" s="28">
        <v>38.0</v>
      </c>
      <c r="C2635" s="28">
        <v>53.4910738603259</v>
      </c>
      <c r="D2635" s="28">
        <v>9.99794174859425</v>
      </c>
      <c r="E2635" s="28" t="s">
        <v>15</v>
      </c>
      <c r="F2635" s="28" t="s">
        <v>168</v>
      </c>
      <c r="G2635" s="38"/>
      <c r="H2635" s="38"/>
      <c r="J2635" s="31">
        <f t="shared" si="9"/>
        <v>0</v>
      </c>
    </row>
    <row r="2636">
      <c r="A2636" s="28">
        <v>44.0</v>
      </c>
      <c r="B2636" s="28">
        <v>39.0</v>
      </c>
      <c r="C2636" s="28">
        <v>53.4910613331505</v>
      </c>
      <c r="D2636" s="28">
        <v>9.99818241410173</v>
      </c>
      <c r="E2636" s="28" t="s">
        <v>15</v>
      </c>
      <c r="F2636" s="28" t="s">
        <v>168</v>
      </c>
      <c r="G2636" s="38"/>
      <c r="H2636" s="38"/>
      <c r="J2636" s="31">
        <f t="shared" si="9"/>
        <v>0</v>
      </c>
    </row>
    <row r="2637">
      <c r="A2637" s="28">
        <v>44.0</v>
      </c>
      <c r="B2637" s="28">
        <v>40.0</v>
      </c>
      <c r="C2637" s="28">
        <v>53.4910488059751</v>
      </c>
      <c r="D2637" s="28">
        <v>9.99842307953815</v>
      </c>
      <c r="E2637" s="28" t="s">
        <v>15</v>
      </c>
      <c r="F2637" s="28" t="s">
        <v>168</v>
      </c>
      <c r="G2637" s="38"/>
      <c r="H2637" s="38"/>
      <c r="J2637" s="31">
        <f t="shared" si="9"/>
        <v>0</v>
      </c>
    </row>
    <row r="2638">
      <c r="A2638" s="28">
        <v>44.0</v>
      </c>
      <c r="B2638" s="28">
        <v>41.0</v>
      </c>
      <c r="C2638" s="28">
        <v>53.4910362787996</v>
      </c>
      <c r="D2638" s="28">
        <v>9.99866374490352</v>
      </c>
      <c r="E2638" s="28" t="s">
        <v>15</v>
      </c>
      <c r="F2638" s="28" t="s">
        <v>168</v>
      </c>
      <c r="G2638" s="38"/>
      <c r="H2638" s="38"/>
      <c r="J2638" s="31">
        <f t="shared" si="9"/>
        <v>0</v>
      </c>
    </row>
    <row r="2639">
      <c r="A2639" s="28">
        <v>44.0</v>
      </c>
      <c r="B2639" s="28">
        <v>42.0</v>
      </c>
      <c r="C2639" s="28">
        <v>53.4910237516242</v>
      </c>
      <c r="D2639" s="28">
        <v>9.99890441019772</v>
      </c>
      <c r="E2639" s="28" t="s">
        <v>15</v>
      </c>
      <c r="F2639" s="28" t="s">
        <v>168</v>
      </c>
      <c r="G2639" s="38"/>
      <c r="H2639" s="38"/>
      <c r="J2639" s="31">
        <f t="shared" si="9"/>
        <v>0</v>
      </c>
    </row>
    <row r="2640">
      <c r="A2640" s="28">
        <v>44.0</v>
      </c>
      <c r="B2640" s="28">
        <v>43.0</v>
      </c>
      <c r="C2640" s="28">
        <v>53.4910112244488</v>
      </c>
      <c r="D2640" s="28">
        <v>9.99914507542087</v>
      </c>
      <c r="E2640" s="28" t="s">
        <v>15</v>
      </c>
      <c r="F2640" s="28" t="s">
        <v>168</v>
      </c>
      <c r="G2640" s="38"/>
      <c r="H2640" s="38"/>
      <c r="J2640" s="31">
        <f t="shared" si="9"/>
        <v>0</v>
      </c>
    </row>
    <row r="2641">
      <c r="A2641" s="28">
        <v>44.0</v>
      </c>
      <c r="B2641" s="28">
        <v>44.0</v>
      </c>
      <c r="C2641" s="28">
        <v>53.4909986972734</v>
      </c>
      <c r="D2641" s="28">
        <v>9.99938574057296</v>
      </c>
      <c r="E2641" s="28" t="s">
        <v>15</v>
      </c>
      <c r="F2641" s="28" t="s">
        <v>168</v>
      </c>
      <c r="G2641" s="38"/>
      <c r="H2641" s="38"/>
      <c r="J2641" s="31">
        <f t="shared" si="9"/>
        <v>0</v>
      </c>
    </row>
    <row r="2642">
      <c r="A2642" s="28">
        <v>44.0</v>
      </c>
      <c r="B2642" s="28">
        <v>45.0</v>
      </c>
      <c r="C2642" s="28">
        <v>53.4909861700979</v>
      </c>
      <c r="D2642" s="28">
        <v>9.99962640565388</v>
      </c>
      <c r="E2642" s="28" t="s">
        <v>15</v>
      </c>
      <c r="F2642" s="28" t="s">
        <v>168</v>
      </c>
      <c r="G2642" s="38"/>
      <c r="H2642" s="38"/>
      <c r="J2642" s="31">
        <f t="shared" si="9"/>
        <v>0</v>
      </c>
    </row>
    <row r="2643">
      <c r="A2643" s="28">
        <v>44.0</v>
      </c>
      <c r="B2643" s="28">
        <v>46.0</v>
      </c>
      <c r="C2643" s="28">
        <v>53.4909736429225</v>
      </c>
      <c r="D2643" s="28">
        <v>9.99986707066375</v>
      </c>
      <c r="E2643" s="28" t="s">
        <v>15</v>
      </c>
      <c r="F2643" s="28" t="s">
        <v>168</v>
      </c>
      <c r="G2643" s="38"/>
      <c r="H2643" s="38"/>
      <c r="J2643" s="31">
        <f t="shared" si="9"/>
        <v>0</v>
      </c>
    </row>
    <row r="2644">
      <c r="A2644" s="28">
        <v>44.0</v>
      </c>
      <c r="B2644" s="28">
        <v>47.0</v>
      </c>
      <c r="C2644" s="28">
        <v>53.4909611157471</v>
      </c>
      <c r="D2644" s="28">
        <v>10.0001077356025</v>
      </c>
      <c r="E2644" s="28" t="s">
        <v>15</v>
      </c>
      <c r="F2644" s="28" t="s">
        <v>168</v>
      </c>
      <c r="G2644" s="38"/>
      <c r="H2644" s="38"/>
      <c r="J2644" s="31">
        <f t="shared" si="9"/>
        <v>0</v>
      </c>
    </row>
    <row r="2645">
      <c r="A2645" s="28">
        <v>44.0</v>
      </c>
      <c r="B2645" s="28">
        <v>48.0</v>
      </c>
      <c r="C2645" s="28">
        <v>53.4909485885716</v>
      </c>
      <c r="D2645" s="28">
        <v>10.0003484004703</v>
      </c>
      <c r="E2645" s="28" t="s">
        <v>15</v>
      </c>
      <c r="F2645" s="28" t="s">
        <v>168</v>
      </c>
      <c r="G2645" s="38"/>
      <c r="H2645" s="38"/>
      <c r="J2645" s="31">
        <f t="shared" si="9"/>
        <v>0</v>
      </c>
    </row>
    <row r="2646">
      <c r="A2646" s="28">
        <v>44.0</v>
      </c>
      <c r="B2646" s="28">
        <v>49.0</v>
      </c>
      <c r="C2646" s="28">
        <v>53.4909360613962</v>
      </c>
      <c r="D2646" s="28">
        <v>10.0005890652669</v>
      </c>
      <c r="E2646" s="28" t="s">
        <v>15</v>
      </c>
      <c r="F2646" s="28" t="s">
        <v>168</v>
      </c>
      <c r="G2646" s="38"/>
      <c r="H2646" s="38"/>
      <c r="J2646" s="31">
        <f t="shared" si="9"/>
        <v>0</v>
      </c>
    </row>
    <row r="2647">
      <c r="A2647" s="28">
        <v>44.0</v>
      </c>
      <c r="B2647" s="28">
        <v>50.0</v>
      </c>
      <c r="C2647" s="28">
        <v>53.4909235342208</v>
      </c>
      <c r="D2647" s="28">
        <v>10.0008297299924</v>
      </c>
      <c r="E2647" s="28" t="s">
        <v>15</v>
      </c>
      <c r="F2647" s="28" t="s">
        <v>168</v>
      </c>
      <c r="G2647" s="38"/>
      <c r="H2647" s="38"/>
      <c r="J2647" s="31">
        <f t="shared" si="9"/>
        <v>0</v>
      </c>
    </row>
    <row r="2648">
      <c r="A2648" s="28">
        <v>44.0</v>
      </c>
      <c r="B2648" s="28">
        <v>51.0</v>
      </c>
      <c r="C2648" s="28">
        <v>53.4909110070454</v>
      </c>
      <c r="D2648" s="28">
        <v>10.0010703946468</v>
      </c>
      <c r="E2648" s="28" t="s">
        <v>15</v>
      </c>
      <c r="F2648" s="28" t="s">
        <v>168</v>
      </c>
      <c r="G2648" s="38"/>
      <c r="H2648" s="38"/>
      <c r="J2648" s="31">
        <f t="shared" si="9"/>
        <v>0</v>
      </c>
    </row>
    <row r="2649">
      <c r="A2649" s="28">
        <v>44.0</v>
      </c>
      <c r="B2649" s="28">
        <v>52.0</v>
      </c>
      <c r="C2649" s="28">
        <v>53.4908984798699</v>
      </c>
      <c r="D2649" s="28">
        <v>10.0013110592301</v>
      </c>
      <c r="E2649" s="28" t="s">
        <v>15</v>
      </c>
      <c r="F2649" s="28" t="s">
        <v>168</v>
      </c>
      <c r="G2649" s="38"/>
      <c r="H2649" s="38"/>
      <c r="J2649" s="31">
        <f t="shared" si="9"/>
        <v>0</v>
      </c>
    </row>
    <row r="2650">
      <c r="A2650" s="28">
        <v>44.0</v>
      </c>
      <c r="B2650" s="28">
        <v>53.0</v>
      </c>
      <c r="C2650" s="28">
        <v>53.4908859526945</v>
      </c>
      <c r="D2650" s="28">
        <v>10.0015517237424</v>
      </c>
      <c r="E2650" s="28" t="s">
        <v>15</v>
      </c>
      <c r="F2650" s="28" t="s">
        <v>168</v>
      </c>
      <c r="G2650" s="38"/>
      <c r="H2650" s="38"/>
      <c r="J2650" s="31">
        <f t="shared" si="9"/>
        <v>0</v>
      </c>
    </row>
    <row r="2651">
      <c r="A2651" s="28">
        <v>44.0</v>
      </c>
      <c r="B2651" s="28">
        <v>54.0</v>
      </c>
      <c r="C2651" s="28">
        <v>53.4908734255191</v>
      </c>
      <c r="D2651" s="28">
        <v>10.0017923881836</v>
      </c>
      <c r="E2651" s="28" t="s">
        <v>15</v>
      </c>
      <c r="F2651" s="28" t="s">
        <v>168</v>
      </c>
      <c r="G2651" s="38"/>
      <c r="H2651" s="38"/>
      <c r="J2651" s="31">
        <f t="shared" si="9"/>
        <v>0</v>
      </c>
    </row>
    <row r="2652">
      <c r="A2652" s="28">
        <v>44.0</v>
      </c>
      <c r="B2652" s="28">
        <v>55.0</v>
      </c>
      <c r="C2652" s="28">
        <v>53.4908608983436</v>
      </c>
      <c r="D2652" s="28">
        <v>10.0020330525537</v>
      </c>
      <c r="E2652" s="28" t="s">
        <v>15</v>
      </c>
      <c r="F2652" s="28" t="s">
        <v>168</v>
      </c>
      <c r="G2652" s="38"/>
      <c r="H2652" s="38"/>
      <c r="J2652" s="31">
        <f t="shared" si="9"/>
        <v>0</v>
      </c>
    </row>
    <row r="2653">
      <c r="A2653" s="28">
        <v>44.0</v>
      </c>
      <c r="B2653" s="28">
        <v>56.0</v>
      </c>
      <c r="C2653" s="28">
        <v>53.4908483711682</v>
      </c>
      <c r="D2653" s="28">
        <v>10.0022737168527</v>
      </c>
      <c r="E2653" s="28" t="s">
        <v>15</v>
      </c>
      <c r="F2653" s="28" t="s">
        <v>168</v>
      </c>
      <c r="G2653" s="38"/>
      <c r="H2653" s="38"/>
      <c r="J2653" s="31">
        <f t="shared" si="9"/>
        <v>0</v>
      </c>
    </row>
    <row r="2654">
      <c r="A2654" s="28">
        <v>44.0</v>
      </c>
      <c r="B2654" s="28">
        <v>57.0</v>
      </c>
      <c r="C2654" s="28">
        <v>53.4908358439928</v>
      </c>
      <c r="D2654" s="28">
        <v>10.0025143810806</v>
      </c>
      <c r="E2654" s="28" t="s">
        <v>15</v>
      </c>
      <c r="F2654" s="28" t="s">
        <v>168</v>
      </c>
      <c r="G2654" s="38"/>
      <c r="H2654" s="38"/>
      <c r="J2654" s="31">
        <f t="shared" si="9"/>
        <v>0</v>
      </c>
    </row>
    <row r="2655">
      <c r="A2655" s="28">
        <v>44.0</v>
      </c>
      <c r="B2655" s="28">
        <v>58.0</v>
      </c>
      <c r="C2655" s="28">
        <v>53.4908233168173</v>
      </c>
      <c r="D2655" s="28">
        <v>10.0027550452375</v>
      </c>
      <c r="E2655" s="28" t="s">
        <v>15</v>
      </c>
      <c r="F2655" s="28" t="s">
        <v>168</v>
      </c>
      <c r="G2655" s="38"/>
      <c r="H2655" s="38"/>
      <c r="J2655" s="31">
        <f t="shared" si="9"/>
        <v>0</v>
      </c>
    </row>
    <row r="2656">
      <c r="A2656" s="28">
        <v>44.0</v>
      </c>
      <c r="B2656" s="28">
        <v>59.0</v>
      </c>
      <c r="C2656" s="28">
        <v>53.4908107896419</v>
      </c>
      <c r="D2656" s="28">
        <v>10.0029957093232</v>
      </c>
      <c r="E2656" s="28" t="s">
        <v>15</v>
      </c>
      <c r="F2656" s="28" t="s">
        <v>168</v>
      </c>
      <c r="G2656" s="38"/>
      <c r="H2656" s="38"/>
      <c r="J2656" s="31">
        <f t="shared" si="9"/>
        <v>0</v>
      </c>
    </row>
    <row r="2657">
      <c r="A2657" s="28">
        <v>44.0</v>
      </c>
      <c r="B2657" s="28">
        <v>60.0</v>
      </c>
      <c r="C2657" s="28">
        <v>53.4907982624665</v>
      </c>
      <c r="D2657" s="28">
        <v>10.0032363733379</v>
      </c>
      <c r="E2657" s="28" t="s">
        <v>25</v>
      </c>
      <c r="F2657" s="28" t="s">
        <v>14</v>
      </c>
      <c r="G2657" s="29" t="s">
        <v>94</v>
      </c>
      <c r="H2657" s="33" t="s">
        <v>1010</v>
      </c>
      <c r="J2657" s="31">
        <f t="shared" si="9"/>
        <v>42</v>
      </c>
    </row>
    <row r="2658">
      <c r="A2658" s="28">
        <v>45.0</v>
      </c>
      <c r="B2658" s="28">
        <v>1.0</v>
      </c>
      <c r="C2658" s="28">
        <v>53.4913941823076</v>
      </c>
      <c r="D2658" s="28">
        <v>9.98901601917384</v>
      </c>
      <c r="E2658" s="28" t="s">
        <v>25</v>
      </c>
      <c r="F2658" s="28" t="s">
        <v>14</v>
      </c>
      <c r="G2658" s="38"/>
      <c r="H2658" s="38"/>
      <c r="J2658" s="31">
        <f t="shared" si="9"/>
        <v>0</v>
      </c>
    </row>
    <row r="2659">
      <c r="A2659" s="28">
        <v>45.0</v>
      </c>
      <c r="B2659" s="28">
        <v>2.0</v>
      </c>
      <c r="C2659" s="28">
        <v>53.4913816551322</v>
      </c>
      <c r="D2659" s="28">
        <v>9.98925668649906</v>
      </c>
      <c r="E2659" s="28" t="s">
        <v>15</v>
      </c>
      <c r="F2659" s="28" t="s">
        <v>168</v>
      </c>
      <c r="G2659" s="38"/>
      <c r="H2659" s="38"/>
      <c r="J2659" s="31">
        <f t="shared" si="9"/>
        <v>0</v>
      </c>
    </row>
    <row r="2660">
      <c r="A2660" s="28">
        <v>45.0</v>
      </c>
      <c r="B2660" s="28">
        <v>3.0</v>
      </c>
      <c r="C2660" s="28">
        <v>53.4913691279567</v>
      </c>
      <c r="D2660" s="28">
        <v>9.98949735375322</v>
      </c>
      <c r="E2660" s="28" t="s">
        <v>15</v>
      </c>
      <c r="F2660" s="28" t="s">
        <v>168</v>
      </c>
      <c r="G2660" s="38"/>
      <c r="H2660" s="38"/>
      <c r="J2660" s="31">
        <f t="shared" si="9"/>
        <v>0</v>
      </c>
    </row>
    <row r="2661">
      <c r="A2661" s="28">
        <v>45.0</v>
      </c>
      <c r="B2661" s="28">
        <v>4.0</v>
      </c>
      <c r="C2661" s="28">
        <v>53.4913566007813</v>
      </c>
      <c r="D2661" s="28">
        <v>9.98973802093633</v>
      </c>
      <c r="E2661" s="28" t="s">
        <v>15</v>
      </c>
      <c r="F2661" s="28" t="s">
        <v>168</v>
      </c>
      <c r="G2661" s="38"/>
      <c r="H2661" s="38"/>
      <c r="J2661" s="31">
        <f t="shared" si="9"/>
        <v>0</v>
      </c>
    </row>
    <row r="2662">
      <c r="A2662" s="28">
        <v>45.0</v>
      </c>
      <c r="B2662" s="28">
        <v>5.0</v>
      </c>
      <c r="C2662" s="28">
        <v>53.4913440736058</v>
      </c>
      <c r="D2662" s="28">
        <v>9.98997868804826</v>
      </c>
      <c r="E2662" s="28" t="s">
        <v>15</v>
      </c>
      <c r="F2662" s="28" t="s">
        <v>168</v>
      </c>
      <c r="G2662" s="38"/>
      <c r="H2662" s="38"/>
      <c r="J2662" s="31">
        <f t="shared" si="9"/>
        <v>0</v>
      </c>
    </row>
    <row r="2663">
      <c r="A2663" s="28">
        <v>45.0</v>
      </c>
      <c r="B2663" s="28">
        <v>6.0</v>
      </c>
      <c r="C2663" s="28">
        <v>53.4913315464304</v>
      </c>
      <c r="D2663" s="28">
        <v>9.99021935508915</v>
      </c>
      <c r="E2663" s="28" t="s">
        <v>15</v>
      </c>
      <c r="F2663" s="28" t="s">
        <v>168</v>
      </c>
      <c r="G2663" s="38"/>
      <c r="H2663" s="38"/>
      <c r="J2663" s="31">
        <f t="shared" si="9"/>
        <v>0</v>
      </c>
    </row>
    <row r="2664">
      <c r="A2664" s="28">
        <v>45.0</v>
      </c>
      <c r="B2664" s="28">
        <v>7.0</v>
      </c>
      <c r="C2664" s="28">
        <v>53.4913190192549</v>
      </c>
      <c r="D2664" s="28">
        <v>9.99046002205886</v>
      </c>
      <c r="E2664" s="28" t="s">
        <v>15</v>
      </c>
      <c r="F2664" s="28" t="s">
        <v>168</v>
      </c>
      <c r="G2664" s="38"/>
      <c r="H2664" s="38"/>
      <c r="J2664" s="31">
        <f t="shared" si="9"/>
        <v>0</v>
      </c>
    </row>
    <row r="2665">
      <c r="A2665" s="28">
        <v>45.0</v>
      </c>
      <c r="B2665" s="28">
        <v>8.0</v>
      </c>
      <c r="C2665" s="28">
        <v>53.4913064920795</v>
      </c>
      <c r="D2665" s="28">
        <v>9.99070068895753</v>
      </c>
      <c r="E2665" s="28" t="s">
        <v>15</v>
      </c>
      <c r="F2665" s="28" t="s">
        <v>168</v>
      </c>
      <c r="G2665" s="38"/>
      <c r="H2665" s="38"/>
      <c r="J2665" s="31">
        <f t="shared" si="9"/>
        <v>0</v>
      </c>
    </row>
    <row r="2666">
      <c r="A2666" s="28">
        <v>45.0</v>
      </c>
      <c r="B2666" s="28">
        <v>9.0</v>
      </c>
      <c r="C2666" s="28">
        <v>53.4912939649041</v>
      </c>
      <c r="D2666" s="28">
        <v>9.99094135578514</v>
      </c>
      <c r="E2666" s="28" t="s">
        <v>15</v>
      </c>
      <c r="F2666" s="28" t="s">
        <v>168</v>
      </c>
      <c r="G2666" s="38"/>
      <c r="H2666" s="38"/>
      <c r="J2666" s="31">
        <f t="shared" si="9"/>
        <v>0</v>
      </c>
    </row>
    <row r="2667">
      <c r="A2667" s="28">
        <v>45.0</v>
      </c>
      <c r="B2667" s="28">
        <v>10.0</v>
      </c>
      <c r="C2667" s="28">
        <v>53.4912814377286</v>
      </c>
      <c r="D2667" s="28">
        <v>9.99118202254158</v>
      </c>
      <c r="E2667" s="28" t="s">
        <v>15</v>
      </c>
      <c r="F2667" s="28" t="s">
        <v>168</v>
      </c>
      <c r="G2667" s="38"/>
      <c r="H2667" s="38"/>
      <c r="J2667" s="31">
        <f t="shared" si="9"/>
        <v>0</v>
      </c>
    </row>
    <row r="2668">
      <c r="A2668" s="28">
        <v>45.0</v>
      </c>
      <c r="B2668" s="28">
        <v>11.0</v>
      </c>
      <c r="C2668" s="28">
        <v>53.4912689105532</v>
      </c>
      <c r="D2668" s="28">
        <v>9.99142268922696</v>
      </c>
      <c r="E2668" s="28" t="s">
        <v>15</v>
      </c>
      <c r="F2668" s="28" t="s">
        <v>168</v>
      </c>
      <c r="G2668" s="38"/>
      <c r="H2668" s="38"/>
      <c r="J2668" s="31">
        <f t="shared" si="9"/>
        <v>0</v>
      </c>
    </row>
    <row r="2669">
      <c r="A2669" s="28">
        <v>45.0</v>
      </c>
      <c r="B2669" s="28">
        <v>12.0</v>
      </c>
      <c r="C2669" s="28">
        <v>53.4912563833777</v>
      </c>
      <c r="D2669" s="28">
        <v>9.99166335584129</v>
      </c>
      <c r="E2669" s="28" t="s">
        <v>15</v>
      </c>
      <c r="F2669" s="28" t="s">
        <v>168</v>
      </c>
      <c r="G2669" s="38"/>
      <c r="H2669" s="38"/>
      <c r="J2669" s="31">
        <f t="shared" si="9"/>
        <v>0</v>
      </c>
    </row>
    <row r="2670">
      <c r="A2670" s="28">
        <v>45.0</v>
      </c>
      <c r="B2670" s="28">
        <v>13.0</v>
      </c>
      <c r="C2670" s="28">
        <v>53.4912438562023</v>
      </c>
      <c r="D2670" s="28">
        <v>9.99190402238457</v>
      </c>
      <c r="E2670" s="28" t="s">
        <v>15</v>
      </c>
      <c r="F2670" s="28" t="s">
        <v>168</v>
      </c>
      <c r="G2670" s="38"/>
      <c r="H2670" s="38"/>
      <c r="J2670" s="31">
        <f t="shared" si="9"/>
        <v>0</v>
      </c>
    </row>
    <row r="2671">
      <c r="A2671" s="28">
        <v>45.0</v>
      </c>
      <c r="B2671" s="28">
        <v>14.0</v>
      </c>
      <c r="C2671" s="28">
        <v>53.4912313290269</v>
      </c>
      <c r="D2671" s="28">
        <v>9.99214468885679</v>
      </c>
      <c r="E2671" s="28" t="s">
        <v>15</v>
      </c>
      <c r="F2671" s="28" t="s">
        <v>168</v>
      </c>
      <c r="G2671" s="38"/>
      <c r="H2671" s="38"/>
      <c r="J2671" s="31">
        <f t="shared" si="9"/>
        <v>0</v>
      </c>
    </row>
    <row r="2672">
      <c r="A2672" s="28">
        <v>45.0</v>
      </c>
      <c r="B2672" s="28">
        <v>15.0</v>
      </c>
      <c r="C2672" s="28">
        <v>53.4912188018514</v>
      </c>
      <c r="D2672" s="28">
        <v>9.99238535525785</v>
      </c>
      <c r="E2672" s="28" t="s">
        <v>15</v>
      </c>
      <c r="F2672" s="28" t="s">
        <v>168</v>
      </c>
      <c r="G2672" s="38"/>
      <c r="H2672" s="38"/>
      <c r="J2672" s="31">
        <f t="shared" si="9"/>
        <v>0</v>
      </c>
    </row>
    <row r="2673">
      <c r="A2673" s="28">
        <v>45.0</v>
      </c>
      <c r="B2673" s="28">
        <v>16.0</v>
      </c>
      <c r="C2673" s="28">
        <v>53.491206274676</v>
      </c>
      <c r="D2673" s="28">
        <v>9.99262602158785</v>
      </c>
      <c r="E2673" s="28" t="s">
        <v>15</v>
      </c>
      <c r="F2673" s="28" t="s">
        <v>168</v>
      </c>
      <c r="G2673" s="38"/>
      <c r="H2673" s="38"/>
      <c r="J2673" s="31">
        <f t="shared" si="9"/>
        <v>0</v>
      </c>
    </row>
    <row r="2674">
      <c r="A2674" s="28">
        <v>45.0</v>
      </c>
      <c r="B2674" s="28">
        <v>17.0</v>
      </c>
      <c r="C2674" s="28">
        <v>53.4911937475005</v>
      </c>
      <c r="D2674" s="28">
        <v>9.9928666878468</v>
      </c>
      <c r="E2674" s="28" t="s">
        <v>15</v>
      </c>
      <c r="F2674" s="28" t="s">
        <v>168</v>
      </c>
      <c r="G2674" s="38"/>
      <c r="H2674" s="38"/>
      <c r="J2674" s="31">
        <f t="shared" si="9"/>
        <v>0</v>
      </c>
    </row>
    <row r="2675">
      <c r="A2675" s="28">
        <v>45.0</v>
      </c>
      <c r="B2675" s="28">
        <v>18.0</v>
      </c>
      <c r="C2675" s="28">
        <v>53.4911812203251</v>
      </c>
      <c r="D2675" s="28">
        <v>9.99310735403457</v>
      </c>
      <c r="E2675" s="28" t="s">
        <v>15</v>
      </c>
      <c r="F2675" s="28" t="s">
        <v>168</v>
      </c>
      <c r="G2675" s="38"/>
      <c r="H2675" s="38"/>
      <c r="J2675" s="31">
        <f t="shared" si="9"/>
        <v>0</v>
      </c>
    </row>
    <row r="2676">
      <c r="A2676" s="28">
        <v>45.0</v>
      </c>
      <c r="B2676" s="28">
        <v>19.0</v>
      </c>
      <c r="C2676" s="28">
        <v>53.4911686931497</v>
      </c>
      <c r="D2676" s="28">
        <v>9.9933480201513</v>
      </c>
      <c r="E2676" s="28" t="s">
        <v>15</v>
      </c>
      <c r="F2676" s="28" t="s">
        <v>168</v>
      </c>
      <c r="G2676" s="38"/>
      <c r="H2676" s="38"/>
      <c r="J2676" s="31">
        <f t="shared" si="9"/>
        <v>0</v>
      </c>
    </row>
    <row r="2677">
      <c r="A2677" s="28">
        <v>45.0</v>
      </c>
      <c r="B2677" s="28">
        <v>20.0</v>
      </c>
      <c r="C2677" s="28">
        <v>53.4911561659742</v>
      </c>
      <c r="D2677" s="28">
        <v>9.99358868619697</v>
      </c>
      <c r="E2677" s="28" t="s">
        <v>15</v>
      </c>
      <c r="F2677" s="28" t="s">
        <v>168</v>
      </c>
      <c r="G2677" s="38"/>
      <c r="H2677" s="38"/>
      <c r="J2677" s="31">
        <f t="shared" si="9"/>
        <v>0</v>
      </c>
    </row>
    <row r="2678">
      <c r="A2678" s="28">
        <v>45.0</v>
      </c>
      <c r="B2678" s="28">
        <v>21.0</v>
      </c>
      <c r="C2678" s="28">
        <v>53.4911436387988</v>
      </c>
      <c r="D2678" s="28">
        <v>9.99382935217147</v>
      </c>
      <c r="E2678" s="28" t="s">
        <v>15</v>
      </c>
      <c r="F2678" s="28" t="s">
        <v>168</v>
      </c>
      <c r="G2678" s="38"/>
      <c r="H2678" s="38"/>
      <c r="J2678" s="31">
        <f t="shared" si="9"/>
        <v>0</v>
      </c>
    </row>
    <row r="2679">
      <c r="A2679" s="28">
        <v>45.0</v>
      </c>
      <c r="B2679" s="28">
        <v>22.0</v>
      </c>
      <c r="C2679" s="28">
        <v>53.4911311116233</v>
      </c>
      <c r="D2679" s="28">
        <v>9.99407001807492</v>
      </c>
      <c r="E2679" s="28" t="s">
        <v>15</v>
      </c>
      <c r="F2679" s="28" t="s">
        <v>168</v>
      </c>
      <c r="G2679" s="38"/>
      <c r="H2679" s="38"/>
      <c r="J2679" s="31">
        <f t="shared" si="9"/>
        <v>0</v>
      </c>
    </row>
    <row r="2680">
      <c r="A2680" s="28">
        <v>45.0</v>
      </c>
      <c r="B2680" s="28">
        <v>23.0</v>
      </c>
      <c r="C2680" s="28">
        <v>53.4911185844479</v>
      </c>
      <c r="D2680" s="28">
        <v>9.99431068390731</v>
      </c>
      <c r="E2680" s="28" t="s">
        <v>15</v>
      </c>
      <c r="F2680" s="28" t="s">
        <v>168</v>
      </c>
      <c r="G2680" s="38"/>
      <c r="H2680" s="38"/>
      <c r="J2680" s="31">
        <f t="shared" si="9"/>
        <v>0</v>
      </c>
    </row>
    <row r="2681">
      <c r="A2681" s="28">
        <v>45.0</v>
      </c>
      <c r="B2681" s="28">
        <v>24.0</v>
      </c>
      <c r="C2681" s="28">
        <v>53.4911060572725</v>
      </c>
      <c r="D2681" s="28">
        <v>9.99455134966865</v>
      </c>
      <c r="E2681" s="28" t="s">
        <v>15</v>
      </c>
      <c r="F2681" s="28" t="s">
        <v>168</v>
      </c>
      <c r="G2681" s="38"/>
      <c r="H2681" s="38"/>
      <c r="J2681" s="31">
        <f t="shared" si="9"/>
        <v>0</v>
      </c>
    </row>
    <row r="2682">
      <c r="A2682" s="28">
        <v>45.0</v>
      </c>
      <c r="B2682" s="28">
        <v>25.0</v>
      </c>
      <c r="C2682" s="28">
        <v>53.4910935300971</v>
      </c>
      <c r="D2682" s="28">
        <v>9.99479201535882</v>
      </c>
      <c r="E2682" s="28" t="s">
        <v>15</v>
      </c>
      <c r="F2682" s="28" t="s">
        <v>168</v>
      </c>
      <c r="G2682" s="38"/>
      <c r="H2682" s="38"/>
      <c r="J2682" s="31">
        <f t="shared" si="9"/>
        <v>0</v>
      </c>
    </row>
    <row r="2683">
      <c r="A2683" s="28">
        <v>45.0</v>
      </c>
      <c r="B2683" s="28">
        <v>26.0</v>
      </c>
      <c r="C2683" s="28">
        <v>53.4910810029216</v>
      </c>
      <c r="D2683" s="28">
        <v>9.99503268097794</v>
      </c>
      <c r="E2683" s="28" t="s">
        <v>15</v>
      </c>
      <c r="F2683" s="28" t="s">
        <v>168</v>
      </c>
      <c r="G2683" s="38"/>
      <c r="H2683" s="38"/>
      <c r="J2683" s="31">
        <f t="shared" si="9"/>
        <v>0</v>
      </c>
    </row>
    <row r="2684">
      <c r="A2684" s="28">
        <v>45.0</v>
      </c>
      <c r="B2684" s="28">
        <v>27.0</v>
      </c>
      <c r="C2684" s="28">
        <v>53.4910684757462</v>
      </c>
      <c r="D2684" s="28">
        <v>9.99527334652589</v>
      </c>
      <c r="E2684" s="28" t="s">
        <v>15</v>
      </c>
      <c r="F2684" s="28" t="s">
        <v>168</v>
      </c>
      <c r="G2684" s="38"/>
      <c r="H2684" s="38"/>
      <c r="J2684" s="31">
        <f t="shared" si="9"/>
        <v>0</v>
      </c>
    </row>
    <row r="2685">
      <c r="A2685" s="28">
        <v>45.0</v>
      </c>
      <c r="B2685" s="28">
        <v>28.0</v>
      </c>
      <c r="C2685" s="28">
        <v>53.4910559485708</v>
      </c>
      <c r="D2685" s="28">
        <v>9.99551401200278</v>
      </c>
      <c r="E2685" s="28" t="s">
        <v>15</v>
      </c>
      <c r="F2685" s="28" t="s">
        <v>168</v>
      </c>
      <c r="G2685" s="38"/>
      <c r="H2685" s="38"/>
      <c r="J2685" s="31">
        <f t="shared" si="9"/>
        <v>0</v>
      </c>
    </row>
    <row r="2686">
      <c r="A2686" s="28">
        <v>45.0</v>
      </c>
      <c r="B2686" s="28">
        <v>29.0</v>
      </c>
      <c r="C2686" s="28">
        <v>53.4910434213953</v>
      </c>
      <c r="D2686" s="28">
        <v>9.99575467740862</v>
      </c>
      <c r="E2686" s="28" t="s">
        <v>15</v>
      </c>
      <c r="F2686" s="28" t="s">
        <v>168</v>
      </c>
      <c r="G2686" s="38"/>
      <c r="H2686" s="38"/>
      <c r="J2686" s="31">
        <f t="shared" si="9"/>
        <v>0</v>
      </c>
    </row>
    <row r="2687">
      <c r="A2687" s="28">
        <v>45.0</v>
      </c>
      <c r="B2687" s="28">
        <v>30.0</v>
      </c>
      <c r="C2687" s="28">
        <v>53.4910308942199</v>
      </c>
      <c r="D2687" s="28">
        <v>9.99599534274341</v>
      </c>
      <c r="E2687" s="28" t="s">
        <v>15</v>
      </c>
      <c r="F2687" s="28" t="s">
        <v>168</v>
      </c>
      <c r="G2687" s="38"/>
      <c r="H2687" s="38"/>
      <c r="J2687" s="31">
        <f t="shared" si="9"/>
        <v>0</v>
      </c>
    </row>
    <row r="2688">
      <c r="A2688" s="28">
        <v>45.0</v>
      </c>
      <c r="B2688" s="28">
        <v>31.0</v>
      </c>
      <c r="C2688" s="28">
        <v>53.4910183670445</v>
      </c>
      <c r="D2688" s="28">
        <v>9.99623600800714</v>
      </c>
      <c r="E2688" s="28" t="s">
        <v>15</v>
      </c>
      <c r="F2688" s="28" t="s">
        <v>168</v>
      </c>
      <c r="G2688" s="38"/>
      <c r="H2688" s="38"/>
      <c r="J2688" s="31">
        <f t="shared" si="9"/>
        <v>0</v>
      </c>
    </row>
    <row r="2689">
      <c r="A2689" s="28">
        <v>45.0</v>
      </c>
      <c r="B2689" s="28">
        <v>32.0</v>
      </c>
      <c r="C2689" s="28">
        <v>53.491005839869</v>
      </c>
      <c r="D2689" s="28">
        <v>9.9964766731997</v>
      </c>
      <c r="E2689" s="28" t="s">
        <v>15</v>
      </c>
      <c r="F2689" s="28" t="s">
        <v>168</v>
      </c>
      <c r="G2689" s="38"/>
      <c r="H2689" s="38"/>
      <c r="J2689" s="31">
        <f t="shared" si="9"/>
        <v>0</v>
      </c>
    </row>
    <row r="2690">
      <c r="A2690" s="28">
        <v>45.0</v>
      </c>
      <c r="B2690" s="28">
        <v>33.0</v>
      </c>
      <c r="C2690" s="28">
        <v>53.4909933126936</v>
      </c>
      <c r="D2690" s="28">
        <v>9.99671733832121</v>
      </c>
      <c r="E2690" s="28" t="s">
        <v>15</v>
      </c>
      <c r="F2690" s="28" t="s">
        <v>168</v>
      </c>
      <c r="G2690" s="38"/>
      <c r="H2690" s="38"/>
      <c r="J2690" s="31">
        <f t="shared" si="9"/>
        <v>0</v>
      </c>
    </row>
    <row r="2691">
      <c r="A2691" s="28">
        <v>45.0</v>
      </c>
      <c r="B2691" s="28">
        <v>34.0</v>
      </c>
      <c r="C2691" s="28">
        <v>53.4909807855182</v>
      </c>
      <c r="D2691" s="28">
        <v>9.99695800337167</v>
      </c>
      <c r="E2691" s="28" t="s">
        <v>15</v>
      </c>
      <c r="F2691" s="28" t="s">
        <v>168</v>
      </c>
      <c r="G2691" s="38"/>
      <c r="H2691" s="38"/>
      <c r="J2691" s="31">
        <f t="shared" si="9"/>
        <v>0</v>
      </c>
    </row>
    <row r="2692">
      <c r="A2692" s="28">
        <v>45.0</v>
      </c>
      <c r="B2692" s="28">
        <v>35.0</v>
      </c>
      <c r="C2692" s="28">
        <v>53.4909682583428</v>
      </c>
      <c r="D2692" s="28">
        <v>9.99719866835096</v>
      </c>
      <c r="E2692" s="28" t="s">
        <v>15</v>
      </c>
      <c r="F2692" s="28" t="s">
        <v>168</v>
      </c>
      <c r="G2692" s="38"/>
      <c r="H2692" s="38"/>
      <c r="J2692" s="31">
        <f t="shared" si="9"/>
        <v>0</v>
      </c>
    </row>
    <row r="2693">
      <c r="A2693" s="28">
        <v>45.0</v>
      </c>
      <c r="B2693" s="28">
        <v>36.0</v>
      </c>
      <c r="C2693" s="28">
        <v>53.4909557311673</v>
      </c>
      <c r="D2693" s="28">
        <v>9.99743933325919</v>
      </c>
      <c r="E2693" s="28" t="s">
        <v>15</v>
      </c>
      <c r="F2693" s="28" t="s">
        <v>168</v>
      </c>
      <c r="G2693" s="38"/>
      <c r="H2693" s="38"/>
      <c r="J2693" s="31">
        <f t="shared" si="9"/>
        <v>0</v>
      </c>
    </row>
    <row r="2694">
      <c r="A2694" s="28">
        <v>45.0</v>
      </c>
      <c r="B2694" s="28">
        <v>37.0</v>
      </c>
      <c r="C2694" s="28">
        <v>53.4909432039919</v>
      </c>
      <c r="D2694" s="28">
        <v>9.99767999809637</v>
      </c>
      <c r="E2694" s="28" t="s">
        <v>15</v>
      </c>
      <c r="F2694" s="28" t="s">
        <v>168</v>
      </c>
      <c r="G2694" s="38"/>
      <c r="H2694" s="38"/>
      <c r="J2694" s="31">
        <f t="shared" si="9"/>
        <v>0</v>
      </c>
    </row>
    <row r="2695">
      <c r="A2695" s="28">
        <v>45.0</v>
      </c>
      <c r="B2695" s="28">
        <v>38.0</v>
      </c>
      <c r="C2695" s="28">
        <v>53.4909306768165</v>
      </c>
      <c r="D2695" s="28">
        <v>9.99792066286238</v>
      </c>
      <c r="E2695" s="28" t="s">
        <v>15</v>
      </c>
      <c r="F2695" s="28" t="s">
        <v>168</v>
      </c>
      <c r="G2695" s="38"/>
      <c r="H2695" s="38"/>
      <c r="J2695" s="31">
        <f t="shared" si="9"/>
        <v>0</v>
      </c>
    </row>
    <row r="2696">
      <c r="A2696" s="28">
        <v>45.0</v>
      </c>
      <c r="B2696" s="28">
        <v>39.0</v>
      </c>
      <c r="C2696" s="28">
        <v>53.490918149641</v>
      </c>
      <c r="D2696" s="28">
        <v>9.99816132755734</v>
      </c>
      <c r="E2696" s="28" t="s">
        <v>15</v>
      </c>
      <c r="F2696" s="28" t="s">
        <v>168</v>
      </c>
      <c r="G2696" s="38"/>
      <c r="H2696" s="38"/>
      <c r="J2696" s="31">
        <f t="shared" si="9"/>
        <v>0</v>
      </c>
    </row>
    <row r="2697">
      <c r="A2697" s="28">
        <v>45.0</v>
      </c>
      <c r="B2697" s="28">
        <v>40.0</v>
      </c>
      <c r="C2697" s="28">
        <v>53.4909056224656</v>
      </c>
      <c r="D2697" s="28">
        <v>9.99840199218124</v>
      </c>
      <c r="E2697" s="28" t="s">
        <v>15</v>
      </c>
      <c r="F2697" s="28" t="s">
        <v>168</v>
      </c>
      <c r="G2697" s="38"/>
      <c r="H2697" s="38"/>
      <c r="J2697" s="31">
        <f t="shared" si="9"/>
        <v>0</v>
      </c>
    </row>
    <row r="2698">
      <c r="A2698" s="28">
        <v>45.0</v>
      </c>
      <c r="B2698" s="28">
        <v>41.0</v>
      </c>
      <c r="C2698" s="28">
        <v>53.4908930952902</v>
      </c>
      <c r="D2698" s="28">
        <v>9.99864265673409</v>
      </c>
      <c r="E2698" s="28" t="s">
        <v>15</v>
      </c>
      <c r="F2698" s="28" t="s">
        <v>168</v>
      </c>
      <c r="G2698" s="38"/>
      <c r="H2698" s="38"/>
      <c r="J2698" s="31">
        <f t="shared" si="9"/>
        <v>0</v>
      </c>
    </row>
    <row r="2699">
      <c r="A2699" s="28">
        <v>45.0</v>
      </c>
      <c r="B2699" s="28">
        <v>42.0</v>
      </c>
      <c r="C2699" s="28">
        <v>53.4908805681148</v>
      </c>
      <c r="D2699" s="28">
        <v>9.99888332121577</v>
      </c>
      <c r="E2699" s="28" t="s">
        <v>15</v>
      </c>
      <c r="F2699" s="28" t="s">
        <v>168</v>
      </c>
      <c r="G2699" s="38"/>
      <c r="H2699" s="38"/>
      <c r="J2699" s="31">
        <f t="shared" si="9"/>
        <v>0</v>
      </c>
    </row>
    <row r="2700">
      <c r="A2700" s="28">
        <v>45.0</v>
      </c>
      <c r="B2700" s="28">
        <v>43.0</v>
      </c>
      <c r="C2700" s="28">
        <v>53.4908680409393</v>
      </c>
      <c r="D2700" s="28">
        <v>9.99912398562639</v>
      </c>
      <c r="E2700" s="28" t="s">
        <v>15</v>
      </c>
      <c r="F2700" s="28" t="s">
        <v>168</v>
      </c>
      <c r="G2700" s="38"/>
      <c r="H2700" s="38"/>
      <c r="J2700" s="31">
        <f t="shared" si="9"/>
        <v>0</v>
      </c>
    </row>
    <row r="2701">
      <c r="A2701" s="28">
        <v>45.0</v>
      </c>
      <c r="B2701" s="28">
        <v>44.0</v>
      </c>
      <c r="C2701" s="28">
        <v>53.4908555137639</v>
      </c>
      <c r="D2701" s="28">
        <v>9.99936464996585</v>
      </c>
      <c r="E2701" s="28" t="s">
        <v>15</v>
      </c>
      <c r="F2701" s="28" t="s">
        <v>168</v>
      </c>
      <c r="G2701" s="38"/>
      <c r="H2701" s="38"/>
      <c r="J2701" s="31">
        <f t="shared" si="9"/>
        <v>0</v>
      </c>
    </row>
    <row r="2702">
      <c r="A2702" s="28">
        <v>45.0</v>
      </c>
      <c r="B2702" s="28">
        <v>45.0</v>
      </c>
      <c r="C2702" s="28">
        <v>53.4908429865885</v>
      </c>
      <c r="D2702" s="28">
        <v>9.99960531423425</v>
      </c>
      <c r="E2702" s="28" t="s">
        <v>15</v>
      </c>
      <c r="F2702" s="28" t="s">
        <v>168</v>
      </c>
      <c r="G2702" s="38"/>
      <c r="H2702" s="38"/>
      <c r="J2702" s="31">
        <f t="shared" si="9"/>
        <v>0</v>
      </c>
    </row>
    <row r="2703">
      <c r="A2703" s="28">
        <v>45.0</v>
      </c>
      <c r="B2703" s="28">
        <v>46.0</v>
      </c>
      <c r="C2703" s="28">
        <v>53.490830459413</v>
      </c>
      <c r="D2703" s="28">
        <v>9.9998459784316</v>
      </c>
      <c r="E2703" s="28" t="s">
        <v>15</v>
      </c>
      <c r="F2703" s="28" t="s">
        <v>168</v>
      </c>
      <c r="G2703" s="38"/>
      <c r="H2703" s="38"/>
      <c r="J2703" s="31">
        <f t="shared" si="9"/>
        <v>0</v>
      </c>
    </row>
    <row r="2704">
      <c r="A2704" s="28">
        <v>45.0</v>
      </c>
      <c r="B2704" s="28">
        <v>47.0</v>
      </c>
      <c r="C2704" s="28">
        <v>53.4908179322376</v>
      </c>
      <c r="D2704" s="28">
        <v>10.0000866425579</v>
      </c>
      <c r="E2704" s="28" t="s">
        <v>15</v>
      </c>
      <c r="F2704" s="28" t="s">
        <v>168</v>
      </c>
      <c r="G2704" s="38"/>
      <c r="H2704" s="38"/>
      <c r="J2704" s="31">
        <f t="shared" si="9"/>
        <v>0</v>
      </c>
    </row>
    <row r="2705">
      <c r="A2705" s="28">
        <v>45.0</v>
      </c>
      <c r="B2705" s="28">
        <v>48.0</v>
      </c>
      <c r="C2705" s="28">
        <v>53.4908054050622</v>
      </c>
      <c r="D2705" s="28">
        <v>10.0003273066131</v>
      </c>
      <c r="E2705" s="28" t="s">
        <v>15</v>
      </c>
      <c r="F2705" s="28" t="s">
        <v>168</v>
      </c>
      <c r="G2705" s="38"/>
      <c r="H2705" s="38"/>
      <c r="J2705" s="31">
        <f t="shared" si="9"/>
        <v>0</v>
      </c>
    </row>
    <row r="2706">
      <c r="A2706" s="28">
        <v>45.0</v>
      </c>
      <c r="B2706" s="28">
        <v>49.0</v>
      </c>
      <c r="C2706" s="28">
        <v>53.4907928778867</v>
      </c>
      <c r="D2706" s="28">
        <v>10.0005679705972</v>
      </c>
      <c r="E2706" s="28" t="s">
        <v>15</v>
      </c>
      <c r="F2706" s="28" t="s">
        <v>168</v>
      </c>
      <c r="G2706" s="38"/>
      <c r="H2706" s="38"/>
      <c r="J2706" s="31">
        <f t="shared" si="9"/>
        <v>0</v>
      </c>
    </row>
    <row r="2707">
      <c r="A2707" s="28">
        <v>45.0</v>
      </c>
      <c r="B2707" s="28">
        <v>50.0</v>
      </c>
      <c r="C2707" s="28">
        <v>53.4907803507113</v>
      </c>
      <c r="D2707" s="28">
        <v>10.0008086345102</v>
      </c>
      <c r="E2707" s="28" t="s">
        <v>15</v>
      </c>
      <c r="F2707" s="28" t="s">
        <v>168</v>
      </c>
      <c r="G2707" s="38"/>
      <c r="H2707" s="38"/>
      <c r="J2707" s="31">
        <f t="shared" si="9"/>
        <v>0</v>
      </c>
    </row>
    <row r="2708">
      <c r="A2708" s="28">
        <v>45.0</v>
      </c>
      <c r="B2708" s="28">
        <v>51.0</v>
      </c>
      <c r="C2708" s="28">
        <v>53.4907678235359</v>
      </c>
      <c r="D2708" s="28">
        <v>10.0010492983522</v>
      </c>
      <c r="E2708" s="28" t="s">
        <v>15</v>
      </c>
      <c r="F2708" s="28" t="s">
        <v>168</v>
      </c>
      <c r="G2708" s="38"/>
      <c r="H2708" s="38"/>
      <c r="J2708" s="31">
        <f t="shared" si="9"/>
        <v>0</v>
      </c>
    </row>
    <row r="2709">
      <c r="A2709" s="28">
        <v>45.0</v>
      </c>
      <c r="B2709" s="28">
        <v>52.0</v>
      </c>
      <c r="C2709" s="28">
        <v>53.4907552963605</v>
      </c>
      <c r="D2709" s="28">
        <v>10.0012899621229</v>
      </c>
      <c r="E2709" s="28" t="s">
        <v>15</v>
      </c>
      <c r="F2709" s="28" t="s">
        <v>168</v>
      </c>
      <c r="G2709" s="38"/>
      <c r="H2709" s="38"/>
      <c r="J2709" s="31">
        <f t="shared" si="9"/>
        <v>0</v>
      </c>
    </row>
    <row r="2710">
      <c r="A2710" s="28">
        <v>45.0</v>
      </c>
      <c r="B2710" s="28">
        <v>53.0</v>
      </c>
      <c r="C2710" s="28">
        <v>53.490742769185</v>
      </c>
      <c r="D2710" s="28">
        <v>10.0015306258227</v>
      </c>
      <c r="E2710" s="28" t="s">
        <v>15</v>
      </c>
      <c r="F2710" s="28" t="s">
        <v>168</v>
      </c>
      <c r="G2710" s="38"/>
      <c r="H2710" s="38"/>
      <c r="J2710" s="31">
        <f t="shared" si="9"/>
        <v>0</v>
      </c>
    </row>
    <row r="2711">
      <c r="A2711" s="28">
        <v>45.0</v>
      </c>
      <c r="B2711" s="28">
        <v>54.0</v>
      </c>
      <c r="C2711" s="28">
        <v>53.4907302420096</v>
      </c>
      <c r="D2711" s="28">
        <v>10.0017712894514</v>
      </c>
      <c r="E2711" s="28" t="s">
        <v>15</v>
      </c>
      <c r="F2711" s="28" t="s">
        <v>168</v>
      </c>
      <c r="G2711" s="38"/>
      <c r="H2711" s="38"/>
      <c r="J2711" s="31">
        <f t="shared" si="9"/>
        <v>0</v>
      </c>
    </row>
    <row r="2712">
      <c r="A2712" s="28">
        <v>45.0</v>
      </c>
      <c r="B2712" s="28">
        <v>55.0</v>
      </c>
      <c r="C2712" s="28">
        <v>53.4907177148342</v>
      </c>
      <c r="D2712" s="28">
        <v>10.002011953009</v>
      </c>
      <c r="E2712" s="28" t="s">
        <v>15</v>
      </c>
      <c r="F2712" s="28" t="s">
        <v>168</v>
      </c>
      <c r="G2712" s="38"/>
      <c r="H2712" s="38"/>
      <c r="J2712" s="31">
        <f t="shared" si="9"/>
        <v>0</v>
      </c>
    </row>
    <row r="2713">
      <c r="A2713" s="28">
        <v>45.0</v>
      </c>
      <c r="B2713" s="28">
        <v>56.0</v>
      </c>
      <c r="C2713" s="28">
        <v>53.4907051876588</v>
      </c>
      <c r="D2713" s="28">
        <v>10.0022526164955</v>
      </c>
      <c r="E2713" s="28" t="s">
        <v>15</v>
      </c>
      <c r="F2713" s="28" t="s">
        <v>168</v>
      </c>
      <c r="G2713" s="38"/>
      <c r="H2713" s="38"/>
      <c r="J2713" s="31">
        <f t="shared" si="9"/>
        <v>0</v>
      </c>
    </row>
    <row r="2714">
      <c r="A2714" s="28">
        <v>45.0</v>
      </c>
      <c r="B2714" s="28">
        <v>57.0</v>
      </c>
      <c r="C2714" s="28">
        <v>53.4906926604833</v>
      </c>
      <c r="D2714" s="28">
        <v>10.0024932799109</v>
      </c>
      <c r="E2714" s="28" t="s">
        <v>15</v>
      </c>
      <c r="F2714" s="28" t="s">
        <v>168</v>
      </c>
      <c r="G2714" s="38"/>
      <c r="H2714" s="38"/>
      <c r="J2714" s="31">
        <f t="shared" si="9"/>
        <v>0</v>
      </c>
    </row>
    <row r="2715">
      <c r="A2715" s="28">
        <v>45.0</v>
      </c>
      <c r="B2715" s="28">
        <v>58.0</v>
      </c>
      <c r="C2715" s="28">
        <v>53.4906801333079</v>
      </c>
      <c r="D2715" s="28">
        <v>10.0027339432552</v>
      </c>
      <c r="E2715" s="28" t="s">
        <v>15</v>
      </c>
      <c r="F2715" s="28" t="s">
        <v>168</v>
      </c>
      <c r="G2715" s="29" t="s">
        <v>26</v>
      </c>
      <c r="H2715" s="30" t="str">
        <f>HYPERLINK("https://www.munzee.com/m/Elli/6225/", "Elli/6225")</f>
        <v>Elli/6225</v>
      </c>
      <c r="J2715" s="31">
        <f t="shared" si="9"/>
        <v>143</v>
      </c>
    </row>
    <row r="2716">
      <c r="A2716" s="28">
        <v>45.0</v>
      </c>
      <c r="B2716" s="28">
        <v>59.0</v>
      </c>
      <c r="C2716" s="28">
        <v>53.4906676061325</v>
      </c>
      <c r="D2716" s="28">
        <v>10.0029746065285</v>
      </c>
      <c r="E2716" s="28" t="s">
        <v>15</v>
      </c>
      <c r="F2716" s="28" t="s">
        <v>168</v>
      </c>
      <c r="G2716" s="29" t="s">
        <v>1005</v>
      </c>
      <c r="H2716" s="33" t="s">
        <v>1011</v>
      </c>
      <c r="J2716" s="31">
        <f t="shared" si="9"/>
        <v>6</v>
      </c>
    </row>
    <row r="2717">
      <c r="A2717" s="28">
        <v>45.0</v>
      </c>
      <c r="B2717" s="28">
        <v>60.0</v>
      </c>
      <c r="C2717" s="28">
        <v>53.490655078957</v>
      </c>
      <c r="D2717" s="28">
        <v>10.0032152697307</v>
      </c>
      <c r="E2717" s="28" t="s">
        <v>25</v>
      </c>
      <c r="F2717" s="28" t="s">
        <v>14</v>
      </c>
      <c r="G2717" s="29" t="s">
        <v>47</v>
      </c>
      <c r="H2717" s="33" t="s">
        <v>1012</v>
      </c>
      <c r="J2717" s="31">
        <f t="shared" si="9"/>
        <v>44</v>
      </c>
    </row>
    <row r="2718">
      <c r="A2718" s="28">
        <v>46.0</v>
      </c>
      <c r="B2718" s="28">
        <v>1.0</v>
      </c>
      <c r="C2718" s="28">
        <v>53.491250998798</v>
      </c>
      <c r="D2718" s="28">
        <v>9.98899496357603</v>
      </c>
      <c r="E2718" s="28" t="s">
        <v>25</v>
      </c>
      <c r="F2718" s="28" t="s">
        <v>14</v>
      </c>
      <c r="G2718" s="29" t="s">
        <v>27</v>
      </c>
      <c r="H2718" s="30" t="str">
        <f>HYPERLINK("https://www.munzee.com/m/DarkHaribo/12321", "DarkHaribo/12321")</f>
        <v>DarkHaribo/12321</v>
      </c>
      <c r="J2718" s="31">
        <f t="shared" si="9"/>
        <v>103</v>
      </c>
    </row>
    <row r="2719">
      <c r="A2719" s="28">
        <v>46.0</v>
      </c>
      <c r="B2719" s="28">
        <v>2.0</v>
      </c>
      <c r="C2719" s="28">
        <v>53.4912384716226</v>
      </c>
      <c r="D2719" s="28">
        <v>9.98923563008872</v>
      </c>
      <c r="E2719" s="28" t="s">
        <v>15</v>
      </c>
      <c r="F2719" s="28" t="s">
        <v>168</v>
      </c>
      <c r="G2719" s="29" t="s">
        <v>47</v>
      </c>
      <c r="H2719" s="33" t="s">
        <v>1013</v>
      </c>
      <c r="J2719" s="31">
        <f t="shared" si="9"/>
        <v>44</v>
      </c>
    </row>
    <row r="2720">
      <c r="A2720" s="28">
        <v>46.0</v>
      </c>
      <c r="B2720" s="28">
        <v>3.0</v>
      </c>
      <c r="C2720" s="28">
        <v>53.4912259444472</v>
      </c>
      <c r="D2720" s="28">
        <v>9.98947629653025</v>
      </c>
      <c r="E2720" s="28" t="s">
        <v>15</v>
      </c>
      <c r="F2720" s="28" t="s">
        <v>168</v>
      </c>
      <c r="G2720" s="38"/>
      <c r="H2720" s="38"/>
      <c r="J2720" s="31">
        <f t="shared" si="9"/>
        <v>0</v>
      </c>
    </row>
    <row r="2721">
      <c r="A2721" s="28">
        <v>46.0</v>
      </c>
      <c r="B2721" s="28">
        <v>4.0</v>
      </c>
      <c r="C2721" s="28">
        <v>53.4912134172717</v>
      </c>
      <c r="D2721" s="28">
        <v>9.98971696290073</v>
      </c>
      <c r="E2721" s="28" t="s">
        <v>15</v>
      </c>
      <c r="F2721" s="28" t="s">
        <v>168</v>
      </c>
      <c r="G2721" s="38"/>
      <c r="H2721" s="38"/>
      <c r="J2721" s="31">
        <f t="shared" si="9"/>
        <v>0</v>
      </c>
    </row>
    <row r="2722">
      <c r="A2722" s="28">
        <v>46.0</v>
      </c>
      <c r="B2722" s="28">
        <v>5.0</v>
      </c>
      <c r="C2722" s="28">
        <v>53.4912008900963</v>
      </c>
      <c r="D2722" s="28">
        <v>9.98995762920014</v>
      </c>
      <c r="E2722" s="28" t="s">
        <v>15</v>
      </c>
      <c r="F2722" s="28" t="s">
        <v>168</v>
      </c>
      <c r="G2722" s="38"/>
      <c r="H2722" s="38"/>
      <c r="J2722" s="31">
        <f t="shared" si="9"/>
        <v>0</v>
      </c>
    </row>
    <row r="2723">
      <c r="A2723" s="28">
        <v>46.0</v>
      </c>
      <c r="B2723" s="28">
        <v>6.0</v>
      </c>
      <c r="C2723" s="28">
        <v>53.4911883629208</v>
      </c>
      <c r="D2723" s="28">
        <v>9.99019829542851</v>
      </c>
      <c r="E2723" s="28" t="s">
        <v>15</v>
      </c>
      <c r="F2723" s="28" t="s">
        <v>168</v>
      </c>
      <c r="G2723" s="38"/>
      <c r="H2723" s="38"/>
      <c r="J2723" s="31">
        <f t="shared" si="9"/>
        <v>0</v>
      </c>
    </row>
    <row r="2724">
      <c r="A2724" s="28">
        <v>46.0</v>
      </c>
      <c r="B2724" s="28">
        <v>7.0</v>
      </c>
      <c r="C2724" s="28">
        <v>53.4911758357454</v>
      </c>
      <c r="D2724" s="28">
        <v>9.99043896158582</v>
      </c>
      <c r="E2724" s="28" t="s">
        <v>15</v>
      </c>
      <c r="F2724" s="28" t="s">
        <v>168</v>
      </c>
      <c r="G2724" s="38"/>
      <c r="H2724" s="38"/>
      <c r="J2724" s="31">
        <f t="shared" si="9"/>
        <v>0</v>
      </c>
    </row>
    <row r="2725">
      <c r="A2725" s="28">
        <v>46.0</v>
      </c>
      <c r="B2725" s="28">
        <v>8.0</v>
      </c>
      <c r="C2725" s="28">
        <v>53.49116330857</v>
      </c>
      <c r="D2725" s="28">
        <v>9.99067962767196</v>
      </c>
      <c r="E2725" s="28" t="s">
        <v>15</v>
      </c>
      <c r="F2725" s="28" t="s">
        <v>168</v>
      </c>
      <c r="G2725" s="38"/>
      <c r="H2725" s="38"/>
      <c r="J2725" s="31">
        <f t="shared" si="9"/>
        <v>0</v>
      </c>
    </row>
    <row r="2726">
      <c r="A2726" s="28">
        <v>46.0</v>
      </c>
      <c r="B2726" s="28">
        <v>9.0</v>
      </c>
      <c r="C2726" s="28">
        <v>53.4911507813945</v>
      </c>
      <c r="D2726" s="28">
        <v>9.99092029368705</v>
      </c>
      <c r="E2726" s="28" t="s">
        <v>15</v>
      </c>
      <c r="F2726" s="28" t="s">
        <v>168</v>
      </c>
      <c r="G2726" s="38"/>
      <c r="H2726" s="38"/>
      <c r="J2726" s="31">
        <f t="shared" si="9"/>
        <v>0</v>
      </c>
    </row>
    <row r="2727">
      <c r="A2727" s="28">
        <v>46.0</v>
      </c>
      <c r="B2727" s="28">
        <v>10.0</v>
      </c>
      <c r="C2727" s="28">
        <v>53.4911382542191</v>
      </c>
      <c r="D2727" s="28">
        <v>9.99116095963108</v>
      </c>
      <c r="E2727" s="28" t="s">
        <v>15</v>
      </c>
      <c r="F2727" s="28" t="s">
        <v>168</v>
      </c>
      <c r="G2727" s="38"/>
      <c r="H2727" s="38"/>
      <c r="J2727" s="31">
        <f t="shared" si="9"/>
        <v>0</v>
      </c>
    </row>
    <row r="2728">
      <c r="A2728" s="28">
        <v>46.0</v>
      </c>
      <c r="B2728" s="28">
        <v>11.0</v>
      </c>
      <c r="C2728" s="28">
        <v>53.4911257270436</v>
      </c>
      <c r="D2728" s="28">
        <v>9.99140162550395</v>
      </c>
      <c r="E2728" s="28" t="s">
        <v>15</v>
      </c>
      <c r="F2728" s="28" t="s">
        <v>168</v>
      </c>
      <c r="G2728" s="38"/>
      <c r="H2728" s="38"/>
      <c r="J2728" s="31">
        <f t="shared" si="9"/>
        <v>0</v>
      </c>
    </row>
    <row r="2729">
      <c r="A2729" s="28">
        <v>46.0</v>
      </c>
      <c r="B2729" s="28">
        <v>12.0</v>
      </c>
      <c r="C2729" s="28">
        <v>53.4911131998682</v>
      </c>
      <c r="D2729" s="28">
        <v>9.99164229130576</v>
      </c>
      <c r="E2729" s="28" t="s">
        <v>15</v>
      </c>
      <c r="F2729" s="28" t="s">
        <v>168</v>
      </c>
      <c r="G2729" s="38"/>
      <c r="H2729" s="38"/>
      <c r="J2729" s="31">
        <f t="shared" si="9"/>
        <v>0</v>
      </c>
    </row>
    <row r="2730">
      <c r="A2730" s="28">
        <v>46.0</v>
      </c>
      <c r="B2730" s="28">
        <v>13.0</v>
      </c>
      <c r="C2730" s="28">
        <v>53.4911006726928</v>
      </c>
      <c r="D2730" s="28">
        <v>9.99188295703652</v>
      </c>
      <c r="E2730" s="28" t="s">
        <v>15</v>
      </c>
      <c r="F2730" s="28" t="s">
        <v>168</v>
      </c>
      <c r="G2730" s="38"/>
      <c r="H2730" s="38"/>
      <c r="J2730" s="31">
        <f t="shared" si="9"/>
        <v>0</v>
      </c>
    </row>
    <row r="2731">
      <c r="A2731" s="28">
        <v>46.0</v>
      </c>
      <c r="B2731" s="28">
        <v>14.0</v>
      </c>
      <c r="C2731" s="28">
        <v>53.4910881455174</v>
      </c>
      <c r="D2731" s="28">
        <v>9.99212362269611</v>
      </c>
      <c r="E2731" s="28" t="s">
        <v>15</v>
      </c>
      <c r="F2731" s="28" t="s">
        <v>168</v>
      </c>
      <c r="G2731" s="38"/>
      <c r="H2731" s="38"/>
      <c r="J2731" s="31">
        <f t="shared" si="9"/>
        <v>0</v>
      </c>
    </row>
    <row r="2732">
      <c r="A2732" s="28">
        <v>46.0</v>
      </c>
      <c r="B2732" s="28">
        <v>15.0</v>
      </c>
      <c r="C2732" s="28">
        <v>53.4910756183419</v>
      </c>
      <c r="D2732" s="28">
        <v>9.99236428828464</v>
      </c>
      <c r="E2732" s="28" t="s">
        <v>15</v>
      </c>
      <c r="F2732" s="28" t="s">
        <v>168</v>
      </c>
      <c r="G2732" s="38"/>
      <c r="H2732" s="38"/>
      <c r="J2732" s="31">
        <f t="shared" si="9"/>
        <v>0</v>
      </c>
    </row>
    <row r="2733">
      <c r="A2733" s="28">
        <v>46.0</v>
      </c>
      <c r="B2733" s="28">
        <v>16.0</v>
      </c>
      <c r="C2733" s="28">
        <v>53.4910630911665</v>
      </c>
      <c r="D2733" s="28">
        <v>9.99260495380212</v>
      </c>
      <c r="E2733" s="28" t="s">
        <v>15</v>
      </c>
      <c r="F2733" s="28" t="s">
        <v>168</v>
      </c>
      <c r="G2733" s="38"/>
      <c r="H2733" s="38"/>
      <c r="J2733" s="31">
        <f t="shared" si="9"/>
        <v>0</v>
      </c>
    </row>
    <row r="2734">
      <c r="A2734" s="28">
        <v>46.0</v>
      </c>
      <c r="B2734" s="28">
        <v>17.0</v>
      </c>
      <c r="C2734" s="28">
        <v>53.4910505639911</v>
      </c>
      <c r="D2734" s="28">
        <v>9.99284561924855</v>
      </c>
      <c r="E2734" s="28" t="s">
        <v>15</v>
      </c>
      <c r="F2734" s="28" t="s">
        <v>168</v>
      </c>
      <c r="G2734" s="38"/>
      <c r="H2734" s="38"/>
      <c r="J2734" s="31">
        <f t="shared" si="9"/>
        <v>0</v>
      </c>
    </row>
    <row r="2735">
      <c r="A2735" s="28">
        <v>46.0</v>
      </c>
      <c r="B2735" s="28">
        <v>18.0</v>
      </c>
      <c r="C2735" s="28">
        <v>53.4910380368157</v>
      </c>
      <c r="D2735" s="28">
        <v>9.99308628462381</v>
      </c>
      <c r="E2735" s="28" t="s">
        <v>15</v>
      </c>
      <c r="F2735" s="28" t="s">
        <v>168</v>
      </c>
      <c r="G2735" s="38"/>
      <c r="H2735" s="38"/>
      <c r="J2735" s="31">
        <f t="shared" si="9"/>
        <v>0</v>
      </c>
    </row>
    <row r="2736">
      <c r="A2736" s="28">
        <v>46.0</v>
      </c>
      <c r="B2736" s="28">
        <v>19.0</v>
      </c>
      <c r="C2736" s="28">
        <v>53.4910255096402</v>
      </c>
      <c r="D2736" s="28">
        <v>9.99332694992801</v>
      </c>
      <c r="E2736" s="28" t="s">
        <v>15</v>
      </c>
      <c r="F2736" s="28" t="s">
        <v>168</v>
      </c>
      <c r="G2736" s="38"/>
      <c r="H2736" s="38"/>
      <c r="J2736" s="31">
        <f t="shared" si="9"/>
        <v>0</v>
      </c>
    </row>
    <row r="2737">
      <c r="A2737" s="28">
        <v>46.0</v>
      </c>
      <c r="B2737" s="28">
        <v>20.0</v>
      </c>
      <c r="C2737" s="28">
        <v>53.4910129824648</v>
      </c>
      <c r="D2737" s="28">
        <v>9.99356761516105</v>
      </c>
      <c r="E2737" s="28" t="s">
        <v>15</v>
      </c>
      <c r="F2737" s="28" t="s">
        <v>168</v>
      </c>
      <c r="G2737" s="38"/>
      <c r="H2737" s="38"/>
      <c r="J2737" s="31">
        <f t="shared" si="9"/>
        <v>0</v>
      </c>
    </row>
    <row r="2738">
      <c r="A2738" s="28">
        <v>46.0</v>
      </c>
      <c r="B2738" s="28">
        <v>21.0</v>
      </c>
      <c r="C2738" s="28">
        <v>53.4910004552894</v>
      </c>
      <c r="D2738" s="28">
        <v>9.99380828032303</v>
      </c>
      <c r="E2738" s="28" t="s">
        <v>15</v>
      </c>
      <c r="F2738" s="28" t="s">
        <v>168</v>
      </c>
      <c r="G2738" s="38"/>
      <c r="H2738" s="38"/>
      <c r="J2738" s="31">
        <f t="shared" si="9"/>
        <v>0</v>
      </c>
    </row>
    <row r="2739">
      <c r="A2739" s="28">
        <v>46.0</v>
      </c>
      <c r="B2739" s="28">
        <v>22.0</v>
      </c>
      <c r="C2739" s="28">
        <v>53.4909879281139</v>
      </c>
      <c r="D2739" s="28">
        <v>9.99404894541396</v>
      </c>
      <c r="E2739" s="28" t="s">
        <v>15</v>
      </c>
      <c r="F2739" s="28" t="s">
        <v>168</v>
      </c>
      <c r="G2739" s="38"/>
      <c r="H2739" s="38"/>
      <c r="J2739" s="31">
        <f t="shared" si="9"/>
        <v>0</v>
      </c>
    </row>
    <row r="2740">
      <c r="A2740" s="28">
        <v>46.0</v>
      </c>
      <c r="B2740" s="28">
        <v>23.0</v>
      </c>
      <c r="C2740" s="28">
        <v>53.4909754009385</v>
      </c>
      <c r="D2740" s="28">
        <v>9.99428961043383</v>
      </c>
      <c r="E2740" s="28" t="s">
        <v>15</v>
      </c>
      <c r="F2740" s="28" t="s">
        <v>168</v>
      </c>
      <c r="G2740" s="38"/>
      <c r="H2740" s="38"/>
      <c r="J2740" s="31">
        <f t="shared" si="9"/>
        <v>0</v>
      </c>
    </row>
    <row r="2741">
      <c r="A2741" s="28">
        <v>46.0</v>
      </c>
      <c r="B2741" s="28">
        <v>24.0</v>
      </c>
      <c r="C2741" s="28">
        <v>53.4909628737631</v>
      </c>
      <c r="D2741" s="28">
        <v>9.99453027538265</v>
      </c>
      <c r="E2741" s="28" t="s">
        <v>15</v>
      </c>
      <c r="F2741" s="28" t="s">
        <v>168</v>
      </c>
      <c r="G2741" s="38"/>
      <c r="H2741" s="38"/>
      <c r="J2741" s="31">
        <f t="shared" si="9"/>
        <v>0</v>
      </c>
    </row>
    <row r="2742">
      <c r="A2742" s="28">
        <v>46.0</v>
      </c>
      <c r="B2742" s="28">
        <v>25.0</v>
      </c>
      <c r="C2742" s="28">
        <v>53.4909503465876</v>
      </c>
      <c r="D2742" s="28">
        <v>9.99477094026031</v>
      </c>
      <c r="E2742" s="28" t="s">
        <v>15</v>
      </c>
      <c r="F2742" s="28" t="s">
        <v>168</v>
      </c>
      <c r="G2742" s="38"/>
      <c r="H2742" s="38"/>
      <c r="J2742" s="31">
        <f t="shared" si="9"/>
        <v>0</v>
      </c>
    </row>
    <row r="2743">
      <c r="A2743" s="28">
        <v>46.0</v>
      </c>
      <c r="B2743" s="28">
        <v>26.0</v>
      </c>
      <c r="C2743" s="28">
        <v>53.4909378194122</v>
      </c>
      <c r="D2743" s="28">
        <v>9.9950116050669</v>
      </c>
      <c r="E2743" s="28" t="s">
        <v>15</v>
      </c>
      <c r="F2743" s="28" t="s">
        <v>168</v>
      </c>
      <c r="G2743" s="38"/>
      <c r="H2743" s="38"/>
      <c r="J2743" s="31">
        <f t="shared" si="9"/>
        <v>0</v>
      </c>
    </row>
    <row r="2744">
      <c r="A2744" s="28">
        <v>46.0</v>
      </c>
      <c r="B2744" s="28">
        <v>27.0</v>
      </c>
      <c r="C2744" s="28">
        <v>53.4909252922368</v>
      </c>
      <c r="D2744" s="28">
        <v>9.99525226980245</v>
      </c>
      <c r="E2744" s="28" t="s">
        <v>15</v>
      </c>
      <c r="F2744" s="28" t="s">
        <v>168</v>
      </c>
      <c r="G2744" s="38"/>
      <c r="H2744" s="38"/>
      <c r="J2744" s="31">
        <f t="shared" si="9"/>
        <v>0</v>
      </c>
    </row>
    <row r="2745">
      <c r="A2745" s="28">
        <v>46.0</v>
      </c>
      <c r="B2745" s="28">
        <v>28.0</v>
      </c>
      <c r="C2745" s="28">
        <v>53.4909127650613</v>
      </c>
      <c r="D2745" s="28">
        <v>9.99549293446682</v>
      </c>
      <c r="E2745" s="28" t="s">
        <v>15</v>
      </c>
      <c r="F2745" s="28" t="s">
        <v>168</v>
      </c>
      <c r="G2745" s="38"/>
      <c r="H2745" s="38"/>
      <c r="J2745" s="31">
        <f t="shared" si="9"/>
        <v>0</v>
      </c>
    </row>
    <row r="2746">
      <c r="A2746" s="28">
        <v>46.0</v>
      </c>
      <c r="B2746" s="28">
        <v>29.0</v>
      </c>
      <c r="C2746" s="28">
        <v>53.4909002378859</v>
      </c>
      <c r="D2746" s="28">
        <v>9.99573359906014</v>
      </c>
      <c r="E2746" s="28" t="s">
        <v>15</v>
      </c>
      <c r="F2746" s="28" t="s">
        <v>168</v>
      </c>
      <c r="G2746" s="38"/>
      <c r="H2746" s="38"/>
      <c r="J2746" s="31">
        <f t="shared" si="9"/>
        <v>0</v>
      </c>
    </row>
    <row r="2747">
      <c r="A2747" s="28">
        <v>46.0</v>
      </c>
      <c r="B2747" s="28">
        <v>30.0</v>
      </c>
      <c r="C2747" s="28">
        <v>53.4908877107105</v>
      </c>
      <c r="D2747" s="28">
        <v>9.99597426358241</v>
      </c>
      <c r="E2747" s="28" t="s">
        <v>15</v>
      </c>
      <c r="F2747" s="28" t="s">
        <v>168</v>
      </c>
      <c r="G2747" s="38"/>
      <c r="H2747" s="38"/>
      <c r="J2747" s="31">
        <f t="shared" si="9"/>
        <v>0</v>
      </c>
    </row>
    <row r="2748">
      <c r="A2748" s="28">
        <v>46.0</v>
      </c>
      <c r="B2748" s="28">
        <v>31.0</v>
      </c>
      <c r="C2748" s="28">
        <v>53.4908751835351</v>
      </c>
      <c r="D2748" s="28">
        <v>9.99621492803362</v>
      </c>
      <c r="E2748" s="28" t="s">
        <v>15</v>
      </c>
      <c r="F2748" s="28" t="s">
        <v>168</v>
      </c>
      <c r="G2748" s="38"/>
      <c r="H2748" s="38"/>
      <c r="J2748" s="31">
        <f t="shared" si="9"/>
        <v>0</v>
      </c>
    </row>
    <row r="2749">
      <c r="A2749" s="28">
        <v>46.0</v>
      </c>
      <c r="B2749" s="28">
        <v>32.0</v>
      </c>
      <c r="C2749" s="28">
        <v>53.4908626563596</v>
      </c>
      <c r="D2749" s="28">
        <v>9.99645559241366</v>
      </c>
      <c r="E2749" s="28" t="s">
        <v>15</v>
      </c>
      <c r="F2749" s="28" t="s">
        <v>168</v>
      </c>
      <c r="G2749" s="38"/>
      <c r="H2749" s="38"/>
      <c r="J2749" s="31">
        <f t="shared" si="9"/>
        <v>0</v>
      </c>
    </row>
    <row r="2750">
      <c r="A2750" s="28">
        <v>46.0</v>
      </c>
      <c r="B2750" s="28">
        <v>33.0</v>
      </c>
      <c r="C2750" s="28">
        <v>53.4908501291842</v>
      </c>
      <c r="D2750" s="28">
        <v>9.99669625672265</v>
      </c>
      <c r="E2750" s="28" t="s">
        <v>15</v>
      </c>
      <c r="F2750" s="28" t="s">
        <v>168</v>
      </c>
      <c r="G2750" s="38"/>
      <c r="H2750" s="38"/>
      <c r="J2750" s="31">
        <f t="shared" si="9"/>
        <v>0</v>
      </c>
    </row>
    <row r="2751">
      <c r="A2751" s="28">
        <v>46.0</v>
      </c>
      <c r="B2751" s="28">
        <v>34.0</v>
      </c>
      <c r="C2751" s="28">
        <v>53.4908376020088</v>
      </c>
      <c r="D2751" s="28">
        <v>9.99693692096048</v>
      </c>
      <c r="E2751" s="28" t="s">
        <v>15</v>
      </c>
      <c r="F2751" s="28" t="s">
        <v>168</v>
      </c>
      <c r="G2751" s="38"/>
      <c r="H2751" s="38"/>
      <c r="J2751" s="31">
        <f t="shared" si="9"/>
        <v>0</v>
      </c>
    </row>
    <row r="2752">
      <c r="A2752" s="28">
        <v>46.0</v>
      </c>
      <c r="B2752" s="28">
        <v>35.0</v>
      </c>
      <c r="C2752" s="28">
        <v>53.4908250748333</v>
      </c>
      <c r="D2752" s="28">
        <v>9.99717758512724</v>
      </c>
      <c r="E2752" s="28" t="s">
        <v>15</v>
      </c>
      <c r="F2752" s="28" t="s">
        <v>168</v>
      </c>
      <c r="G2752" s="38"/>
      <c r="H2752" s="38"/>
      <c r="J2752" s="31">
        <f t="shared" si="9"/>
        <v>0</v>
      </c>
    </row>
    <row r="2753">
      <c r="A2753" s="28">
        <v>46.0</v>
      </c>
      <c r="B2753" s="28">
        <v>36.0</v>
      </c>
      <c r="C2753" s="28">
        <v>53.4908125476579</v>
      </c>
      <c r="D2753" s="28">
        <v>9.99741824922296</v>
      </c>
      <c r="E2753" s="28" t="s">
        <v>15</v>
      </c>
      <c r="F2753" s="28" t="s">
        <v>168</v>
      </c>
      <c r="G2753" s="38"/>
      <c r="H2753" s="38"/>
      <c r="J2753" s="31">
        <f t="shared" si="9"/>
        <v>0</v>
      </c>
    </row>
    <row r="2754">
      <c r="A2754" s="28">
        <v>46.0</v>
      </c>
      <c r="B2754" s="28">
        <v>37.0</v>
      </c>
      <c r="C2754" s="28">
        <v>53.4908000204825</v>
      </c>
      <c r="D2754" s="28">
        <v>9.99765891324762</v>
      </c>
      <c r="E2754" s="28" t="s">
        <v>15</v>
      </c>
      <c r="F2754" s="28" t="s">
        <v>168</v>
      </c>
      <c r="G2754" s="38"/>
      <c r="H2754" s="38"/>
      <c r="J2754" s="31">
        <f t="shared" si="9"/>
        <v>0</v>
      </c>
    </row>
    <row r="2755">
      <c r="A2755" s="28">
        <v>46.0</v>
      </c>
      <c r="B2755" s="28">
        <v>38.0</v>
      </c>
      <c r="C2755" s="28">
        <v>53.490787493307</v>
      </c>
      <c r="D2755" s="28">
        <v>9.99789957720122</v>
      </c>
      <c r="E2755" s="28" t="s">
        <v>15</v>
      </c>
      <c r="F2755" s="28" t="s">
        <v>168</v>
      </c>
      <c r="G2755" s="38"/>
      <c r="H2755" s="38"/>
      <c r="J2755" s="31">
        <f t="shared" si="9"/>
        <v>0</v>
      </c>
    </row>
    <row r="2756">
      <c r="A2756" s="28">
        <v>46.0</v>
      </c>
      <c r="B2756" s="28">
        <v>39.0</v>
      </c>
      <c r="C2756" s="28">
        <v>53.4907749661316</v>
      </c>
      <c r="D2756" s="28">
        <v>9.99814024108366</v>
      </c>
      <c r="E2756" s="28" t="s">
        <v>15</v>
      </c>
      <c r="F2756" s="28" t="s">
        <v>168</v>
      </c>
      <c r="G2756" s="38"/>
      <c r="H2756" s="38"/>
      <c r="J2756" s="31">
        <f t="shared" si="9"/>
        <v>0</v>
      </c>
    </row>
    <row r="2757">
      <c r="A2757" s="28">
        <v>46.0</v>
      </c>
      <c r="B2757" s="28">
        <v>40.0</v>
      </c>
      <c r="C2757" s="28">
        <v>53.4907624389562</v>
      </c>
      <c r="D2757" s="28">
        <v>9.99838090489504</v>
      </c>
      <c r="E2757" s="28" t="s">
        <v>15</v>
      </c>
      <c r="F2757" s="28" t="s">
        <v>168</v>
      </c>
      <c r="G2757" s="38"/>
      <c r="H2757" s="38"/>
      <c r="J2757" s="31">
        <f t="shared" si="9"/>
        <v>0</v>
      </c>
    </row>
    <row r="2758">
      <c r="A2758" s="28">
        <v>46.0</v>
      </c>
      <c r="B2758" s="28">
        <v>41.0</v>
      </c>
      <c r="C2758" s="28">
        <v>53.4907499117808</v>
      </c>
      <c r="D2758" s="28">
        <v>9.99862156863537</v>
      </c>
      <c r="E2758" s="28" t="s">
        <v>15</v>
      </c>
      <c r="F2758" s="28" t="s">
        <v>168</v>
      </c>
      <c r="G2758" s="38"/>
      <c r="H2758" s="38"/>
      <c r="J2758" s="31">
        <f t="shared" si="9"/>
        <v>0</v>
      </c>
    </row>
    <row r="2759">
      <c r="A2759" s="28">
        <v>46.0</v>
      </c>
      <c r="B2759" s="28">
        <v>42.0</v>
      </c>
      <c r="C2759" s="28">
        <v>53.4907373846053</v>
      </c>
      <c r="D2759" s="28">
        <v>9.99886223230453</v>
      </c>
      <c r="E2759" s="28" t="s">
        <v>15</v>
      </c>
      <c r="F2759" s="28" t="s">
        <v>168</v>
      </c>
      <c r="G2759" s="38"/>
      <c r="H2759" s="38"/>
      <c r="J2759" s="31">
        <f t="shared" si="9"/>
        <v>0</v>
      </c>
    </row>
    <row r="2760">
      <c r="A2760" s="28">
        <v>46.0</v>
      </c>
      <c r="B2760" s="28">
        <v>43.0</v>
      </c>
      <c r="C2760" s="28">
        <v>53.4907248574299</v>
      </c>
      <c r="D2760" s="28">
        <v>9.99910289590263</v>
      </c>
      <c r="E2760" s="28" t="s">
        <v>15</v>
      </c>
      <c r="F2760" s="28" t="s">
        <v>168</v>
      </c>
      <c r="G2760" s="38"/>
      <c r="H2760" s="38"/>
      <c r="J2760" s="31">
        <f t="shared" si="9"/>
        <v>0</v>
      </c>
    </row>
    <row r="2761">
      <c r="A2761" s="28">
        <v>46.0</v>
      </c>
      <c r="B2761" s="28">
        <v>44.0</v>
      </c>
      <c r="C2761" s="28">
        <v>53.4907123302545</v>
      </c>
      <c r="D2761" s="28">
        <v>9.99934355942969</v>
      </c>
      <c r="E2761" s="28" t="s">
        <v>15</v>
      </c>
      <c r="F2761" s="28" t="s">
        <v>168</v>
      </c>
      <c r="G2761" s="38"/>
      <c r="H2761" s="38"/>
      <c r="J2761" s="31">
        <f t="shared" si="9"/>
        <v>0</v>
      </c>
    </row>
    <row r="2762">
      <c r="A2762" s="28">
        <v>46.0</v>
      </c>
      <c r="B2762" s="28">
        <v>45.0</v>
      </c>
      <c r="C2762" s="28">
        <v>53.4906998030791</v>
      </c>
      <c r="D2762" s="28">
        <v>9.99958422288568</v>
      </c>
      <c r="E2762" s="28" t="s">
        <v>15</v>
      </c>
      <c r="F2762" s="28" t="s">
        <v>168</v>
      </c>
      <c r="G2762" s="38"/>
      <c r="H2762" s="38"/>
      <c r="J2762" s="31">
        <f t="shared" si="9"/>
        <v>0</v>
      </c>
    </row>
    <row r="2763">
      <c r="A2763" s="28">
        <v>46.0</v>
      </c>
      <c r="B2763" s="28">
        <v>46.0</v>
      </c>
      <c r="C2763" s="28">
        <v>53.4906872759036</v>
      </c>
      <c r="D2763" s="28">
        <v>9.99982488627051</v>
      </c>
      <c r="E2763" s="28" t="s">
        <v>15</v>
      </c>
      <c r="F2763" s="28" t="s">
        <v>168</v>
      </c>
      <c r="G2763" s="38"/>
      <c r="H2763" s="38"/>
      <c r="J2763" s="31">
        <f t="shared" si="9"/>
        <v>0</v>
      </c>
    </row>
    <row r="2764">
      <c r="A2764" s="28">
        <v>46.0</v>
      </c>
      <c r="B2764" s="28">
        <v>47.0</v>
      </c>
      <c r="C2764" s="28">
        <v>53.4906747487282</v>
      </c>
      <c r="D2764" s="28">
        <v>10.0000655495842</v>
      </c>
      <c r="E2764" s="28" t="s">
        <v>15</v>
      </c>
      <c r="F2764" s="28" t="s">
        <v>168</v>
      </c>
      <c r="G2764" s="38"/>
      <c r="H2764" s="38"/>
      <c r="J2764" s="31">
        <f t="shared" si="9"/>
        <v>0</v>
      </c>
    </row>
    <row r="2765">
      <c r="A2765" s="28">
        <v>46.0</v>
      </c>
      <c r="B2765" s="28">
        <v>48.0</v>
      </c>
      <c r="C2765" s="28">
        <v>53.4906622215528</v>
      </c>
      <c r="D2765" s="28">
        <v>10.0003062128269</v>
      </c>
      <c r="E2765" s="28" t="s">
        <v>15</v>
      </c>
      <c r="F2765" s="28" t="s">
        <v>168</v>
      </c>
      <c r="G2765" s="38"/>
      <c r="H2765" s="38"/>
      <c r="J2765" s="31">
        <f t="shared" si="9"/>
        <v>0</v>
      </c>
    </row>
    <row r="2766">
      <c r="A2766" s="28">
        <v>46.0</v>
      </c>
      <c r="B2766" s="28">
        <v>49.0</v>
      </c>
      <c r="C2766" s="28">
        <v>53.4906496943773</v>
      </c>
      <c r="D2766" s="28">
        <v>10.0005468759984</v>
      </c>
      <c r="E2766" s="28" t="s">
        <v>15</v>
      </c>
      <c r="F2766" s="28" t="s">
        <v>168</v>
      </c>
      <c r="G2766" s="38"/>
      <c r="H2766" s="38"/>
      <c r="J2766" s="31">
        <f t="shared" si="9"/>
        <v>0</v>
      </c>
    </row>
    <row r="2767">
      <c r="A2767" s="28">
        <v>46.0</v>
      </c>
      <c r="B2767" s="28">
        <v>50.0</v>
      </c>
      <c r="C2767" s="28">
        <v>53.4906371672019</v>
      </c>
      <c r="D2767" s="28">
        <v>10.0007875390989</v>
      </c>
      <c r="E2767" s="28" t="s">
        <v>15</v>
      </c>
      <c r="F2767" s="28" t="s">
        <v>168</v>
      </c>
      <c r="G2767" s="38"/>
      <c r="H2767" s="38"/>
      <c r="J2767" s="31">
        <f t="shared" si="9"/>
        <v>0</v>
      </c>
    </row>
    <row r="2768">
      <c r="A2768" s="28">
        <v>46.0</v>
      </c>
      <c r="B2768" s="28">
        <v>51.0</v>
      </c>
      <c r="C2768" s="28">
        <v>53.4906246400265</v>
      </c>
      <c r="D2768" s="28">
        <v>10.0010282021283</v>
      </c>
      <c r="E2768" s="28" t="s">
        <v>15</v>
      </c>
      <c r="F2768" s="28" t="s">
        <v>168</v>
      </c>
      <c r="G2768" s="38"/>
      <c r="H2768" s="38"/>
      <c r="J2768" s="31">
        <f t="shared" si="9"/>
        <v>0</v>
      </c>
    </row>
    <row r="2769">
      <c r="A2769" s="28">
        <v>46.0</v>
      </c>
      <c r="B2769" s="28">
        <v>52.0</v>
      </c>
      <c r="C2769" s="28">
        <v>53.490612112851</v>
      </c>
      <c r="D2769" s="28">
        <v>10.0012688650867</v>
      </c>
      <c r="E2769" s="28" t="s">
        <v>15</v>
      </c>
      <c r="F2769" s="28" t="s">
        <v>168</v>
      </c>
      <c r="G2769" s="38"/>
      <c r="H2769" s="38"/>
      <c r="J2769" s="31">
        <f t="shared" si="9"/>
        <v>0</v>
      </c>
    </row>
    <row r="2770">
      <c r="A2770" s="28">
        <v>46.0</v>
      </c>
      <c r="B2770" s="28">
        <v>53.0</v>
      </c>
      <c r="C2770" s="28">
        <v>53.4905995856756</v>
      </c>
      <c r="D2770" s="28">
        <v>10.001509527974</v>
      </c>
      <c r="E2770" s="28" t="s">
        <v>15</v>
      </c>
      <c r="F2770" s="28" t="s">
        <v>168</v>
      </c>
      <c r="G2770" s="38"/>
      <c r="H2770" s="38"/>
      <c r="J2770" s="31">
        <f t="shared" si="9"/>
        <v>0</v>
      </c>
    </row>
    <row r="2771">
      <c r="A2771" s="28">
        <v>46.0</v>
      </c>
      <c r="B2771" s="28">
        <v>54.0</v>
      </c>
      <c r="C2771" s="28">
        <v>53.4905870585002</v>
      </c>
      <c r="D2771" s="28">
        <v>10.0017501907901</v>
      </c>
      <c r="E2771" s="28" t="s">
        <v>15</v>
      </c>
      <c r="F2771" s="28" t="s">
        <v>168</v>
      </c>
      <c r="G2771" s="38"/>
      <c r="H2771" s="38"/>
      <c r="J2771" s="31">
        <f t="shared" si="9"/>
        <v>0</v>
      </c>
    </row>
    <row r="2772">
      <c r="A2772" s="28">
        <v>46.0</v>
      </c>
      <c r="B2772" s="28">
        <v>55.0</v>
      </c>
      <c r="C2772" s="28">
        <v>53.4905745313248</v>
      </c>
      <c r="D2772" s="28">
        <v>10.0019908535352</v>
      </c>
      <c r="E2772" s="28" t="s">
        <v>15</v>
      </c>
      <c r="F2772" s="28" t="s">
        <v>168</v>
      </c>
      <c r="G2772" s="38"/>
      <c r="H2772" s="38"/>
      <c r="J2772" s="31">
        <f t="shared" si="9"/>
        <v>0</v>
      </c>
    </row>
    <row r="2773">
      <c r="A2773" s="28">
        <v>46.0</v>
      </c>
      <c r="B2773" s="28">
        <v>56.0</v>
      </c>
      <c r="C2773" s="28">
        <v>53.4905620041493</v>
      </c>
      <c r="D2773" s="28">
        <v>10.0022315162093</v>
      </c>
      <c r="E2773" s="28" t="s">
        <v>15</v>
      </c>
      <c r="F2773" s="28" t="s">
        <v>168</v>
      </c>
      <c r="G2773" s="38"/>
      <c r="H2773" s="38"/>
      <c r="J2773" s="31">
        <f t="shared" si="9"/>
        <v>0</v>
      </c>
    </row>
    <row r="2774">
      <c r="A2774" s="28">
        <v>46.0</v>
      </c>
      <c r="B2774" s="28">
        <v>57.0</v>
      </c>
      <c r="C2774" s="28">
        <v>53.4905494769739</v>
      </c>
      <c r="D2774" s="28">
        <v>10.0024721788122</v>
      </c>
      <c r="E2774" s="28" t="s">
        <v>15</v>
      </c>
      <c r="F2774" s="28" t="s">
        <v>168</v>
      </c>
      <c r="G2774" s="38"/>
      <c r="H2774" s="38"/>
      <c r="J2774" s="31">
        <f t="shared" si="9"/>
        <v>0</v>
      </c>
    </row>
    <row r="2775">
      <c r="A2775" s="28">
        <v>46.0</v>
      </c>
      <c r="B2775" s="28">
        <v>58.0</v>
      </c>
      <c r="C2775" s="28">
        <v>53.4905369497985</v>
      </c>
      <c r="D2775" s="28">
        <v>10.002712841344</v>
      </c>
      <c r="E2775" s="28" t="s">
        <v>15</v>
      </c>
      <c r="F2775" s="28" t="s">
        <v>168</v>
      </c>
      <c r="G2775" s="38"/>
      <c r="H2775" s="38"/>
      <c r="J2775" s="31">
        <f t="shared" si="9"/>
        <v>0</v>
      </c>
    </row>
    <row r="2776">
      <c r="A2776" s="28">
        <v>46.0</v>
      </c>
      <c r="B2776" s="28">
        <v>59.0</v>
      </c>
      <c r="C2776" s="28">
        <v>53.4905244226231</v>
      </c>
      <c r="D2776" s="28">
        <v>10.0029535038047</v>
      </c>
      <c r="E2776" s="28" t="s">
        <v>15</v>
      </c>
      <c r="F2776" s="28" t="s">
        <v>168</v>
      </c>
      <c r="G2776" s="29" t="s">
        <v>1014</v>
      </c>
      <c r="H2776" s="38"/>
      <c r="J2776" s="31">
        <f t="shared" si="9"/>
        <v>1</v>
      </c>
    </row>
    <row r="2777">
      <c r="A2777" s="28">
        <v>46.0</v>
      </c>
      <c r="B2777" s="28">
        <v>60.0</v>
      </c>
      <c r="C2777" s="28">
        <v>53.4905118954476</v>
      </c>
      <c r="D2777" s="28">
        <v>10.0031941661943</v>
      </c>
      <c r="E2777" s="28" t="s">
        <v>25</v>
      </c>
      <c r="F2777" s="28" t="s">
        <v>14</v>
      </c>
      <c r="G2777" s="29" t="s">
        <v>27</v>
      </c>
      <c r="H2777" s="30" t="str">
        <f>HYPERLINK("https://www.munzee.com/m/DarkHaribo/12436", "DarkHaribo/12436")</f>
        <v>DarkHaribo/12436</v>
      </c>
      <c r="J2777" s="31">
        <f t="shared" si="9"/>
        <v>103</v>
      </c>
    </row>
    <row r="2778">
      <c r="A2778" s="28">
        <v>47.0</v>
      </c>
      <c r="B2778" s="28">
        <v>1.0</v>
      </c>
      <c r="C2778" s="28">
        <v>53.4911078152885</v>
      </c>
      <c r="D2778" s="28">
        <v>9.98897390804938</v>
      </c>
      <c r="E2778" s="28" t="s">
        <v>25</v>
      </c>
      <c r="F2778" s="28" t="s">
        <v>14</v>
      </c>
      <c r="G2778" s="37" t="s">
        <v>883</v>
      </c>
      <c r="H2778" s="35" t="s">
        <v>1015</v>
      </c>
      <c r="J2778" s="31">
        <f t="shared" si="9"/>
        <v>2</v>
      </c>
    </row>
    <row r="2779">
      <c r="A2779" s="28">
        <v>47.0</v>
      </c>
      <c r="B2779" s="28">
        <v>2.0</v>
      </c>
      <c r="C2779" s="28">
        <v>53.491095288113</v>
      </c>
      <c r="D2779" s="28">
        <v>9.98921457374956</v>
      </c>
      <c r="E2779" s="28" t="s">
        <v>15</v>
      </c>
      <c r="F2779" s="28" t="s">
        <v>168</v>
      </c>
      <c r="G2779" s="29" t="s">
        <v>40</v>
      </c>
      <c r="H2779" s="30" t="str">
        <f>HYPERLINK("https://www.munzee.com/m/csThanner/1915/", "csThanner/1915")</f>
        <v>csThanner/1915</v>
      </c>
      <c r="J2779" s="31">
        <f t="shared" si="9"/>
        <v>88</v>
      </c>
    </row>
    <row r="2780">
      <c r="A2780" s="28">
        <v>47.0</v>
      </c>
      <c r="B2780" s="28">
        <v>3.0</v>
      </c>
      <c r="C2780" s="28">
        <v>53.4910827609376</v>
      </c>
      <c r="D2780" s="28">
        <v>9.98945523937868</v>
      </c>
      <c r="E2780" s="28" t="s">
        <v>15</v>
      </c>
      <c r="F2780" s="28" t="s">
        <v>168</v>
      </c>
      <c r="G2780" s="37" t="s">
        <v>1016</v>
      </c>
      <c r="H2780" s="35" t="s">
        <v>1017</v>
      </c>
      <c r="J2780" s="31">
        <f t="shared" si="9"/>
        <v>4</v>
      </c>
    </row>
    <row r="2781">
      <c r="A2781" s="28">
        <v>47.0</v>
      </c>
      <c r="B2781" s="28">
        <v>4.0</v>
      </c>
      <c r="C2781" s="28">
        <v>53.4910702337622</v>
      </c>
      <c r="D2781" s="28">
        <v>9.98969590493663</v>
      </c>
      <c r="E2781" s="28" t="s">
        <v>15</v>
      </c>
      <c r="F2781" s="28" t="s">
        <v>168</v>
      </c>
      <c r="G2781" s="38"/>
      <c r="H2781" s="38"/>
      <c r="J2781" s="31">
        <f t="shared" si="9"/>
        <v>0</v>
      </c>
    </row>
    <row r="2782">
      <c r="A2782" s="28">
        <v>47.0</v>
      </c>
      <c r="B2782" s="28">
        <v>5.0</v>
      </c>
      <c r="C2782" s="28">
        <v>53.4910577065867</v>
      </c>
      <c r="D2782" s="28">
        <v>9.98993657042353</v>
      </c>
      <c r="E2782" s="28" t="s">
        <v>15</v>
      </c>
      <c r="F2782" s="28" t="s">
        <v>168</v>
      </c>
      <c r="G2782" s="38"/>
      <c r="H2782" s="38"/>
      <c r="J2782" s="31">
        <f t="shared" si="9"/>
        <v>0</v>
      </c>
    </row>
    <row r="2783">
      <c r="A2783" s="28">
        <v>47.0</v>
      </c>
      <c r="B2783" s="28">
        <v>6.0</v>
      </c>
      <c r="C2783" s="28">
        <v>53.4910451794113</v>
      </c>
      <c r="D2783" s="28">
        <v>9.99017723583938</v>
      </c>
      <c r="E2783" s="28" t="s">
        <v>15</v>
      </c>
      <c r="F2783" s="28" t="s">
        <v>168</v>
      </c>
      <c r="G2783" s="29" t="s">
        <v>40</v>
      </c>
      <c r="H2783" s="30" t="str">
        <f>HYPERLINK("https://www.munzee.com/m/csThanner/1916/", "csThanner/1916")</f>
        <v>csThanner/1916</v>
      </c>
      <c r="J2783" s="31">
        <f t="shared" si="9"/>
        <v>88</v>
      </c>
    </row>
    <row r="2784">
      <c r="A2784" s="28">
        <v>47.0</v>
      </c>
      <c r="B2784" s="28">
        <v>7.0</v>
      </c>
      <c r="C2784" s="28">
        <v>53.4910326522359</v>
      </c>
      <c r="D2784" s="28">
        <v>9.99041790118417</v>
      </c>
      <c r="E2784" s="28" t="s">
        <v>15</v>
      </c>
      <c r="F2784" s="28" t="s">
        <v>168</v>
      </c>
      <c r="G2784" s="38"/>
      <c r="H2784" s="38"/>
      <c r="J2784" s="31">
        <f t="shared" si="9"/>
        <v>0</v>
      </c>
    </row>
    <row r="2785">
      <c r="A2785" s="28">
        <v>47.0</v>
      </c>
      <c r="B2785" s="28">
        <v>8.0</v>
      </c>
      <c r="C2785" s="28">
        <v>53.4910201250604</v>
      </c>
      <c r="D2785" s="28">
        <v>9.99065856645779</v>
      </c>
      <c r="E2785" s="28" t="s">
        <v>15</v>
      </c>
      <c r="F2785" s="28" t="s">
        <v>168</v>
      </c>
      <c r="G2785" s="38"/>
      <c r="H2785" s="38"/>
      <c r="J2785" s="31">
        <f t="shared" si="9"/>
        <v>0</v>
      </c>
    </row>
    <row r="2786">
      <c r="A2786" s="28">
        <v>47.0</v>
      </c>
      <c r="B2786" s="28">
        <v>9.0</v>
      </c>
      <c r="C2786" s="28">
        <v>53.491007597885</v>
      </c>
      <c r="D2786" s="28">
        <v>9.99089923166036</v>
      </c>
      <c r="E2786" s="28" t="s">
        <v>25</v>
      </c>
      <c r="F2786" s="28" t="s">
        <v>14</v>
      </c>
      <c r="G2786" s="38"/>
      <c r="H2786" s="38"/>
      <c r="J2786" s="31">
        <f t="shared" si="9"/>
        <v>0</v>
      </c>
    </row>
    <row r="2787">
      <c r="A2787" s="28">
        <v>47.0</v>
      </c>
      <c r="B2787" s="28">
        <v>10.0</v>
      </c>
      <c r="C2787" s="28">
        <v>53.4909950707096</v>
      </c>
      <c r="D2787" s="28">
        <v>9.99113989679176</v>
      </c>
      <c r="E2787" s="28" t="s">
        <v>25</v>
      </c>
      <c r="F2787" s="28" t="s">
        <v>14</v>
      </c>
      <c r="G2787" s="38"/>
      <c r="H2787" s="38"/>
      <c r="J2787" s="31">
        <f t="shared" si="9"/>
        <v>0</v>
      </c>
    </row>
    <row r="2788">
      <c r="A2788" s="28">
        <v>47.0</v>
      </c>
      <c r="B2788" s="28">
        <v>11.0</v>
      </c>
      <c r="C2788" s="28">
        <v>53.4909825435342</v>
      </c>
      <c r="D2788" s="28">
        <v>9.99138056185211</v>
      </c>
      <c r="E2788" s="28" t="s">
        <v>25</v>
      </c>
      <c r="F2788" s="28" t="s">
        <v>14</v>
      </c>
      <c r="G2788" s="38"/>
      <c r="H2788" s="38"/>
      <c r="J2788" s="31">
        <f t="shared" si="9"/>
        <v>0</v>
      </c>
    </row>
    <row r="2789">
      <c r="A2789" s="28">
        <v>47.0</v>
      </c>
      <c r="B2789" s="28">
        <v>12.0</v>
      </c>
      <c r="C2789" s="28">
        <v>53.4909700163587</v>
      </c>
      <c r="D2789" s="28">
        <v>9.9916212268414</v>
      </c>
      <c r="E2789" s="28" t="s">
        <v>25</v>
      </c>
      <c r="F2789" s="28" t="s">
        <v>14</v>
      </c>
      <c r="G2789" s="38"/>
      <c r="H2789" s="38"/>
      <c r="J2789" s="31">
        <f t="shared" si="9"/>
        <v>0</v>
      </c>
    </row>
    <row r="2790">
      <c r="A2790" s="28">
        <v>47.0</v>
      </c>
      <c r="B2790" s="28">
        <v>13.0</v>
      </c>
      <c r="C2790" s="28">
        <v>53.4909574891833</v>
      </c>
      <c r="D2790" s="28">
        <v>9.99186189175964</v>
      </c>
      <c r="E2790" s="28" t="s">
        <v>15</v>
      </c>
      <c r="F2790" s="28" t="s">
        <v>168</v>
      </c>
      <c r="G2790" s="29" t="s">
        <v>40</v>
      </c>
      <c r="H2790" s="30" t="str">
        <f>HYPERLINK("https://www.munzee.com/m/csThanner/1918/", "csThanner/1918")</f>
        <v>csThanner/1918</v>
      </c>
      <c r="J2790" s="31">
        <f t="shared" si="9"/>
        <v>88</v>
      </c>
    </row>
    <row r="2791">
      <c r="A2791" s="28">
        <v>47.0</v>
      </c>
      <c r="B2791" s="28">
        <v>14.0</v>
      </c>
      <c r="C2791" s="28">
        <v>53.4909449620079</v>
      </c>
      <c r="D2791" s="28">
        <v>9.99210255660671</v>
      </c>
      <c r="E2791" s="28" t="s">
        <v>25</v>
      </c>
      <c r="F2791" s="28" t="s">
        <v>14</v>
      </c>
      <c r="G2791" s="38"/>
      <c r="H2791" s="38"/>
      <c r="J2791" s="31">
        <f t="shared" si="9"/>
        <v>0</v>
      </c>
    </row>
    <row r="2792">
      <c r="A2792" s="28">
        <v>47.0</v>
      </c>
      <c r="B2792" s="28">
        <v>15.0</v>
      </c>
      <c r="C2792" s="28">
        <v>53.4909324348324</v>
      </c>
      <c r="D2792" s="28">
        <v>9.99234322138272</v>
      </c>
      <c r="E2792" s="28" t="s">
        <v>25</v>
      </c>
      <c r="F2792" s="28" t="s">
        <v>14</v>
      </c>
      <c r="G2792" s="38"/>
      <c r="H2792" s="38"/>
      <c r="J2792" s="31">
        <f t="shared" si="9"/>
        <v>0</v>
      </c>
    </row>
    <row r="2793">
      <c r="A2793" s="28">
        <v>47.0</v>
      </c>
      <c r="B2793" s="28">
        <v>16.0</v>
      </c>
      <c r="C2793" s="28">
        <v>53.490919907657</v>
      </c>
      <c r="D2793" s="28">
        <v>9.99258388608768</v>
      </c>
      <c r="E2793" s="28" t="s">
        <v>25</v>
      </c>
      <c r="F2793" s="28" t="s">
        <v>14</v>
      </c>
      <c r="G2793" s="38"/>
      <c r="H2793" s="38"/>
      <c r="J2793" s="31">
        <f t="shared" si="9"/>
        <v>0</v>
      </c>
    </row>
    <row r="2794">
      <c r="A2794" s="28">
        <v>47.0</v>
      </c>
      <c r="B2794" s="28">
        <v>17.0</v>
      </c>
      <c r="C2794" s="28">
        <v>53.4909073804816</v>
      </c>
      <c r="D2794" s="28">
        <v>9.99282455072148</v>
      </c>
      <c r="E2794" s="28" t="s">
        <v>25</v>
      </c>
      <c r="F2794" s="28" t="s">
        <v>14</v>
      </c>
      <c r="G2794" s="38"/>
      <c r="H2794" s="38"/>
      <c r="J2794" s="31">
        <f t="shared" si="9"/>
        <v>0</v>
      </c>
    </row>
    <row r="2795">
      <c r="A2795" s="28">
        <v>47.0</v>
      </c>
      <c r="B2795" s="28">
        <v>18.0</v>
      </c>
      <c r="C2795" s="28">
        <v>53.4908948533062</v>
      </c>
      <c r="D2795" s="28">
        <v>9.99306521528421</v>
      </c>
      <c r="E2795" s="28" t="s">
        <v>25</v>
      </c>
      <c r="F2795" s="28" t="s">
        <v>14</v>
      </c>
      <c r="G2795" s="38"/>
      <c r="H2795" s="38"/>
      <c r="J2795" s="31">
        <f t="shared" si="9"/>
        <v>0</v>
      </c>
    </row>
    <row r="2796">
      <c r="A2796" s="28">
        <v>47.0</v>
      </c>
      <c r="B2796" s="28">
        <v>19.0</v>
      </c>
      <c r="C2796" s="28">
        <v>53.4908823261307</v>
      </c>
      <c r="D2796" s="28">
        <v>9.9933058797759</v>
      </c>
      <c r="E2796" s="28" t="s">
        <v>25</v>
      </c>
      <c r="F2796" s="28" t="s">
        <v>14</v>
      </c>
      <c r="G2796" s="38"/>
      <c r="H2796" s="38"/>
      <c r="J2796" s="31">
        <f t="shared" si="9"/>
        <v>0</v>
      </c>
    </row>
    <row r="2797">
      <c r="A2797" s="28">
        <v>47.0</v>
      </c>
      <c r="B2797" s="28">
        <v>20.0</v>
      </c>
      <c r="C2797" s="28">
        <v>53.4908697989553</v>
      </c>
      <c r="D2797" s="28">
        <v>9.99354654419653</v>
      </c>
      <c r="E2797" s="28" t="s">
        <v>15</v>
      </c>
      <c r="F2797" s="28" t="s">
        <v>168</v>
      </c>
      <c r="G2797" s="29" t="s">
        <v>40</v>
      </c>
      <c r="H2797" s="30" t="str">
        <f>HYPERLINK("https://www.munzee.com/m/csThanner/1920/", "csThanner/1920")</f>
        <v>csThanner/1920</v>
      </c>
      <c r="J2797" s="31">
        <f t="shared" si="9"/>
        <v>88</v>
      </c>
    </row>
    <row r="2798">
      <c r="A2798" s="28">
        <v>47.0</v>
      </c>
      <c r="B2798" s="28">
        <v>21.0</v>
      </c>
      <c r="C2798" s="28">
        <v>53.4908572717799</v>
      </c>
      <c r="D2798" s="28">
        <v>9.99378720854611</v>
      </c>
      <c r="E2798" s="28" t="s">
        <v>15</v>
      </c>
      <c r="F2798" s="28" t="s">
        <v>168</v>
      </c>
      <c r="G2798" s="38"/>
      <c r="H2798" s="38"/>
      <c r="J2798" s="31">
        <f t="shared" si="9"/>
        <v>0</v>
      </c>
    </row>
    <row r="2799">
      <c r="A2799" s="28">
        <v>47.0</v>
      </c>
      <c r="B2799" s="28">
        <v>22.0</v>
      </c>
      <c r="C2799" s="28">
        <v>53.4908447446044</v>
      </c>
      <c r="D2799" s="28">
        <v>9.99402787282451</v>
      </c>
      <c r="E2799" s="28" t="s">
        <v>15</v>
      </c>
      <c r="F2799" s="28" t="s">
        <v>168</v>
      </c>
      <c r="G2799" s="38"/>
      <c r="H2799" s="38"/>
      <c r="J2799" s="31">
        <f t="shared" si="9"/>
        <v>0</v>
      </c>
    </row>
    <row r="2800">
      <c r="A2800" s="28">
        <v>47.0</v>
      </c>
      <c r="B2800" s="28">
        <v>23.0</v>
      </c>
      <c r="C2800" s="28">
        <v>53.490832217429</v>
      </c>
      <c r="D2800" s="28">
        <v>9.99426853703187</v>
      </c>
      <c r="E2800" s="28" t="s">
        <v>15</v>
      </c>
      <c r="F2800" s="28" t="s">
        <v>168</v>
      </c>
      <c r="G2800" s="29" t="s">
        <v>40</v>
      </c>
      <c r="H2800" s="30" t="str">
        <f>HYPERLINK("https://www.munzee.com/m/csThanner/1924/", "csThanner/1924")</f>
        <v>csThanner/1924</v>
      </c>
      <c r="J2800" s="31">
        <f t="shared" si="9"/>
        <v>88</v>
      </c>
    </row>
    <row r="2801">
      <c r="A2801" s="28">
        <v>47.0</v>
      </c>
      <c r="B2801" s="28">
        <v>24.0</v>
      </c>
      <c r="C2801" s="28">
        <v>53.4908196902536</v>
      </c>
      <c r="D2801" s="28">
        <v>9.99450920116805</v>
      </c>
      <c r="E2801" s="28" t="s">
        <v>25</v>
      </c>
      <c r="F2801" s="28" t="s">
        <v>14</v>
      </c>
      <c r="G2801" s="38"/>
      <c r="H2801" s="38"/>
      <c r="J2801" s="31">
        <f t="shared" si="9"/>
        <v>0</v>
      </c>
    </row>
    <row r="2802">
      <c r="A2802" s="28">
        <v>47.0</v>
      </c>
      <c r="B2802" s="28">
        <v>25.0</v>
      </c>
      <c r="C2802" s="28">
        <v>53.4908071630782</v>
      </c>
      <c r="D2802" s="28">
        <v>9.99474986523318</v>
      </c>
      <c r="E2802" s="28" t="s">
        <v>25</v>
      </c>
      <c r="F2802" s="28" t="s">
        <v>14</v>
      </c>
      <c r="G2802" s="38"/>
      <c r="H2802" s="38"/>
      <c r="J2802" s="31">
        <f t="shared" si="9"/>
        <v>0</v>
      </c>
    </row>
    <row r="2803">
      <c r="A2803" s="28">
        <v>47.0</v>
      </c>
      <c r="B2803" s="28">
        <v>26.0</v>
      </c>
      <c r="C2803" s="28">
        <v>53.4907946359027</v>
      </c>
      <c r="D2803" s="28">
        <v>9.99499052922726</v>
      </c>
      <c r="E2803" s="28" t="s">
        <v>25</v>
      </c>
      <c r="F2803" s="28" t="s">
        <v>14</v>
      </c>
      <c r="G2803" s="38"/>
      <c r="H2803" s="38"/>
      <c r="J2803" s="31">
        <f t="shared" si="9"/>
        <v>0</v>
      </c>
    </row>
    <row r="2804">
      <c r="A2804" s="28">
        <v>47.0</v>
      </c>
      <c r="B2804" s="28">
        <v>27.0</v>
      </c>
      <c r="C2804" s="28">
        <v>53.4907821087273</v>
      </c>
      <c r="D2804" s="28">
        <v>9.99523119315028</v>
      </c>
      <c r="E2804" s="28" t="s">
        <v>25</v>
      </c>
      <c r="F2804" s="28" t="s">
        <v>14</v>
      </c>
      <c r="G2804" s="38"/>
      <c r="H2804" s="38"/>
      <c r="J2804" s="31">
        <f t="shared" si="9"/>
        <v>0</v>
      </c>
    </row>
    <row r="2805">
      <c r="A2805" s="28">
        <v>47.0</v>
      </c>
      <c r="B2805" s="28">
        <v>28.0</v>
      </c>
      <c r="C2805" s="28">
        <v>53.4907695815519</v>
      </c>
      <c r="D2805" s="28">
        <v>9.99547185700225</v>
      </c>
      <c r="E2805" s="28" t="s">
        <v>25</v>
      </c>
      <c r="F2805" s="28" t="s">
        <v>14</v>
      </c>
      <c r="G2805" s="38"/>
      <c r="H2805" s="38"/>
      <c r="J2805" s="31">
        <f t="shared" si="9"/>
        <v>0</v>
      </c>
    </row>
    <row r="2806">
      <c r="A2806" s="28">
        <v>47.0</v>
      </c>
      <c r="B2806" s="28">
        <v>29.0</v>
      </c>
      <c r="C2806" s="28">
        <v>53.4907570543764</v>
      </c>
      <c r="D2806" s="28">
        <v>9.99571252078305</v>
      </c>
      <c r="E2806" s="28" t="s">
        <v>15</v>
      </c>
      <c r="F2806" s="28" t="s">
        <v>168</v>
      </c>
      <c r="G2806" s="29" t="s">
        <v>40</v>
      </c>
      <c r="H2806" s="30" t="str">
        <f>HYPERLINK("https://www.munzee.com/m/csThanner/1926/", "csThanner/1926")</f>
        <v>csThanner/1926</v>
      </c>
      <c r="J2806" s="31">
        <f t="shared" si="9"/>
        <v>88</v>
      </c>
    </row>
    <row r="2807">
      <c r="A2807" s="28">
        <v>47.0</v>
      </c>
      <c r="B2807" s="28">
        <v>30.0</v>
      </c>
      <c r="C2807" s="28">
        <v>53.490744527201</v>
      </c>
      <c r="D2807" s="28">
        <v>9.9959531844928</v>
      </c>
      <c r="E2807" s="28" t="s">
        <v>15</v>
      </c>
      <c r="F2807" s="28" t="s">
        <v>168</v>
      </c>
      <c r="G2807" s="38"/>
      <c r="H2807" s="38"/>
      <c r="J2807" s="31">
        <f t="shared" si="9"/>
        <v>0</v>
      </c>
    </row>
    <row r="2808">
      <c r="A2808" s="28">
        <v>47.0</v>
      </c>
      <c r="B2808" s="28">
        <v>31.0</v>
      </c>
      <c r="C2808" s="28">
        <v>53.4907320000256</v>
      </c>
      <c r="D2808" s="28">
        <v>9.99619384813149</v>
      </c>
      <c r="E2808" s="28" t="s">
        <v>15</v>
      </c>
      <c r="F2808" s="28" t="s">
        <v>168</v>
      </c>
      <c r="G2808" s="38"/>
      <c r="H2808" s="38"/>
      <c r="J2808" s="31">
        <f t="shared" si="9"/>
        <v>0</v>
      </c>
    </row>
    <row r="2809">
      <c r="A2809" s="28">
        <v>47.0</v>
      </c>
      <c r="B2809" s="28">
        <v>32.0</v>
      </c>
      <c r="C2809" s="28">
        <v>53.4907194728502</v>
      </c>
      <c r="D2809" s="28">
        <v>9.99643451169902</v>
      </c>
      <c r="E2809" s="28" t="s">
        <v>25</v>
      </c>
      <c r="F2809" s="28" t="s">
        <v>14</v>
      </c>
      <c r="G2809" s="38"/>
      <c r="H2809" s="38"/>
      <c r="J2809" s="31">
        <f t="shared" si="9"/>
        <v>0</v>
      </c>
    </row>
    <row r="2810">
      <c r="A2810" s="28">
        <v>47.0</v>
      </c>
      <c r="B2810" s="28">
        <v>33.0</v>
      </c>
      <c r="C2810" s="28">
        <v>53.4907069456747</v>
      </c>
      <c r="D2810" s="28">
        <v>9.99667517519549</v>
      </c>
      <c r="E2810" s="28" t="s">
        <v>25</v>
      </c>
      <c r="F2810" s="28" t="s">
        <v>14</v>
      </c>
      <c r="G2810" s="38"/>
      <c r="H2810" s="38"/>
      <c r="J2810" s="31">
        <f t="shared" si="9"/>
        <v>0</v>
      </c>
    </row>
    <row r="2811">
      <c r="A2811" s="28">
        <v>47.0</v>
      </c>
      <c r="B2811" s="28">
        <v>34.0</v>
      </c>
      <c r="C2811" s="28">
        <v>53.4906944184993</v>
      </c>
      <c r="D2811" s="28">
        <v>9.9969158386209</v>
      </c>
      <c r="E2811" s="28" t="s">
        <v>25</v>
      </c>
      <c r="F2811" s="28" t="s">
        <v>14</v>
      </c>
      <c r="G2811" s="38"/>
      <c r="H2811" s="38"/>
      <c r="J2811" s="31">
        <f t="shared" si="9"/>
        <v>0</v>
      </c>
    </row>
    <row r="2812">
      <c r="A2812" s="28">
        <v>47.0</v>
      </c>
      <c r="B2812" s="28">
        <v>35.0</v>
      </c>
      <c r="C2812" s="28">
        <v>53.4906818913239</v>
      </c>
      <c r="D2812" s="28">
        <v>9.99715650197526</v>
      </c>
      <c r="E2812" s="28" t="s">
        <v>15</v>
      </c>
      <c r="F2812" s="28" t="s">
        <v>168</v>
      </c>
      <c r="G2812" s="29" t="s">
        <v>40</v>
      </c>
      <c r="H2812" s="30" t="str">
        <f>HYPERLINK("https://www.munzee.com/m/csThanner/1927/", "csThanner/1927")</f>
        <v>csThanner/1927</v>
      </c>
      <c r="J2812" s="31">
        <f t="shared" si="9"/>
        <v>88</v>
      </c>
    </row>
    <row r="2813">
      <c r="A2813" s="28">
        <v>47.0</v>
      </c>
      <c r="B2813" s="28">
        <v>36.0</v>
      </c>
      <c r="C2813" s="28">
        <v>53.4906693641485</v>
      </c>
      <c r="D2813" s="28">
        <v>9.99739716525846</v>
      </c>
      <c r="E2813" s="28" t="s">
        <v>15</v>
      </c>
      <c r="F2813" s="28" t="s">
        <v>168</v>
      </c>
      <c r="G2813" s="38"/>
      <c r="H2813" s="38"/>
      <c r="J2813" s="31">
        <f t="shared" si="9"/>
        <v>0</v>
      </c>
    </row>
    <row r="2814">
      <c r="A2814" s="28">
        <v>47.0</v>
      </c>
      <c r="B2814" s="28">
        <v>37.0</v>
      </c>
      <c r="C2814" s="28">
        <v>53.4906568369731</v>
      </c>
      <c r="D2814" s="28">
        <v>9.9976378284706</v>
      </c>
      <c r="E2814" s="28" t="s">
        <v>15</v>
      </c>
      <c r="F2814" s="28" t="s">
        <v>168</v>
      </c>
      <c r="G2814" s="38"/>
      <c r="H2814" s="38"/>
      <c r="J2814" s="31">
        <f t="shared" si="9"/>
        <v>0</v>
      </c>
    </row>
    <row r="2815">
      <c r="A2815" s="28">
        <v>47.0</v>
      </c>
      <c r="B2815" s="28">
        <v>38.0</v>
      </c>
      <c r="C2815" s="28">
        <v>53.4906443097976</v>
      </c>
      <c r="D2815" s="28">
        <v>9.99787849161157</v>
      </c>
      <c r="E2815" s="28" t="s">
        <v>15</v>
      </c>
      <c r="F2815" s="28" t="s">
        <v>168</v>
      </c>
      <c r="G2815" s="29" t="s">
        <v>40</v>
      </c>
      <c r="H2815" s="30" t="str">
        <f>HYPERLINK("https://www.munzee.com/m/csThanner/1929/", "csThanner/1929")</f>
        <v>csThanner/1929</v>
      </c>
      <c r="J2815" s="31">
        <f t="shared" si="9"/>
        <v>88</v>
      </c>
    </row>
    <row r="2816">
      <c r="A2816" s="28">
        <v>47.0</v>
      </c>
      <c r="B2816" s="28">
        <v>39.0</v>
      </c>
      <c r="C2816" s="28">
        <v>53.4906317826222</v>
      </c>
      <c r="D2816" s="28">
        <v>9.99811915468149</v>
      </c>
      <c r="E2816" s="28" t="s">
        <v>25</v>
      </c>
      <c r="F2816" s="28" t="s">
        <v>14</v>
      </c>
      <c r="G2816" s="38"/>
      <c r="H2816" s="38"/>
      <c r="J2816" s="31">
        <f t="shared" si="9"/>
        <v>0</v>
      </c>
    </row>
    <row r="2817">
      <c r="A2817" s="28">
        <v>47.0</v>
      </c>
      <c r="B2817" s="28">
        <v>40.0</v>
      </c>
      <c r="C2817" s="28">
        <v>53.4906192554468</v>
      </c>
      <c r="D2817" s="28">
        <v>9.99835981768035</v>
      </c>
      <c r="E2817" s="28" t="s">
        <v>25</v>
      </c>
      <c r="F2817" s="28" t="s">
        <v>14</v>
      </c>
      <c r="G2817" s="38"/>
      <c r="H2817" s="38"/>
      <c r="J2817" s="31">
        <f t="shared" si="9"/>
        <v>0</v>
      </c>
    </row>
    <row r="2818">
      <c r="A2818" s="28">
        <v>47.0</v>
      </c>
      <c r="B2818" s="28">
        <v>41.0</v>
      </c>
      <c r="C2818" s="28">
        <v>53.4906067282713</v>
      </c>
      <c r="D2818" s="28">
        <v>9.99860048060816</v>
      </c>
      <c r="E2818" s="28" t="s">
        <v>15</v>
      </c>
      <c r="F2818" s="28" t="s">
        <v>168</v>
      </c>
      <c r="G2818" s="29" t="s">
        <v>40</v>
      </c>
      <c r="H2818" s="30" t="str">
        <f>HYPERLINK("https://www.munzee.com/m/csThanner/1931/", "csThanner/1931")</f>
        <v>csThanner/1931</v>
      </c>
      <c r="J2818" s="31">
        <f t="shared" si="9"/>
        <v>88</v>
      </c>
    </row>
    <row r="2819">
      <c r="A2819" s="28">
        <v>47.0</v>
      </c>
      <c r="B2819" s="28">
        <v>42.0</v>
      </c>
      <c r="C2819" s="28">
        <v>53.4905942010959</v>
      </c>
      <c r="D2819" s="28">
        <v>9.99884114346491</v>
      </c>
      <c r="E2819" s="28" t="s">
        <v>15</v>
      </c>
      <c r="F2819" s="28" t="s">
        <v>168</v>
      </c>
      <c r="G2819" s="38"/>
      <c r="H2819" s="38"/>
      <c r="J2819" s="31">
        <f t="shared" si="9"/>
        <v>0</v>
      </c>
    </row>
    <row r="2820">
      <c r="A2820" s="28">
        <v>47.0</v>
      </c>
      <c r="B2820" s="28">
        <v>43.0</v>
      </c>
      <c r="C2820" s="28">
        <v>53.4905816739205</v>
      </c>
      <c r="D2820" s="28">
        <v>9.9990818062505</v>
      </c>
      <c r="E2820" s="28" t="s">
        <v>25</v>
      </c>
      <c r="F2820" s="28" t="s">
        <v>14</v>
      </c>
      <c r="G2820" s="38"/>
      <c r="H2820" s="38"/>
      <c r="J2820" s="31">
        <f t="shared" si="9"/>
        <v>0</v>
      </c>
    </row>
    <row r="2821">
      <c r="A2821" s="28">
        <v>47.0</v>
      </c>
      <c r="B2821" s="28">
        <v>44.0</v>
      </c>
      <c r="C2821" s="28">
        <v>53.490569146745</v>
      </c>
      <c r="D2821" s="28">
        <v>9.99932246896503</v>
      </c>
      <c r="E2821" s="28" t="s">
        <v>25</v>
      </c>
      <c r="F2821" s="28" t="s">
        <v>14</v>
      </c>
      <c r="G2821" s="38"/>
      <c r="H2821" s="38"/>
      <c r="J2821" s="31">
        <f t="shared" si="9"/>
        <v>0</v>
      </c>
    </row>
    <row r="2822">
      <c r="A2822" s="28">
        <v>47.0</v>
      </c>
      <c r="B2822" s="28">
        <v>45.0</v>
      </c>
      <c r="C2822" s="28">
        <v>53.4905566195696</v>
      </c>
      <c r="D2822" s="28">
        <v>9.99956313160851</v>
      </c>
      <c r="E2822" s="28" t="s">
        <v>15</v>
      </c>
      <c r="F2822" s="28" t="s">
        <v>168</v>
      </c>
      <c r="G2822" s="29" t="s">
        <v>40</v>
      </c>
      <c r="H2822" s="30" t="str">
        <f>HYPERLINK("https://www.munzee.com/m/csThanner/1939/", "csThanner/1939")</f>
        <v>csThanner/1939</v>
      </c>
      <c r="J2822" s="31">
        <f t="shared" si="9"/>
        <v>88</v>
      </c>
    </row>
    <row r="2823">
      <c r="A2823" s="28">
        <v>47.0</v>
      </c>
      <c r="B2823" s="28">
        <v>46.0</v>
      </c>
      <c r="C2823" s="28">
        <v>53.4905440923942</v>
      </c>
      <c r="D2823" s="28">
        <v>9.99980379418093</v>
      </c>
      <c r="E2823" s="28" t="s">
        <v>15</v>
      </c>
      <c r="F2823" s="28" t="s">
        <v>168</v>
      </c>
      <c r="G2823" s="38"/>
      <c r="H2823" s="38"/>
      <c r="J2823" s="31">
        <f t="shared" si="9"/>
        <v>0</v>
      </c>
    </row>
    <row r="2824">
      <c r="A2824" s="28">
        <v>47.0</v>
      </c>
      <c r="B2824" s="28">
        <v>47.0</v>
      </c>
      <c r="C2824" s="28">
        <v>53.4905315652187</v>
      </c>
      <c r="D2824" s="28">
        <v>10.0000444566821</v>
      </c>
      <c r="E2824" s="28" t="s">
        <v>25</v>
      </c>
      <c r="F2824" s="28" t="s">
        <v>14</v>
      </c>
      <c r="G2824" s="38"/>
      <c r="H2824" s="38"/>
      <c r="J2824" s="31">
        <f t="shared" si="9"/>
        <v>0</v>
      </c>
    </row>
    <row r="2825">
      <c r="A2825" s="28">
        <v>47.0</v>
      </c>
      <c r="B2825" s="28">
        <v>48.0</v>
      </c>
      <c r="C2825" s="28">
        <v>53.4905190380433</v>
      </c>
      <c r="D2825" s="28">
        <v>10.0002851191123</v>
      </c>
      <c r="E2825" s="28" t="s">
        <v>25</v>
      </c>
      <c r="F2825" s="28" t="s">
        <v>14</v>
      </c>
      <c r="G2825" s="38"/>
      <c r="H2825" s="38"/>
      <c r="J2825" s="31">
        <f t="shared" si="9"/>
        <v>0</v>
      </c>
    </row>
    <row r="2826">
      <c r="A2826" s="28">
        <v>47.0</v>
      </c>
      <c r="B2826" s="28">
        <v>49.0</v>
      </c>
      <c r="C2826" s="28">
        <v>53.4905065108679</v>
      </c>
      <c r="D2826" s="28">
        <v>10.0005257814714</v>
      </c>
      <c r="E2826" s="28" t="s">
        <v>15</v>
      </c>
      <c r="F2826" s="28" t="s">
        <v>168</v>
      </c>
      <c r="G2826" s="38"/>
      <c r="H2826" s="38"/>
      <c r="J2826" s="31">
        <f t="shared" si="9"/>
        <v>0</v>
      </c>
    </row>
    <row r="2827">
      <c r="A2827" s="28">
        <v>47.0</v>
      </c>
      <c r="B2827" s="28">
        <v>50.0</v>
      </c>
      <c r="C2827" s="28">
        <v>53.4904939836925</v>
      </c>
      <c r="D2827" s="28">
        <v>10.0007664437594</v>
      </c>
      <c r="E2827" s="28" t="s">
        <v>15</v>
      </c>
      <c r="F2827" s="28" t="s">
        <v>168</v>
      </c>
      <c r="G2827" s="38"/>
      <c r="H2827" s="38"/>
      <c r="J2827" s="31">
        <f t="shared" si="9"/>
        <v>0</v>
      </c>
    </row>
    <row r="2828">
      <c r="A2828" s="28">
        <v>47.0</v>
      </c>
      <c r="B2828" s="28">
        <v>51.0</v>
      </c>
      <c r="C2828" s="28">
        <v>53.4904814565171</v>
      </c>
      <c r="D2828" s="28">
        <v>10.0010071059763</v>
      </c>
      <c r="E2828" s="28" t="s">
        <v>15</v>
      </c>
      <c r="F2828" s="28" t="s">
        <v>168</v>
      </c>
      <c r="G2828" s="38"/>
      <c r="H2828" s="38"/>
      <c r="J2828" s="31">
        <f t="shared" si="9"/>
        <v>0</v>
      </c>
    </row>
    <row r="2829">
      <c r="A2829" s="28">
        <v>47.0</v>
      </c>
      <c r="B2829" s="28">
        <v>52.0</v>
      </c>
      <c r="C2829" s="28">
        <v>53.4904689293416</v>
      </c>
      <c r="D2829" s="28">
        <v>10.0012477681221</v>
      </c>
      <c r="E2829" s="28" t="s">
        <v>25</v>
      </c>
      <c r="F2829" s="28" t="s">
        <v>14</v>
      </c>
      <c r="G2829" s="38"/>
      <c r="H2829" s="38"/>
      <c r="J2829" s="31">
        <f t="shared" si="9"/>
        <v>0</v>
      </c>
    </row>
    <row r="2830">
      <c r="A2830" s="28">
        <v>47.0</v>
      </c>
      <c r="B2830" s="28">
        <v>53.0</v>
      </c>
      <c r="C2830" s="28">
        <v>53.4904564021662</v>
      </c>
      <c r="D2830" s="28">
        <v>10.001488430197</v>
      </c>
      <c r="E2830" s="28" t="s">
        <v>25</v>
      </c>
      <c r="F2830" s="28" t="s">
        <v>14</v>
      </c>
      <c r="G2830" s="38"/>
      <c r="H2830" s="38"/>
      <c r="J2830" s="31">
        <f t="shared" si="9"/>
        <v>0</v>
      </c>
    </row>
    <row r="2831">
      <c r="A2831" s="28">
        <v>47.0</v>
      </c>
      <c r="B2831" s="28">
        <v>54.0</v>
      </c>
      <c r="C2831" s="28">
        <v>53.4904438749908</v>
      </c>
      <c r="D2831" s="28">
        <v>10.0017290922006</v>
      </c>
      <c r="E2831" s="28" t="s">
        <v>15</v>
      </c>
      <c r="F2831" s="28" t="s">
        <v>168</v>
      </c>
      <c r="G2831" s="38"/>
      <c r="H2831" s="38"/>
      <c r="J2831" s="31">
        <f t="shared" si="9"/>
        <v>0</v>
      </c>
    </row>
    <row r="2832">
      <c r="A2832" s="28">
        <v>47.0</v>
      </c>
      <c r="B2832" s="28">
        <v>55.0</v>
      </c>
      <c r="C2832" s="28">
        <v>53.4904313478153</v>
      </c>
      <c r="D2832" s="28">
        <v>10.0019697541332</v>
      </c>
      <c r="E2832" s="28" t="s">
        <v>15</v>
      </c>
      <c r="F2832" s="28" t="s">
        <v>168</v>
      </c>
      <c r="G2832" s="38"/>
      <c r="H2832" s="38"/>
      <c r="J2832" s="31">
        <f t="shared" si="9"/>
        <v>0</v>
      </c>
    </row>
    <row r="2833">
      <c r="A2833" s="28">
        <v>47.0</v>
      </c>
      <c r="B2833" s="28">
        <v>56.0</v>
      </c>
      <c r="C2833" s="28">
        <v>53.4904188206399</v>
      </c>
      <c r="D2833" s="28">
        <v>10.0022104159947</v>
      </c>
      <c r="E2833" s="28" t="s">
        <v>15</v>
      </c>
      <c r="F2833" s="28" t="s">
        <v>168</v>
      </c>
      <c r="G2833" s="38"/>
      <c r="H2833" s="38"/>
      <c r="J2833" s="31">
        <f t="shared" si="9"/>
        <v>0</v>
      </c>
    </row>
    <row r="2834">
      <c r="A2834" s="28">
        <v>47.0</v>
      </c>
      <c r="B2834" s="28">
        <v>57.0</v>
      </c>
      <c r="C2834" s="28">
        <v>53.4904062934645</v>
      </c>
      <c r="D2834" s="28">
        <v>10.0024510777852</v>
      </c>
      <c r="E2834" s="28" t="s">
        <v>15</v>
      </c>
      <c r="F2834" s="28" t="s">
        <v>168</v>
      </c>
      <c r="G2834" s="38"/>
      <c r="H2834" s="38"/>
      <c r="J2834" s="31">
        <f t="shared" si="9"/>
        <v>0</v>
      </c>
    </row>
    <row r="2835">
      <c r="A2835" s="28">
        <v>47.0</v>
      </c>
      <c r="B2835" s="28">
        <v>58.0</v>
      </c>
      <c r="C2835" s="28">
        <v>53.4903937662891</v>
      </c>
      <c r="D2835" s="28">
        <v>10.0026917395045</v>
      </c>
      <c r="E2835" s="28" t="s">
        <v>15</v>
      </c>
      <c r="F2835" s="28" t="s">
        <v>168</v>
      </c>
      <c r="G2835" s="38"/>
      <c r="H2835" s="38"/>
      <c r="J2835" s="31">
        <f t="shared" si="9"/>
        <v>0</v>
      </c>
    </row>
    <row r="2836">
      <c r="A2836" s="28">
        <v>47.0</v>
      </c>
      <c r="B2836" s="28">
        <v>59.0</v>
      </c>
      <c r="C2836" s="28">
        <v>53.4903812391136</v>
      </c>
      <c r="D2836" s="28">
        <v>10.0029324011528</v>
      </c>
      <c r="E2836" s="28" t="s">
        <v>15</v>
      </c>
      <c r="F2836" s="28" t="s">
        <v>168</v>
      </c>
      <c r="G2836" s="29" t="s">
        <v>1018</v>
      </c>
      <c r="H2836" s="30" t="str">
        <f>HYPERLINK("https://www.munzee.com/m/TheLabGuys/6675/", "TheLabGuys/6675")</f>
        <v>TheLabGuys/6675</v>
      </c>
      <c r="J2836" s="31">
        <f t="shared" si="9"/>
        <v>5</v>
      </c>
    </row>
    <row r="2837">
      <c r="A2837" s="28">
        <v>47.0</v>
      </c>
      <c r="B2837" s="28">
        <v>60.0</v>
      </c>
      <c r="C2837" s="28">
        <v>53.4903687119382</v>
      </c>
      <c r="D2837" s="28">
        <v>10.0031730627299</v>
      </c>
      <c r="E2837" s="28" t="s">
        <v>25</v>
      </c>
      <c r="F2837" s="28" t="s">
        <v>14</v>
      </c>
      <c r="G2837" s="29" t="s">
        <v>164</v>
      </c>
      <c r="H2837" s="35" t="s">
        <v>1019</v>
      </c>
      <c r="J2837" s="31">
        <f t="shared" si="9"/>
        <v>133</v>
      </c>
    </row>
    <row r="2838">
      <c r="A2838" s="28">
        <v>48.0</v>
      </c>
      <c r="B2838" s="28">
        <v>1.0</v>
      </c>
      <c r="C2838" s="28">
        <v>53.4909646317789</v>
      </c>
      <c r="D2838" s="28">
        <v>9.98895285259379</v>
      </c>
      <c r="E2838" s="28" t="s">
        <v>25</v>
      </c>
      <c r="F2838" s="28" t="s">
        <v>14</v>
      </c>
      <c r="G2838" s="29" t="s">
        <v>164</v>
      </c>
      <c r="H2838" s="35" t="s">
        <v>1020</v>
      </c>
      <c r="J2838" s="31">
        <f t="shared" si="9"/>
        <v>133</v>
      </c>
    </row>
    <row r="2839">
      <c r="A2839" s="28">
        <v>48.0</v>
      </c>
      <c r="B2839" s="28">
        <v>2.0</v>
      </c>
      <c r="C2839" s="28">
        <v>53.4909521046035</v>
      </c>
      <c r="D2839" s="28">
        <v>9.98919351748145</v>
      </c>
      <c r="E2839" s="28" t="s">
        <v>15</v>
      </c>
      <c r="F2839" s="28" t="s">
        <v>168</v>
      </c>
      <c r="G2839" s="29"/>
      <c r="H2839" s="38"/>
      <c r="J2839" s="31">
        <f t="shared" si="9"/>
        <v>0</v>
      </c>
    </row>
    <row r="2840">
      <c r="A2840" s="28">
        <v>48.0</v>
      </c>
      <c r="B2840" s="28">
        <v>3.0</v>
      </c>
      <c r="C2840" s="28">
        <v>53.490939577428</v>
      </c>
      <c r="D2840" s="28">
        <v>9.98943418229805</v>
      </c>
      <c r="E2840" s="28" t="s">
        <v>15</v>
      </c>
      <c r="F2840" s="28" t="s">
        <v>168</v>
      </c>
      <c r="G2840" s="38"/>
      <c r="H2840" s="38"/>
      <c r="J2840" s="31">
        <f t="shared" si="9"/>
        <v>0</v>
      </c>
    </row>
    <row r="2841">
      <c r="A2841" s="28">
        <v>48.0</v>
      </c>
      <c r="B2841" s="28">
        <v>4.0</v>
      </c>
      <c r="C2841" s="28">
        <v>53.4909270502526</v>
      </c>
      <c r="D2841" s="28">
        <v>9.98967484704348</v>
      </c>
      <c r="E2841" s="28" t="s">
        <v>15</v>
      </c>
      <c r="F2841" s="28" t="s">
        <v>168</v>
      </c>
      <c r="G2841" s="38"/>
      <c r="H2841" s="38"/>
      <c r="J2841" s="31">
        <f t="shared" si="9"/>
        <v>0</v>
      </c>
    </row>
    <row r="2842">
      <c r="A2842" s="28">
        <v>48.0</v>
      </c>
      <c r="B2842" s="28">
        <v>5.0</v>
      </c>
      <c r="C2842" s="28">
        <v>53.4909145230772</v>
      </c>
      <c r="D2842" s="28">
        <v>9.98991551171786</v>
      </c>
      <c r="E2842" s="28" t="s">
        <v>15</v>
      </c>
      <c r="F2842" s="28" t="s">
        <v>168</v>
      </c>
      <c r="G2842" s="38"/>
      <c r="H2842" s="38"/>
      <c r="J2842" s="31">
        <f t="shared" si="9"/>
        <v>0</v>
      </c>
    </row>
    <row r="2843">
      <c r="A2843" s="28">
        <v>48.0</v>
      </c>
      <c r="B2843" s="28">
        <v>6.0</v>
      </c>
      <c r="C2843" s="28">
        <v>53.4909019959017</v>
      </c>
      <c r="D2843" s="28">
        <v>9.99015617632119</v>
      </c>
      <c r="E2843" s="28" t="s">
        <v>15</v>
      </c>
      <c r="F2843" s="28" t="s">
        <v>168</v>
      </c>
      <c r="G2843" s="38"/>
      <c r="H2843" s="38"/>
      <c r="J2843" s="31">
        <f t="shared" si="9"/>
        <v>0</v>
      </c>
    </row>
    <row r="2844">
      <c r="A2844" s="28">
        <v>48.0</v>
      </c>
      <c r="B2844" s="28">
        <v>7.0</v>
      </c>
      <c r="C2844" s="28">
        <v>53.4908894687263</v>
      </c>
      <c r="D2844" s="28">
        <v>9.99039684085346</v>
      </c>
      <c r="E2844" s="28" t="s">
        <v>15</v>
      </c>
      <c r="F2844" s="28" t="s">
        <v>168</v>
      </c>
      <c r="G2844" s="38"/>
      <c r="H2844" s="38"/>
      <c r="J2844" s="31">
        <f t="shared" si="9"/>
        <v>0</v>
      </c>
    </row>
    <row r="2845">
      <c r="A2845" s="28">
        <v>48.0</v>
      </c>
      <c r="B2845" s="28">
        <v>8.0</v>
      </c>
      <c r="C2845" s="28">
        <v>53.4908769415509</v>
      </c>
      <c r="D2845" s="28">
        <v>9.99063750531456</v>
      </c>
      <c r="E2845" s="28" t="s">
        <v>25</v>
      </c>
      <c r="F2845" s="28" t="s">
        <v>14</v>
      </c>
      <c r="G2845" s="38"/>
      <c r="H2845" s="38"/>
      <c r="J2845" s="31">
        <f t="shared" si="9"/>
        <v>0</v>
      </c>
    </row>
    <row r="2846">
      <c r="A2846" s="28">
        <v>48.0</v>
      </c>
      <c r="B2846" s="28">
        <v>9.0</v>
      </c>
      <c r="C2846" s="28">
        <v>53.4908644143754</v>
      </c>
      <c r="D2846" s="28">
        <v>9.99087816970461</v>
      </c>
      <c r="E2846" s="28" t="s">
        <v>25</v>
      </c>
      <c r="F2846" s="28" t="s">
        <v>14</v>
      </c>
      <c r="G2846" s="38"/>
      <c r="H2846" s="38"/>
      <c r="J2846" s="31">
        <f t="shared" si="9"/>
        <v>0</v>
      </c>
    </row>
    <row r="2847">
      <c r="A2847" s="28">
        <v>48.0</v>
      </c>
      <c r="B2847" s="28">
        <v>10.0</v>
      </c>
      <c r="C2847" s="28">
        <v>53.4908518872</v>
      </c>
      <c r="D2847" s="28">
        <v>9.99111883402361</v>
      </c>
      <c r="E2847" s="28" t="s">
        <v>25</v>
      </c>
      <c r="F2847" s="28" t="s">
        <v>14</v>
      </c>
      <c r="G2847" s="38"/>
      <c r="H2847" s="38"/>
      <c r="J2847" s="31">
        <f t="shared" si="9"/>
        <v>0</v>
      </c>
    </row>
    <row r="2848">
      <c r="A2848" s="28">
        <v>48.0</v>
      </c>
      <c r="B2848" s="28">
        <v>11.0</v>
      </c>
      <c r="C2848" s="28">
        <v>53.4908393600246</v>
      </c>
      <c r="D2848" s="28">
        <v>9.99135949827143</v>
      </c>
      <c r="E2848" s="28" t="s">
        <v>25</v>
      </c>
      <c r="F2848" s="28" t="s">
        <v>14</v>
      </c>
      <c r="G2848" s="38"/>
      <c r="H2848" s="38"/>
      <c r="J2848" s="31">
        <f t="shared" si="9"/>
        <v>0</v>
      </c>
    </row>
    <row r="2849">
      <c r="A2849" s="28">
        <v>48.0</v>
      </c>
      <c r="B2849" s="28">
        <v>12.0</v>
      </c>
      <c r="C2849" s="28">
        <v>53.4908268328492</v>
      </c>
      <c r="D2849" s="28">
        <v>9.9916001624482</v>
      </c>
      <c r="E2849" s="28" t="s">
        <v>25</v>
      </c>
      <c r="F2849" s="28" t="s">
        <v>14</v>
      </c>
      <c r="G2849" s="38"/>
      <c r="H2849" s="38"/>
      <c r="J2849" s="31">
        <f t="shared" si="9"/>
        <v>0</v>
      </c>
    </row>
    <row r="2850">
      <c r="A2850" s="28">
        <v>48.0</v>
      </c>
      <c r="B2850" s="28">
        <v>13.0</v>
      </c>
      <c r="C2850" s="28">
        <v>53.4908143056737</v>
      </c>
      <c r="D2850" s="28">
        <v>9.99184082655392</v>
      </c>
      <c r="E2850" s="28" t="s">
        <v>15</v>
      </c>
      <c r="F2850" s="28" t="s">
        <v>168</v>
      </c>
      <c r="G2850" s="38"/>
      <c r="H2850" s="38"/>
      <c r="J2850" s="31">
        <f t="shared" si="9"/>
        <v>0</v>
      </c>
    </row>
    <row r="2851">
      <c r="A2851" s="28">
        <v>48.0</v>
      </c>
      <c r="B2851" s="28">
        <v>14.0</v>
      </c>
      <c r="C2851" s="28">
        <v>53.4908017784983</v>
      </c>
      <c r="D2851" s="28">
        <v>9.99208149058858</v>
      </c>
      <c r="E2851" s="28" t="s">
        <v>25</v>
      </c>
      <c r="F2851" s="28" t="s">
        <v>14</v>
      </c>
      <c r="G2851" s="38"/>
      <c r="H2851" s="38"/>
      <c r="J2851" s="31">
        <f t="shared" si="9"/>
        <v>0</v>
      </c>
    </row>
    <row r="2852">
      <c r="A2852" s="28">
        <v>48.0</v>
      </c>
      <c r="B2852" s="28">
        <v>15.0</v>
      </c>
      <c r="C2852" s="28">
        <v>53.4907892513229</v>
      </c>
      <c r="D2852" s="28">
        <v>9.99232215455208</v>
      </c>
      <c r="E2852" s="28" t="s">
        <v>25</v>
      </c>
      <c r="F2852" s="28" t="s">
        <v>14</v>
      </c>
      <c r="G2852" s="38"/>
      <c r="H2852" s="38"/>
      <c r="J2852" s="31">
        <f t="shared" si="9"/>
        <v>0</v>
      </c>
    </row>
    <row r="2853">
      <c r="A2853" s="28">
        <v>48.0</v>
      </c>
      <c r="B2853" s="28">
        <v>16.0</v>
      </c>
      <c r="C2853" s="28">
        <v>53.4907767241475</v>
      </c>
      <c r="D2853" s="28">
        <v>9.99256281844452</v>
      </c>
      <c r="E2853" s="28" t="s">
        <v>25</v>
      </c>
      <c r="F2853" s="28" t="s">
        <v>14</v>
      </c>
      <c r="G2853" s="38"/>
      <c r="H2853" s="38"/>
      <c r="J2853" s="31">
        <f t="shared" si="9"/>
        <v>0</v>
      </c>
    </row>
    <row r="2854">
      <c r="A2854" s="28">
        <v>48.0</v>
      </c>
      <c r="B2854" s="28">
        <v>17.0</v>
      </c>
      <c r="C2854" s="28">
        <v>53.490764196972</v>
      </c>
      <c r="D2854" s="28">
        <v>9.9928034822658</v>
      </c>
      <c r="E2854" s="28" t="s">
        <v>25</v>
      </c>
      <c r="F2854" s="28" t="s">
        <v>14</v>
      </c>
      <c r="G2854" s="38"/>
      <c r="H2854" s="38"/>
      <c r="J2854" s="31">
        <f t="shared" si="9"/>
        <v>0</v>
      </c>
    </row>
    <row r="2855">
      <c r="A2855" s="28">
        <v>48.0</v>
      </c>
      <c r="B2855" s="28">
        <v>18.0</v>
      </c>
      <c r="C2855" s="28">
        <v>53.4907516697966</v>
      </c>
      <c r="D2855" s="28">
        <v>9.99304414601601</v>
      </c>
      <c r="E2855" s="28" t="s">
        <v>25</v>
      </c>
      <c r="F2855" s="28" t="s">
        <v>14</v>
      </c>
      <c r="G2855" s="38"/>
      <c r="H2855" s="38"/>
      <c r="J2855" s="31">
        <f t="shared" si="9"/>
        <v>0</v>
      </c>
    </row>
    <row r="2856">
      <c r="A2856" s="28">
        <v>48.0</v>
      </c>
      <c r="B2856" s="28">
        <v>19.0</v>
      </c>
      <c r="C2856" s="28">
        <v>53.4907391426212</v>
      </c>
      <c r="D2856" s="28">
        <v>9.99328480969518</v>
      </c>
      <c r="E2856" s="28" t="s">
        <v>25</v>
      </c>
      <c r="F2856" s="28" t="s">
        <v>14</v>
      </c>
      <c r="G2856" s="38"/>
      <c r="H2856" s="38"/>
      <c r="J2856" s="31">
        <f t="shared" si="9"/>
        <v>0</v>
      </c>
    </row>
    <row r="2857">
      <c r="A2857" s="28">
        <v>48.0</v>
      </c>
      <c r="B2857" s="28">
        <v>20.0</v>
      </c>
      <c r="C2857" s="28">
        <v>53.4907266154457</v>
      </c>
      <c r="D2857" s="28">
        <v>9.99352547330329</v>
      </c>
      <c r="E2857" s="28" t="s">
        <v>15</v>
      </c>
      <c r="F2857" s="28" t="s">
        <v>168</v>
      </c>
      <c r="G2857" s="38"/>
      <c r="H2857" s="38"/>
      <c r="J2857" s="31">
        <f t="shared" si="9"/>
        <v>0</v>
      </c>
    </row>
    <row r="2858">
      <c r="A2858" s="28">
        <v>48.0</v>
      </c>
      <c r="B2858" s="28">
        <v>21.0</v>
      </c>
      <c r="C2858" s="28">
        <v>53.4907140882703</v>
      </c>
      <c r="D2858" s="28">
        <v>9.99376613684035</v>
      </c>
      <c r="E2858" s="28" t="s">
        <v>15</v>
      </c>
      <c r="F2858" s="28" t="s">
        <v>168</v>
      </c>
      <c r="G2858" s="38"/>
      <c r="H2858" s="38"/>
      <c r="J2858" s="31">
        <f t="shared" si="9"/>
        <v>0</v>
      </c>
    </row>
    <row r="2859">
      <c r="A2859" s="28">
        <v>48.0</v>
      </c>
      <c r="B2859" s="28">
        <v>22.0</v>
      </c>
      <c r="C2859" s="28">
        <v>53.4907015610949</v>
      </c>
      <c r="D2859" s="28">
        <v>9.99400680030623</v>
      </c>
      <c r="E2859" s="28" t="s">
        <v>15</v>
      </c>
      <c r="F2859" s="28" t="s">
        <v>168</v>
      </c>
      <c r="G2859" s="38"/>
      <c r="H2859" s="38"/>
      <c r="J2859" s="31">
        <f t="shared" si="9"/>
        <v>0</v>
      </c>
    </row>
    <row r="2860">
      <c r="A2860" s="28">
        <v>48.0</v>
      </c>
      <c r="B2860" s="28">
        <v>23.0</v>
      </c>
      <c r="C2860" s="28">
        <v>53.4906890339194</v>
      </c>
      <c r="D2860" s="28">
        <v>9.99424746370107</v>
      </c>
      <c r="E2860" s="28" t="s">
        <v>15</v>
      </c>
      <c r="F2860" s="28" t="s">
        <v>168</v>
      </c>
      <c r="G2860" s="38"/>
      <c r="H2860" s="38"/>
      <c r="J2860" s="31">
        <f t="shared" si="9"/>
        <v>0</v>
      </c>
    </row>
    <row r="2861">
      <c r="A2861" s="28">
        <v>48.0</v>
      </c>
      <c r="B2861" s="28">
        <v>24.0</v>
      </c>
      <c r="C2861" s="28">
        <v>53.490676506744</v>
      </c>
      <c r="D2861" s="28">
        <v>9.99448812702485</v>
      </c>
      <c r="E2861" s="28" t="s">
        <v>25</v>
      </c>
      <c r="F2861" s="28" t="s">
        <v>14</v>
      </c>
      <c r="G2861" s="38"/>
      <c r="H2861" s="38"/>
      <c r="J2861" s="31">
        <f t="shared" si="9"/>
        <v>0</v>
      </c>
    </row>
    <row r="2862">
      <c r="A2862" s="28">
        <v>48.0</v>
      </c>
      <c r="B2862" s="28">
        <v>25.0</v>
      </c>
      <c r="C2862" s="28">
        <v>53.4906639795686</v>
      </c>
      <c r="D2862" s="28">
        <v>9.99472879027757</v>
      </c>
      <c r="E2862" s="28" t="s">
        <v>25</v>
      </c>
      <c r="F2862" s="28" t="s">
        <v>14</v>
      </c>
      <c r="G2862" s="38"/>
      <c r="H2862" s="38"/>
      <c r="J2862" s="31">
        <f t="shared" si="9"/>
        <v>0</v>
      </c>
    </row>
    <row r="2863">
      <c r="A2863" s="28">
        <v>48.0</v>
      </c>
      <c r="B2863" s="28">
        <v>26.0</v>
      </c>
      <c r="C2863" s="28">
        <v>53.4906514523932</v>
      </c>
      <c r="D2863" s="28">
        <v>9.99496945345913</v>
      </c>
      <c r="E2863" s="28" t="s">
        <v>25</v>
      </c>
      <c r="F2863" s="28" t="s">
        <v>14</v>
      </c>
      <c r="G2863" s="38"/>
      <c r="H2863" s="38"/>
      <c r="J2863" s="31">
        <f t="shared" si="9"/>
        <v>0</v>
      </c>
    </row>
    <row r="2864">
      <c r="A2864" s="28">
        <v>48.0</v>
      </c>
      <c r="B2864" s="28">
        <v>27.0</v>
      </c>
      <c r="C2864" s="28">
        <v>53.4906389252177</v>
      </c>
      <c r="D2864" s="28">
        <v>9.99521011656963</v>
      </c>
      <c r="E2864" s="28" t="s">
        <v>25</v>
      </c>
      <c r="F2864" s="28" t="s">
        <v>14</v>
      </c>
      <c r="G2864" s="38"/>
      <c r="H2864" s="38"/>
      <c r="J2864" s="31">
        <f t="shared" si="9"/>
        <v>0</v>
      </c>
    </row>
    <row r="2865">
      <c r="A2865" s="28">
        <v>48.0</v>
      </c>
      <c r="B2865" s="28">
        <v>28.0</v>
      </c>
      <c r="C2865" s="28">
        <v>53.4906263980423</v>
      </c>
      <c r="D2865" s="28">
        <v>9.99545077960897</v>
      </c>
      <c r="E2865" s="28" t="s">
        <v>25</v>
      </c>
      <c r="F2865" s="28" t="s">
        <v>14</v>
      </c>
      <c r="G2865" s="38"/>
      <c r="H2865" s="38"/>
      <c r="J2865" s="31">
        <f t="shared" si="9"/>
        <v>0</v>
      </c>
    </row>
    <row r="2866">
      <c r="A2866" s="28">
        <v>48.0</v>
      </c>
      <c r="B2866" s="28">
        <v>29.0</v>
      </c>
      <c r="C2866" s="28">
        <v>53.4906138708669</v>
      </c>
      <c r="D2866" s="28">
        <v>9.99569144257725</v>
      </c>
      <c r="E2866" s="28" t="s">
        <v>25</v>
      </c>
      <c r="F2866" s="28" t="s">
        <v>14</v>
      </c>
      <c r="G2866" s="38"/>
      <c r="H2866" s="38"/>
      <c r="J2866" s="31">
        <f t="shared" si="9"/>
        <v>0</v>
      </c>
    </row>
    <row r="2867">
      <c r="A2867" s="28">
        <v>48.0</v>
      </c>
      <c r="B2867" s="28">
        <v>30.0</v>
      </c>
      <c r="C2867" s="28">
        <v>53.4906013436915</v>
      </c>
      <c r="D2867" s="28">
        <v>9.99593210547448</v>
      </c>
      <c r="E2867" s="28" t="s">
        <v>15</v>
      </c>
      <c r="F2867" s="28" t="s">
        <v>168</v>
      </c>
      <c r="G2867" s="38"/>
      <c r="H2867" s="38"/>
      <c r="J2867" s="31">
        <f t="shared" si="9"/>
        <v>0</v>
      </c>
    </row>
    <row r="2868">
      <c r="A2868" s="28">
        <v>48.0</v>
      </c>
      <c r="B2868" s="28">
        <v>31.0</v>
      </c>
      <c r="C2868" s="28">
        <v>53.490588816516</v>
      </c>
      <c r="D2868" s="28">
        <v>9.99617276830065</v>
      </c>
      <c r="E2868" s="28" t="s">
        <v>15</v>
      </c>
      <c r="F2868" s="28" t="s">
        <v>168</v>
      </c>
      <c r="G2868" s="38"/>
      <c r="H2868" s="38"/>
      <c r="J2868" s="31">
        <f t="shared" si="9"/>
        <v>0</v>
      </c>
    </row>
    <row r="2869">
      <c r="A2869" s="28">
        <v>48.0</v>
      </c>
      <c r="B2869" s="28">
        <v>32.0</v>
      </c>
      <c r="C2869" s="28">
        <v>53.4905762893406</v>
      </c>
      <c r="D2869" s="28">
        <v>9.99641343105577</v>
      </c>
      <c r="E2869" s="28" t="s">
        <v>25</v>
      </c>
      <c r="F2869" s="28" t="s">
        <v>14</v>
      </c>
      <c r="G2869" s="38"/>
      <c r="H2869" s="38"/>
      <c r="J2869" s="31">
        <f t="shared" si="9"/>
        <v>0</v>
      </c>
    </row>
    <row r="2870">
      <c r="A2870" s="28">
        <v>48.0</v>
      </c>
      <c r="B2870" s="28">
        <v>33.0</v>
      </c>
      <c r="C2870" s="28">
        <v>53.4905637621652</v>
      </c>
      <c r="D2870" s="28">
        <v>9.99665409373972</v>
      </c>
      <c r="E2870" s="28" t="s">
        <v>25</v>
      </c>
      <c r="F2870" s="28" t="s">
        <v>14</v>
      </c>
      <c r="G2870" s="38"/>
      <c r="H2870" s="38"/>
      <c r="J2870" s="31">
        <f t="shared" si="9"/>
        <v>0</v>
      </c>
    </row>
    <row r="2871">
      <c r="A2871" s="28">
        <v>48.0</v>
      </c>
      <c r="B2871" s="28">
        <v>34.0</v>
      </c>
      <c r="C2871" s="28">
        <v>53.4905512349897</v>
      </c>
      <c r="D2871" s="28">
        <v>9.99689475635261</v>
      </c>
      <c r="E2871" s="28" t="s">
        <v>25</v>
      </c>
      <c r="F2871" s="28" t="s">
        <v>14</v>
      </c>
      <c r="G2871" s="38"/>
      <c r="H2871" s="38"/>
      <c r="J2871" s="31">
        <f t="shared" si="9"/>
        <v>0</v>
      </c>
    </row>
    <row r="2872">
      <c r="A2872" s="28">
        <v>48.0</v>
      </c>
      <c r="B2872" s="28">
        <v>35.0</v>
      </c>
      <c r="C2872" s="28">
        <v>53.4905387078143</v>
      </c>
      <c r="D2872" s="28">
        <v>9.99713541889445</v>
      </c>
      <c r="E2872" s="28" t="s">
        <v>15</v>
      </c>
      <c r="F2872" s="28" t="s">
        <v>168</v>
      </c>
      <c r="G2872" s="29" t="s">
        <v>1021</v>
      </c>
      <c r="H2872" s="30" t="str">
        <f>HYPERLINK("https://www.munzee.com/m/BennyKjeldEgon/153", "BennyKjeldEgon/153")</f>
        <v>BennyKjeldEgon/153</v>
      </c>
      <c r="J2872" s="31">
        <f t="shared" si="9"/>
        <v>4</v>
      </c>
    </row>
    <row r="2873">
      <c r="A2873" s="28">
        <v>48.0</v>
      </c>
      <c r="B2873" s="28">
        <v>36.0</v>
      </c>
      <c r="C2873" s="28">
        <v>53.4905261806389</v>
      </c>
      <c r="D2873" s="28">
        <v>9.99737608136513</v>
      </c>
      <c r="E2873" s="28" t="s">
        <v>15</v>
      </c>
      <c r="F2873" s="28" t="s">
        <v>168</v>
      </c>
      <c r="G2873" s="29" t="s">
        <v>1022</v>
      </c>
      <c r="H2873" s="30" t="s">
        <v>1023</v>
      </c>
      <c r="J2873" s="31">
        <f t="shared" si="9"/>
        <v>1</v>
      </c>
    </row>
    <row r="2874">
      <c r="A2874" s="28">
        <v>48.0</v>
      </c>
      <c r="B2874" s="28">
        <v>37.0</v>
      </c>
      <c r="C2874" s="28">
        <v>53.4905136534635</v>
      </c>
      <c r="D2874" s="28">
        <v>9.99761674376475</v>
      </c>
      <c r="E2874" s="28" t="s">
        <v>15</v>
      </c>
      <c r="F2874" s="28" t="s">
        <v>168</v>
      </c>
      <c r="G2874" s="38"/>
      <c r="H2874" s="38"/>
      <c r="J2874" s="31">
        <f t="shared" si="9"/>
        <v>0</v>
      </c>
    </row>
    <row r="2875">
      <c r="A2875" s="28">
        <v>48.0</v>
      </c>
      <c r="B2875" s="28">
        <v>38.0</v>
      </c>
      <c r="C2875" s="28">
        <v>53.490501126288</v>
      </c>
      <c r="D2875" s="28">
        <v>9.99785740609331</v>
      </c>
      <c r="E2875" s="28" t="s">
        <v>15</v>
      </c>
      <c r="F2875" s="28" t="s">
        <v>168</v>
      </c>
      <c r="G2875" s="38"/>
      <c r="H2875" s="38"/>
      <c r="J2875" s="31">
        <f t="shared" si="9"/>
        <v>0</v>
      </c>
    </row>
    <row r="2876">
      <c r="A2876" s="28">
        <v>48.0</v>
      </c>
      <c r="B2876" s="28">
        <v>39.0</v>
      </c>
      <c r="C2876" s="28">
        <v>53.4904885991126</v>
      </c>
      <c r="D2876" s="28">
        <v>9.99809806835082</v>
      </c>
      <c r="E2876" s="28" t="s">
        <v>25</v>
      </c>
      <c r="F2876" s="28" t="s">
        <v>14</v>
      </c>
      <c r="G2876" s="38"/>
      <c r="H2876" s="38"/>
      <c r="J2876" s="31">
        <f t="shared" si="9"/>
        <v>0</v>
      </c>
    </row>
    <row r="2877">
      <c r="A2877" s="28">
        <v>48.0</v>
      </c>
      <c r="B2877" s="28">
        <v>40.0</v>
      </c>
      <c r="C2877" s="28">
        <v>53.4904760719372</v>
      </c>
      <c r="D2877" s="28">
        <v>9.99833873053717</v>
      </c>
      <c r="E2877" s="28" t="s">
        <v>25</v>
      </c>
      <c r="F2877" s="28" t="s">
        <v>14</v>
      </c>
      <c r="G2877" s="38"/>
      <c r="H2877" s="38"/>
      <c r="J2877" s="31">
        <f t="shared" si="9"/>
        <v>0</v>
      </c>
    </row>
    <row r="2878">
      <c r="A2878" s="28">
        <v>48.0</v>
      </c>
      <c r="B2878" s="28">
        <v>41.0</v>
      </c>
      <c r="C2878" s="28">
        <v>53.4904635447618</v>
      </c>
      <c r="D2878" s="28">
        <v>9.99857939265246</v>
      </c>
      <c r="E2878" s="28" t="s">
        <v>15</v>
      </c>
      <c r="F2878" s="28" t="s">
        <v>168</v>
      </c>
      <c r="G2878" s="38"/>
      <c r="H2878" s="38"/>
      <c r="J2878" s="31">
        <f t="shared" si="9"/>
        <v>0</v>
      </c>
    </row>
    <row r="2879">
      <c r="A2879" s="28">
        <v>48.0</v>
      </c>
      <c r="B2879" s="28">
        <v>42.0</v>
      </c>
      <c r="C2879" s="28">
        <v>53.4904510175864</v>
      </c>
      <c r="D2879" s="28">
        <v>9.99882005469669</v>
      </c>
      <c r="E2879" s="28" t="s">
        <v>15</v>
      </c>
      <c r="F2879" s="28" t="s">
        <v>168</v>
      </c>
      <c r="G2879" s="38"/>
      <c r="H2879" s="38"/>
      <c r="J2879" s="31">
        <f t="shared" si="9"/>
        <v>0</v>
      </c>
    </row>
    <row r="2880">
      <c r="A2880" s="28">
        <v>48.0</v>
      </c>
      <c r="B2880" s="28">
        <v>43.0</v>
      </c>
      <c r="C2880" s="28">
        <v>53.4904384904109</v>
      </c>
      <c r="D2880" s="28">
        <v>9.99906071666987</v>
      </c>
      <c r="E2880" s="28" t="s">
        <v>25</v>
      </c>
      <c r="F2880" s="28" t="s">
        <v>14</v>
      </c>
      <c r="G2880" s="38"/>
      <c r="H2880" s="38"/>
      <c r="J2880" s="31">
        <f t="shared" si="9"/>
        <v>0</v>
      </c>
    </row>
    <row r="2881">
      <c r="A2881" s="28">
        <v>48.0</v>
      </c>
      <c r="B2881" s="28">
        <v>44.0</v>
      </c>
      <c r="C2881" s="28">
        <v>53.4904259632355</v>
      </c>
      <c r="D2881" s="28">
        <v>9.99930137857188</v>
      </c>
      <c r="E2881" s="28" t="s">
        <v>25</v>
      </c>
      <c r="F2881" s="28" t="s">
        <v>14</v>
      </c>
      <c r="G2881" s="38"/>
      <c r="H2881" s="38"/>
      <c r="J2881" s="31">
        <f t="shared" si="9"/>
        <v>0</v>
      </c>
    </row>
    <row r="2882">
      <c r="A2882" s="28">
        <v>48.0</v>
      </c>
      <c r="B2882" s="28">
        <v>45.0</v>
      </c>
      <c r="C2882" s="28">
        <v>53.4904134360601</v>
      </c>
      <c r="D2882" s="28">
        <v>9.99954204040284</v>
      </c>
      <c r="E2882" s="28" t="s">
        <v>15</v>
      </c>
      <c r="F2882" s="28" t="s">
        <v>168</v>
      </c>
      <c r="G2882" s="38"/>
      <c r="H2882" s="38"/>
      <c r="J2882" s="31">
        <f t="shared" si="9"/>
        <v>0</v>
      </c>
    </row>
    <row r="2883">
      <c r="A2883" s="28">
        <v>48.0</v>
      </c>
      <c r="B2883" s="28">
        <v>46.0</v>
      </c>
      <c r="C2883" s="28">
        <v>53.4904009088846</v>
      </c>
      <c r="D2883" s="28">
        <v>9.99978270216274</v>
      </c>
      <c r="E2883" s="28" t="s">
        <v>15</v>
      </c>
      <c r="F2883" s="28" t="s">
        <v>168</v>
      </c>
      <c r="G2883" s="38"/>
      <c r="H2883" s="38"/>
      <c r="J2883" s="31">
        <f t="shared" si="9"/>
        <v>0</v>
      </c>
    </row>
    <row r="2884">
      <c r="A2884" s="28">
        <v>48.0</v>
      </c>
      <c r="B2884" s="28">
        <v>47.0</v>
      </c>
      <c r="C2884" s="28">
        <v>53.4903883817092</v>
      </c>
      <c r="D2884" s="28">
        <v>10.0000233638515</v>
      </c>
      <c r="E2884" s="28" t="s">
        <v>25</v>
      </c>
      <c r="F2884" s="28" t="s">
        <v>14</v>
      </c>
      <c r="G2884" s="38"/>
      <c r="H2884" s="38"/>
      <c r="J2884" s="31">
        <f t="shared" si="9"/>
        <v>0</v>
      </c>
    </row>
    <row r="2885">
      <c r="A2885" s="28">
        <v>48.0</v>
      </c>
      <c r="B2885" s="28">
        <v>48.0</v>
      </c>
      <c r="C2885" s="28">
        <v>53.4903758545338</v>
      </c>
      <c r="D2885" s="28">
        <v>10.0002640254692</v>
      </c>
      <c r="E2885" s="28" t="s">
        <v>25</v>
      </c>
      <c r="F2885" s="28" t="s">
        <v>14</v>
      </c>
      <c r="G2885" s="38"/>
      <c r="H2885" s="38"/>
      <c r="J2885" s="31">
        <f t="shared" si="9"/>
        <v>0</v>
      </c>
    </row>
    <row r="2886">
      <c r="A2886" s="28">
        <v>48.0</v>
      </c>
      <c r="B2886" s="28">
        <v>49.0</v>
      </c>
      <c r="C2886" s="28">
        <v>53.4903633273583</v>
      </c>
      <c r="D2886" s="28">
        <v>10.0005046870159</v>
      </c>
      <c r="E2886" s="28" t="s">
        <v>15</v>
      </c>
      <c r="F2886" s="28" t="s">
        <v>168</v>
      </c>
      <c r="G2886" s="38"/>
      <c r="H2886" s="38"/>
      <c r="J2886" s="31">
        <f t="shared" si="9"/>
        <v>0</v>
      </c>
    </row>
    <row r="2887">
      <c r="A2887" s="28">
        <v>48.0</v>
      </c>
      <c r="B2887" s="28">
        <v>50.0</v>
      </c>
      <c r="C2887" s="28">
        <v>53.4903508001829</v>
      </c>
      <c r="D2887" s="28">
        <v>10.0007453484913</v>
      </c>
      <c r="E2887" s="28" t="s">
        <v>15</v>
      </c>
      <c r="F2887" s="28" t="s">
        <v>168</v>
      </c>
      <c r="G2887" s="38"/>
      <c r="H2887" s="38"/>
      <c r="J2887" s="31">
        <f t="shared" si="9"/>
        <v>0</v>
      </c>
    </row>
    <row r="2888">
      <c r="A2888" s="28">
        <v>48.0</v>
      </c>
      <c r="B2888" s="28">
        <v>51.0</v>
      </c>
      <c r="C2888" s="28">
        <v>53.4903382730075</v>
      </c>
      <c r="D2888" s="28">
        <v>10.0009860098957</v>
      </c>
      <c r="E2888" s="28" t="s">
        <v>15</v>
      </c>
      <c r="F2888" s="28" t="s">
        <v>168</v>
      </c>
      <c r="G2888" s="38"/>
      <c r="H2888" s="38"/>
      <c r="J2888" s="31">
        <f t="shared" si="9"/>
        <v>0</v>
      </c>
    </row>
    <row r="2889">
      <c r="A2889" s="28">
        <v>48.0</v>
      </c>
      <c r="B2889" s="28">
        <v>52.0</v>
      </c>
      <c r="C2889" s="28">
        <v>53.4903257458321</v>
      </c>
      <c r="D2889" s="28">
        <v>10.0012266712291</v>
      </c>
      <c r="E2889" s="28" t="s">
        <v>25</v>
      </c>
      <c r="F2889" s="28" t="s">
        <v>14</v>
      </c>
      <c r="G2889" s="38"/>
      <c r="H2889" s="38"/>
      <c r="J2889" s="31">
        <f t="shared" si="9"/>
        <v>0</v>
      </c>
    </row>
    <row r="2890">
      <c r="A2890" s="28">
        <v>48.0</v>
      </c>
      <c r="B2890" s="28">
        <v>53.0</v>
      </c>
      <c r="C2890" s="28">
        <v>53.4903132186566</v>
      </c>
      <c r="D2890" s="28">
        <v>10.0014673324914</v>
      </c>
      <c r="E2890" s="28" t="s">
        <v>25</v>
      </c>
      <c r="F2890" s="28" t="s">
        <v>14</v>
      </c>
      <c r="G2890" s="38"/>
      <c r="H2890" s="38"/>
      <c r="J2890" s="31">
        <f t="shared" si="9"/>
        <v>0</v>
      </c>
    </row>
    <row r="2891">
      <c r="A2891" s="28">
        <v>48.0</v>
      </c>
      <c r="B2891" s="28">
        <v>54.0</v>
      </c>
      <c r="C2891" s="28">
        <v>53.4903006914812</v>
      </c>
      <c r="D2891" s="28">
        <v>10.0017079936826</v>
      </c>
      <c r="E2891" s="28" t="s">
        <v>15</v>
      </c>
      <c r="F2891" s="28" t="s">
        <v>168</v>
      </c>
      <c r="G2891" s="38"/>
      <c r="H2891" s="38"/>
      <c r="J2891" s="31">
        <f t="shared" si="9"/>
        <v>0</v>
      </c>
    </row>
    <row r="2892">
      <c r="A2892" s="28">
        <v>48.0</v>
      </c>
      <c r="B2892" s="28">
        <v>55.0</v>
      </c>
      <c r="C2892" s="28">
        <v>53.4902881643058</v>
      </c>
      <c r="D2892" s="28">
        <v>10.0019486548027</v>
      </c>
      <c r="E2892" s="28" t="s">
        <v>15</v>
      </c>
      <c r="F2892" s="28" t="s">
        <v>168</v>
      </c>
      <c r="G2892" s="38"/>
      <c r="H2892" s="38"/>
      <c r="J2892" s="31">
        <f t="shared" si="9"/>
        <v>0</v>
      </c>
    </row>
    <row r="2893">
      <c r="A2893" s="28">
        <v>48.0</v>
      </c>
      <c r="B2893" s="28">
        <v>56.0</v>
      </c>
      <c r="C2893" s="28">
        <v>53.4902756371304</v>
      </c>
      <c r="D2893" s="28">
        <v>10.0021893158517</v>
      </c>
      <c r="E2893" s="28" t="s">
        <v>15</v>
      </c>
      <c r="F2893" s="28" t="s">
        <v>168</v>
      </c>
      <c r="G2893" s="38"/>
      <c r="H2893" s="38"/>
      <c r="J2893" s="31">
        <f t="shared" si="9"/>
        <v>0</v>
      </c>
    </row>
    <row r="2894">
      <c r="A2894" s="28">
        <v>48.0</v>
      </c>
      <c r="B2894" s="28">
        <v>57.0</v>
      </c>
      <c r="C2894" s="28">
        <v>53.490263109955</v>
      </c>
      <c r="D2894" s="28">
        <v>10.0024299768297</v>
      </c>
      <c r="E2894" s="28" t="s">
        <v>15</v>
      </c>
      <c r="F2894" s="28" t="s">
        <v>168</v>
      </c>
      <c r="G2894" s="38"/>
      <c r="H2894" s="38"/>
      <c r="J2894" s="31">
        <f t="shared" si="9"/>
        <v>0</v>
      </c>
    </row>
    <row r="2895">
      <c r="A2895" s="28">
        <v>48.0</v>
      </c>
      <c r="B2895" s="28">
        <v>58.0</v>
      </c>
      <c r="C2895" s="28">
        <v>53.4902505827795</v>
      </c>
      <c r="D2895" s="28">
        <v>10.0026706377366</v>
      </c>
      <c r="E2895" s="28" t="s">
        <v>15</v>
      </c>
      <c r="F2895" s="28" t="s">
        <v>168</v>
      </c>
      <c r="G2895" s="29" t="s">
        <v>26</v>
      </c>
      <c r="H2895" s="30" t="str">
        <f>HYPERLINK("https://www.munzee.com/m/Elli/6226/", "Elli/6226")</f>
        <v>Elli/6226</v>
      </c>
      <c r="J2895" s="31">
        <f t="shared" si="9"/>
        <v>143</v>
      </c>
    </row>
    <row r="2896">
      <c r="A2896" s="28">
        <v>48.0</v>
      </c>
      <c r="B2896" s="28">
        <v>59.0</v>
      </c>
      <c r="C2896" s="28">
        <v>53.4902380556041</v>
      </c>
      <c r="D2896" s="28">
        <v>10.0029112985723</v>
      </c>
      <c r="E2896" s="28" t="s">
        <v>15</v>
      </c>
      <c r="F2896" s="28" t="s">
        <v>168</v>
      </c>
      <c r="G2896" s="29" t="s">
        <v>1005</v>
      </c>
      <c r="H2896" s="33" t="s">
        <v>1024</v>
      </c>
      <c r="J2896" s="31">
        <f t="shared" si="9"/>
        <v>6</v>
      </c>
    </row>
    <row r="2897">
      <c r="A2897" s="28">
        <v>48.0</v>
      </c>
      <c r="B2897" s="28">
        <v>60.0</v>
      </c>
      <c r="C2897" s="28">
        <v>53.4902255284287</v>
      </c>
      <c r="D2897" s="28">
        <v>10.003151959337</v>
      </c>
      <c r="E2897" s="28" t="s">
        <v>25</v>
      </c>
      <c r="F2897" s="28" t="s">
        <v>14</v>
      </c>
      <c r="G2897" s="29" t="s">
        <v>47</v>
      </c>
      <c r="H2897" s="33" t="s">
        <v>1025</v>
      </c>
      <c r="J2897" s="31">
        <f t="shared" si="9"/>
        <v>44</v>
      </c>
    </row>
    <row r="2898">
      <c r="A2898" s="28">
        <v>49.0</v>
      </c>
      <c r="B2898" s="28">
        <v>1.0</v>
      </c>
      <c r="C2898" s="28">
        <v>53.4908214482693</v>
      </c>
      <c r="D2898" s="28">
        <v>9.98893179720926</v>
      </c>
      <c r="E2898" s="28" t="s">
        <v>25</v>
      </c>
      <c r="F2898" s="28" t="s">
        <v>14</v>
      </c>
      <c r="G2898" s="29" t="s">
        <v>27</v>
      </c>
      <c r="H2898" s="30" t="str">
        <f>HYPERLINK("https://www.munzee.com/m/DarkHaribo/12343", "DarkHaribo/12343")</f>
        <v>DarkHaribo/12343</v>
      </c>
      <c r="J2898" s="31">
        <f t="shared" si="9"/>
        <v>103</v>
      </c>
    </row>
    <row r="2899">
      <c r="A2899" s="28">
        <v>49.0</v>
      </c>
      <c r="B2899" s="28">
        <v>2.0</v>
      </c>
      <c r="C2899" s="28">
        <v>53.4908089210939</v>
      </c>
      <c r="D2899" s="28">
        <v>9.98917246128439</v>
      </c>
      <c r="E2899" s="28" t="s">
        <v>15</v>
      </c>
      <c r="F2899" s="28" t="s">
        <v>168</v>
      </c>
      <c r="G2899" s="29" t="s">
        <v>47</v>
      </c>
      <c r="H2899" s="33" t="s">
        <v>1026</v>
      </c>
      <c r="J2899" s="31">
        <f t="shared" si="9"/>
        <v>44</v>
      </c>
    </row>
    <row r="2900">
      <c r="A2900" s="28">
        <v>49.0</v>
      </c>
      <c r="B2900" s="28">
        <v>3.0</v>
      </c>
      <c r="C2900" s="28">
        <v>53.4907963939185</v>
      </c>
      <c r="D2900" s="28">
        <v>9.98941312528847</v>
      </c>
      <c r="E2900" s="28" t="s">
        <v>15</v>
      </c>
      <c r="F2900" s="28" t="s">
        <v>168</v>
      </c>
      <c r="G2900" s="38"/>
      <c r="H2900" s="38"/>
      <c r="J2900" s="31">
        <f t="shared" si="9"/>
        <v>0</v>
      </c>
    </row>
    <row r="2901">
      <c r="A2901" s="28">
        <v>49.0</v>
      </c>
      <c r="B2901" s="28">
        <v>4.0</v>
      </c>
      <c r="C2901" s="28">
        <v>53.490783866743</v>
      </c>
      <c r="D2901" s="28">
        <v>9.98965378922139</v>
      </c>
      <c r="E2901" s="28" t="s">
        <v>15</v>
      </c>
      <c r="F2901" s="28" t="s">
        <v>168</v>
      </c>
      <c r="G2901" s="38"/>
      <c r="H2901" s="38"/>
      <c r="J2901" s="31">
        <f t="shared" si="9"/>
        <v>0</v>
      </c>
    </row>
    <row r="2902">
      <c r="A2902" s="28">
        <v>49.0</v>
      </c>
      <c r="B2902" s="28">
        <v>5.0</v>
      </c>
      <c r="C2902" s="28">
        <v>53.4907713395676</v>
      </c>
      <c r="D2902" s="28">
        <v>9.98989445308325</v>
      </c>
      <c r="E2902" s="28" t="s">
        <v>15</v>
      </c>
      <c r="F2902" s="28" t="s">
        <v>168</v>
      </c>
      <c r="G2902" s="38"/>
      <c r="H2902" s="38"/>
      <c r="J2902" s="31">
        <f t="shared" si="9"/>
        <v>0</v>
      </c>
    </row>
    <row r="2903">
      <c r="A2903" s="28">
        <v>49.0</v>
      </c>
      <c r="B2903" s="28">
        <v>6.0</v>
      </c>
      <c r="C2903" s="28">
        <v>53.4907588123922</v>
      </c>
      <c r="D2903" s="28">
        <v>9.99013511687405</v>
      </c>
      <c r="E2903" s="28" t="s">
        <v>15</v>
      </c>
      <c r="F2903" s="28" t="s">
        <v>168</v>
      </c>
      <c r="G2903" s="38"/>
      <c r="H2903" s="38"/>
      <c r="J2903" s="31">
        <f t="shared" si="9"/>
        <v>0</v>
      </c>
    </row>
    <row r="2904">
      <c r="A2904" s="28">
        <v>49.0</v>
      </c>
      <c r="B2904" s="28">
        <v>7.0</v>
      </c>
      <c r="C2904" s="28">
        <v>53.4907462852168</v>
      </c>
      <c r="D2904" s="28">
        <v>9.99037578059369</v>
      </c>
      <c r="E2904" s="28" t="s">
        <v>15</v>
      </c>
      <c r="F2904" s="28" t="s">
        <v>168</v>
      </c>
      <c r="G2904" s="38"/>
      <c r="H2904" s="38"/>
      <c r="J2904" s="31">
        <f t="shared" si="9"/>
        <v>0</v>
      </c>
    </row>
    <row r="2905">
      <c r="A2905" s="28">
        <v>49.0</v>
      </c>
      <c r="B2905" s="28">
        <v>8.0</v>
      </c>
      <c r="C2905" s="28">
        <v>53.4907337580413</v>
      </c>
      <c r="D2905" s="28">
        <v>9.99061644424227</v>
      </c>
      <c r="E2905" s="28" t="s">
        <v>25</v>
      </c>
      <c r="F2905" s="28" t="s">
        <v>14</v>
      </c>
      <c r="G2905" s="38"/>
      <c r="H2905" s="38"/>
      <c r="J2905" s="31">
        <f t="shared" si="9"/>
        <v>0</v>
      </c>
    </row>
    <row r="2906">
      <c r="A2906" s="28">
        <v>49.0</v>
      </c>
      <c r="B2906" s="28">
        <v>9.0</v>
      </c>
      <c r="C2906" s="28">
        <v>53.4907212308659</v>
      </c>
      <c r="D2906" s="28">
        <v>9.9908571078198</v>
      </c>
      <c r="E2906" s="28" t="s">
        <v>25</v>
      </c>
      <c r="F2906" s="28" t="s">
        <v>14</v>
      </c>
      <c r="G2906" s="38"/>
      <c r="H2906" s="38"/>
      <c r="J2906" s="31">
        <f t="shared" si="9"/>
        <v>0</v>
      </c>
    </row>
    <row r="2907">
      <c r="A2907" s="28">
        <v>49.0</v>
      </c>
      <c r="B2907" s="28">
        <v>10.0</v>
      </c>
      <c r="C2907" s="28">
        <v>53.4907087036905</v>
      </c>
      <c r="D2907" s="28">
        <v>9.99109777132628</v>
      </c>
      <c r="E2907" s="28" t="s">
        <v>15</v>
      </c>
      <c r="F2907" s="28" t="s">
        <v>168</v>
      </c>
      <c r="G2907" s="38"/>
      <c r="H2907" s="38"/>
      <c r="J2907" s="31">
        <f t="shared" si="9"/>
        <v>0</v>
      </c>
    </row>
    <row r="2908">
      <c r="A2908" s="28">
        <v>49.0</v>
      </c>
      <c r="B2908" s="28">
        <v>11.0</v>
      </c>
      <c r="C2908" s="28">
        <v>53.490696176515</v>
      </c>
      <c r="D2908" s="28">
        <v>9.9913384347617</v>
      </c>
      <c r="E2908" s="28" t="s">
        <v>15</v>
      </c>
      <c r="F2908" s="28" t="s">
        <v>168</v>
      </c>
      <c r="G2908" s="38"/>
      <c r="H2908" s="38"/>
      <c r="J2908" s="31">
        <f t="shared" si="9"/>
        <v>0</v>
      </c>
    </row>
    <row r="2909">
      <c r="A2909" s="28">
        <v>49.0</v>
      </c>
      <c r="B2909" s="28">
        <v>12.0</v>
      </c>
      <c r="C2909" s="28">
        <v>53.4906836493396</v>
      </c>
      <c r="D2909" s="28">
        <v>9.99157909812595</v>
      </c>
      <c r="E2909" s="28" t="s">
        <v>15</v>
      </c>
      <c r="F2909" s="28" t="s">
        <v>168</v>
      </c>
      <c r="G2909" s="38"/>
      <c r="H2909" s="38"/>
      <c r="J2909" s="31">
        <f t="shared" si="9"/>
        <v>0</v>
      </c>
    </row>
    <row r="2910">
      <c r="A2910" s="28">
        <v>49.0</v>
      </c>
      <c r="B2910" s="28">
        <v>13.0</v>
      </c>
      <c r="C2910" s="28">
        <v>53.4906711221642</v>
      </c>
      <c r="D2910" s="28">
        <v>9.99181976141915</v>
      </c>
      <c r="E2910" s="28" t="s">
        <v>15</v>
      </c>
      <c r="F2910" s="28" t="s">
        <v>168</v>
      </c>
      <c r="G2910" s="38"/>
      <c r="H2910" s="38"/>
      <c r="J2910" s="31">
        <f t="shared" si="9"/>
        <v>0</v>
      </c>
    </row>
    <row r="2911">
      <c r="A2911" s="28">
        <v>49.0</v>
      </c>
      <c r="B2911" s="28">
        <v>14.0</v>
      </c>
      <c r="C2911" s="28">
        <v>53.4906585949887</v>
      </c>
      <c r="D2911" s="28">
        <v>9.99206042464129</v>
      </c>
      <c r="E2911" s="28" t="s">
        <v>15</v>
      </c>
      <c r="F2911" s="28" t="s">
        <v>168</v>
      </c>
      <c r="G2911" s="38"/>
      <c r="H2911" s="38"/>
      <c r="J2911" s="31">
        <f t="shared" si="9"/>
        <v>0</v>
      </c>
    </row>
    <row r="2912">
      <c r="A2912" s="28">
        <v>49.0</v>
      </c>
      <c r="B2912" s="28">
        <v>15.0</v>
      </c>
      <c r="C2912" s="28">
        <v>53.4906460678133</v>
      </c>
      <c r="D2912" s="28">
        <v>9.99230108779227</v>
      </c>
      <c r="E2912" s="28" t="s">
        <v>15</v>
      </c>
      <c r="F2912" s="28" t="s">
        <v>168</v>
      </c>
      <c r="G2912" s="38"/>
      <c r="H2912" s="38"/>
      <c r="J2912" s="31">
        <f t="shared" si="9"/>
        <v>0</v>
      </c>
    </row>
    <row r="2913">
      <c r="A2913" s="28">
        <v>49.0</v>
      </c>
      <c r="B2913" s="28">
        <v>16.0</v>
      </c>
      <c r="C2913" s="28">
        <v>53.4906335406379</v>
      </c>
      <c r="D2913" s="28">
        <v>9.99254175087219</v>
      </c>
      <c r="E2913" s="28" t="s">
        <v>25</v>
      </c>
      <c r="F2913" s="28" t="s">
        <v>14</v>
      </c>
      <c r="G2913" s="38"/>
      <c r="H2913" s="38"/>
      <c r="J2913" s="31">
        <f t="shared" si="9"/>
        <v>0</v>
      </c>
    </row>
    <row r="2914">
      <c r="A2914" s="28">
        <v>49.0</v>
      </c>
      <c r="B2914" s="28">
        <v>17.0</v>
      </c>
      <c r="C2914" s="28">
        <v>53.4906210134625</v>
      </c>
      <c r="D2914" s="28">
        <v>9.99278241388106</v>
      </c>
      <c r="E2914" s="28" t="s">
        <v>25</v>
      </c>
      <c r="F2914" s="28" t="s">
        <v>14</v>
      </c>
      <c r="G2914" s="38"/>
      <c r="H2914" s="38"/>
      <c r="J2914" s="31">
        <f t="shared" si="9"/>
        <v>0</v>
      </c>
    </row>
    <row r="2915">
      <c r="A2915" s="28">
        <v>49.0</v>
      </c>
      <c r="B2915" s="28">
        <v>18.0</v>
      </c>
      <c r="C2915" s="28">
        <v>53.490608486287</v>
      </c>
      <c r="D2915" s="28">
        <v>9.99302307681887</v>
      </c>
      <c r="E2915" s="28" t="s">
        <v>15</v>
      </c>
      <c r="F2915" s="28" t="s">
        <v>168</v>
      </c>
      <c r="G2915" s="38"/>
      <c r="H2915" s="38"/>
      <c r="J2915" s="31">
        <f t="shared" si="9"/>
        <v>0</v>
      </c>
    </row>
    <row r="2916">
      <c r="A2916" s="28">
        <v>49.0</v>
      </c>
      <c r="B2916" s="28">
        <v>19.0</v>
      </c>
      <c r="C2916" s="28">
        <v>53.4905959591116</v>
      </c>
      <c r="D2916" s="28">
        <v>9.99326373968551</v>
      </c>
      <c r="E2916" s="28" t="s">
        <v>15</v>
      </c>
      <c r="F2916" s="28" t="s">
        <v>168</v>
      </c>
      <c r="G2916" s="38"/>
      <c r="H2916" s="38"/>
      <c r="J2916" s="31">
        <f t="shared" si="9"/>
        <v>0</v>
      </c>
    </row>
    <row r="2917">
      <c r="A2917" s="28">
        <v>49.0</v>
      </c>
      <c r="B2917" s="28">
        <v>20.0</v>
      </c>
      <c r="C2917" s="28">
        <v>53.4905834319362</v>
      </c>
      <c r="D2917" s="28">
        <v>9.9935044024811</v>
      </c>
      <c r="E2917" s="28" t="s">
        <v>15</v>
      </c>
      <c r="F2917" s="28" t="s">
        <v>168</v>
      </c>
      <c r="G2917" s="38"/>
      <c r="H2917" s="38"/>
      <c r="J2917" s="31">
        <f t="shared" si="9"/>
        <v>0</v>
      </c>
    </row>
    <row r="2918">
      <c r="A2918" s="28">
        <v>49.0</v>
      </c>
      <c r="B2918" s="28">
        <v>21.0</v>
      </c>
      <c r="C2918" s="28">
        <v>53.4905709047608</v>
      </c>
      <c r="D2918" s="28">
        <v>9.99374506520564</v>
      </c>
      <c r="E2918" s="28" t="s">
        <v>15</v>
      </c>
      <c r="F2918" s="28" t="s">
        <v>168</v>
      </c>
      <c r="G2918" s="38"/>
      <c r="H2918" s="38"/>
      <c r="J2918" s="31">
        <f t="shared" si="9"/>
        <v>0</v>
      </c>
    </row>
    <row r="2919">
      <c r="A2919" s="28">
        <v>49.0</v>
      </c>
      <c r="B2919" s="28">
        <v>22.0</v>
      </c>
      <c r="C2919" s="28">
        <v>53.4905583775853</v>
      </c>
      <c r="D2919" s="28">
        <v>9.99398572785912</v>
      </c>
      <c r="E2919" s="28" t="s">
        <v>15</v>
      </c>
      <c r="F2919" s="28" t="s">
        <v>168</v>
      </c>
      <c r="G2919" s="38"/>
      <c r="H2919" s="38"/>
      <c r="J2919" s="31">
        <f t="shared" si="9"/>
        <v>0</v>
      </c>
    </row>
    <row r="2920">
      <c r="A2920" s="28">
        <v>49.0</v>
      </c>
      <c r="B2920" s="28">
        <v>23.0</v>
      </c>
      <c r="C2920" s="28">
        <v>53.4905458504099</v>
      </c>
      <c r="D2920" s="28">
        <v>9.99422639044144</v>
      </c>
      <c r="E2920" s="28" t="s">
        <v>15</v>
      </c>
      <c r="F2920" s="28" t="s">
        <v>168</v>
      </c>
      <c r="G2920" s="38"/>
      <c r="H2920" s="38"/>
      <c r="J2920" s="31">
        <f t="shared" si="9"/>
        <v>0</v>
      </c>
    </row>
    <row r="2921">
      <c r="A2921" s="28">
        <v>49.0</v>
      </c>
      <c r="B2921" s="28">
        <v>24.0</v>
      </c>
      <c r="C2921" s="28">
        <v>53.4905333232345</v>
      </c>
      <c r="D2921" s="28">
        <v>9.9944670529527</v>
      </c>
      <c r="E2921" s="28" t="s">
        <v>25</v>
      </c>
      <c r="F2921" s="28" t="s">
        <v>14</v>
      </c>
      <c r="G2921" s="38"/>
      <c r="H2921" s="38"/>
      <c r="J2921" s="31">
        <f t="shared" si="9"/>
        <v>0</v>
      </c>
    </row>
    <row r="2922">
      <c r="A2922" s="28">
        <v>49.0</v>
      </c>
      <c r="B2922" s="28">
        <v>25.0</v>
      </c>
      <c r="C2922" s="28">
        <v>53.490520796059</v>
      </c>
      <c r="D2922" s="28">
        <v>9.9947077153929</v>
      </c>
      <c r="E2922" s="28" t="s">
        <v>25</v>
      </c>
      <c r="F2922" s="28" t="s">
        <v>14</v>
      </c>
      <c r="G2922" s="38"/>
      <c r="H2922" s="38"/>
      <c r="J2922" s="31">
        <f t="shared" si="9"/>
        <v>0</v>
      </c>
    </row>
    <row r="2923">
      <c r="A2923" s="28">
        <v>49.0</v>
      </c>
      <c r="B2923" s="28">
        <v>26.0</v>
      </c>
      <c r="C2923" s="28">
        <v>53.4905082688836</v>
      </c>
      <c r="D2923" s="28">
        <v>9.99494837776194</v>
      </c>
      <c r="E2923" s="28" t="s">
        <v>15</v>
      </c>
      <c r="F2923" s="28" t="s">
        <v>168</v>
      </c>
      <c r="G2923" s="38"/>
      <c r="H2923" s="38"/>
      <c r="J2923" s="31">
        <f t="shared" si="9"/>
        <v>0</v>
      </c>
    </row>
    <row r="2924">
      <c r="A2924" s="28">
        <v>49.0</v>
      </c>
      <c r="B2924" s="28">
        <v>27.0</v>
      </c>
      <c r="C2924" s="28">
        <v>53.4904957417082</v>
      </c>
      <c r="D2924" s="28">
        <v>9.99518904005992</v>
      </c>
      <c r="E2924" s="28" t="s">
        <v>15</v>
      </c>
      <c r="F2924" s="28" t="s">
        <v>168</v>
      </c>
      <c r="G2924" s="38"/>
      <c r="H2924" s="38"/>
      <c r="J2924" s="31">
        <f t="shared" si="9"/>
        <v>0</v>
      </c>
    </row>
    <row r="2925">
      <c r="A2925" s="28">
        <v>49.0</v>
      </c>
      <c r="B2925" s="28">
        <v>28.0</v>
      </c>
      <c r="C2925" s="28">
        <v>53.4904832145328</v>
      </c>
      <c r="D2925" s="28">
        <v>9.99542970228685</v>
      </c>
      <c r="E2925" s="28" t="s">
        <v>25</v>
      </c>
      <c r="F2925" s="28" t="s">
        <v>14</v>
      </c>
      <c r="G2925" s="38"/>
      <c r="H2925" s="38"/>
      <c r="J2925" s="31">
        <f t="shared" si="9"/>
        <v>0</v>
      </c>
    </row>
    <row r="2926">
      <c r="A2926" s="28">
        <v>49.0</v>
      </c>
      <c r="B2926" s="28">
        <v>29.0</v>
      </c>
      <c r="C2926" s="28">
        <v>53.4904706873573</v>
      </c>
      <c r="D2926" s="28">
        <v>9.99567036444273</v>
      </c>
      <c r="E2926" s="28" t="s">
        <v>25</v>
      </c>
      <c r="F2926" s="28" t="s">
        <v>14</v>
      </c>
      <c r="G2926" s="38"/>
      <c r="H2926" s="38"/>
      <c r="J2926" s="31">
        <f t="shared" si="9"/>
        <v>0</v>
      </c>
    </row>
    <row r="2927">
      <c r="A2927" s="28">
        <v>49.0</v>
      </c>
      <c r="B2927" s="28">
        <v>30.0</v>
      </c>
      <c r="C2927" s="28">
        <v>53.4904581601819</v>
      </c>
      <c r="D2927" s="28">
        <v>9.99591102652743</v>
      </c>
      <c r="E2927" s="28" t="s">
        <v>15</v>
      </c>
      <c r="F2927" s="28" t="s">
        <v>168</v>
      </c>
      <c r="G2927" s="38"/>
      <c r="H2927" s="38"/>
      <c r="J2927" s="31">
        <f t="shared" si="9"/>
        <v>0</v>
      </c>
    </row>
    <row r="2928">
      <c r="A2928" s="28">
        <v>49.0</v>
      </c>
      <c r="B2928" s="28">
        <v>31.0</v>
      </c>
      <c r="C2928" s="28">
        <v>53.4904456330065</v>
      </c>
      <c r="D2928" s="28">
        <v>9.99615168854109</v>
      </c>
      <c r="E2928" s="28" t="s">
        <v>15</v>
      </c>
      <c r="F2928" s="28" t="s">
        <v>168</v>
      </c>
      <c r="G2928" s="38"/>
      <c r="H2928" s="38"/>
      <c r="J2928" s="31">
        <f t="shared" si="9"/>
        <v>0</v>
      </c>
    </row>
    <row r="2929">
      <c r="A2929" s="28">
        <v>49.0</v>
      </c>
      <c r="B2929" s="28">
        <v>32.0</v>
      </c>
      <c r="C2929" s="28">
        <v>53.4904331058311</v>
      </c>
      <c r="D2929" s="28">
        <v>9.99639235048368</v>
      </c>
      <c r="E2929" s="28" t="s">
        <v>25</v>
      </c>
      <c r="F2929" s="28" t="s">
        <v>14</v>
      </c>
      <c r="G2929" s="38"/>
      <c r="H2929" s="38"/>
      <c r="J2929" s="31">
        <f t="shared" si="9"/>
        <v>0</v>
      </c>
    </row>
    <row r="2930">
      <c r="A2930" s="28">
        <v>49.0</v>
      </c>
      <c r="B2930" s="28">
        <v>33.0</v>
      </c>
      <c r="C2930" s="28">
        <v>53.4904205786556</v>
      </c>
      <c r="D2930" s="28">
        <v>9.99663301235523</v>
      </c>
      <c r="E2930" s="28" t="s">
        <v>25</v>
      </c>
      <c r="F2930" s="28" t="s">
        <v>14</v>
      </c>
      <c r="G2930" s="38"/>
      <c r="H2930" s="38"/>
      <c r="J2930" s="31">
        <f t="shared" si="9"/>
        <v>0</v>
      </c>
    </row>
    <row r="2931">
      <c r="A2931" s="28">
        <v>49.0</v>
      </c>
      <c r="B2931" s="28">
        <v>34.0</v>
      </c>
      <c r="C2931" s="28">
        <v>53.4904080514802</v>
      </c>
      <c r="D2931" s="28">
        <v>9.9968736741556</v>
      </c>
      <c r="E2931" s="28" t="s">
        <v>25</v>
      </c>
      <c r="F2931" s="28" t="s">
        <v>14</v>
      </c>
      <c r="G2931" s="38"/>
      <c r="H2931" s="38"/>
      <c r="J2931" s="31">
        <f t="shared" si="9"/>
        <v>0</v>
      </c>
    </row>
    <row r="2932">
      <c r="A2932" s="28">
        <v>49.0</v>
      </c>
      <c r="B2932" s="28">
        <v>35.0</v>
      </c>
      <c r="C2932" s="28">
        <v>53.4903955243048</v>
      </c>
      <c r="D2932" s="28">
        <v>9.99711433588493</v>
      </c>
      <c r="E2932" s="28" t="s">
        <v>15</v>
      </c>
      <c r="F2932" s="28" t="s">
        <v>168</v>
      </c>
      <c r="G2932" s="38"/>
      <c r="H2932" s="38"/>
      <c r="J2932" s="31">
        <f t="shared" si="9"/>
        <v>0</v>
      </c>
    </row>
    <row r="2933">
      <c r="A2933" s="28">
        <v>49.0</v>
      </c>
      <c r="B2933" s="28">
        <v>36.0</v>
      </c>
      <c r="C2933" s="28">
        <v>53.4903829971294</v>
      </c>
      <c r="D2933" s="28">
        <v>9.99735499754319</v>
      </c>
      <c r="E2933" s="28" t="s">
        <v>15</v>
      </c>
      <c r="F2933" s="28" t="s">
        <v>168</v>
      </c>
      <c r="G2933" s="38"/>
      <c r="H2933" s="38"/>
      <c r="J2933" s="31">
        <f t="shared" si="9"/>
        <v>0</v>
      </c>
    </row>
    <row r="2934">
      <c r="A2934" s="28">
        <v>49.0</v>
      </c>
      <c r="B2934" s="28">
        <v>37.0</v>
      </c>
      <c r="C2934" s="28">
        <v>53.4903704699539</v>
      </c>
      <c r="D2934" s="28">
        <v>9.99759565913029</v>
      </c>
      <c r="E2934" s="28" t="s">
        <v>15</v>
      </c>
      <c r="F2934" s="28" t="s">
        <v>168</v>
      </c>
      <c r="G2934" s="38"/>
      <c r="H2934" s="38"/>
      <c r="J2934" s="31">
        <f t="shared" si="9"/>
        <v>0</v>
      </c>
    </row>
    <row r="2935">
      <c r="A2935" s="28">
        <v>49.0</v>
      </c>
      <c r="B2935" s="28">
        <v>38.0</v>
      </c>
      <c r="C2935" s="28">
        <v>53.4903579427785</v>
      </c>
      <c r="D2935" s="28">
        <v>9.99783632064634</v>
      </c>
      <c r="E2935" s="28" t="s">
        <v>15</v>
      </c>
      <c r="F2935" s="28" t="s">
        <v>168</v>
      </c>
      <c r="G2935" s="38"/>
      <c r="H2935" s="38"/>
      <c r="J2935" s="31">
        <f t="shared" si="9"/>
        <v>0</v>
      </c>
    </row>
    <row r="2936">
      <c r="A2936" s="28">
        <v>49.0</v>
      </c>
      <c r="B2936" s="28">
        <v>39.0</v>
      </c>
      <c r="C2936" s="28">
        <v>53.4903454156031</v>
      </c>
      <c r="D2936" s="28">
        <v>9.99807698209133</v>
      </c>
      <c r="E2936" s="28" t="s">
        <v>25</v>
      </c>
      <c r="F2936" s="28" t="s">
        <v>14</v>
      </c>
      <c r="G2936" s="38"/>
      <c r="H2936" s="38"/>
      <c r="J2936" s="31">
        <f t="shared" si="9"/>
        <v>0</v>
      </c>
    </row>
    <row r="2937">
      <c r="A2937" s="28">
        <v>49.0</v>
      </c>
      <c r="B2937" s="28">
        <v>40.0</v>
      </c>
      <c r="C2937" s="28">
        <v>53.4903328884277</v>
      </c>
      <c r="D2937" s="28">
        <v>9.99831764346527</v>
      </c>
      <c r="E2937" s="28" t="s">
        <v>25</v>
      </c>
      <c r="F2937" s="28" t="s">
        <v>14</v>
      </c>
      <c r="G2937" s="38"/>
      <c r="H2937" s="38"/>
      <c r="J2937" s="31">
        <f t="shared" si="9"/>
        <v>0</v>
      </c>
    </row>
    <row r="2938">
      <c r="A2938" s="28">
        <v>49.0</v>
      </c>
      <c r="B2938" s="28">
        <v>41.0</v>
      </c>
      <c r="C2938" s="28">
        <v>53.4903203612522</v>
      </c>
      <c r="D2938" s="28">
        <v>9.99855830476804</v>
      </c>
      <c r="E2938" s="28" t="s">
        <v>15</v>
      </c>
      <c r="F2938" s="28" t="s">
        <v>168</v>
      </c>
      <c r="G2938" s="38"/>
      <c r="H2938" s="38"/>
      <c r="J2938" s="31">
        <f t="shared" si="9"/>
        <v>0</v>
      </c>
    </row>
    <row r="2939">
      <c r="A2939" s="28">
        <v>49.0</v>
      </c>
      <c r="B2939" s="28">
        <v>42.0</v>
      </c>
      <c r="C2939" s="28">
        <v>53.4903078340768</v>
      </c>
      <c r="D2939" s="28">
        <v>9.99879896599975</v>
      </c>
      <c r="E2939" s="28" t="s">
        <v>15</v>
      </c>
      <c r="F2939" s="28" t="s">
        <v>168</v>
      </c>
      <c r="G2939" s="38"/>
      <c r="H2939" s="38"/>
      <c r="J2939" s="31">
        <f t="shared" si="9"/>
        <v>0</v>
      </c>
    </row>
    <row r="2940">
      <c r="A2940" s="28">
        <v>49.0</v>
      </c>
      <c r="B2940" s="28">
        <v>43.0</v>
      </c>
      <c r="C2940" s="28">
        <v>53.4902953069014</v>
      </c>
      <c r="D2940" s="28">
        <v>9.99903962716041</v>
      </c>
      <c r="E2940" s="28" t="s">
        <v>25</v>
      </c>
      <c r="F2940" s="28" t="s">
        <v>14</v>
      </c>
      <c r="G2940" s="38"/>
      <c r="H2940" s="38"/>
      <c r="J2940" s="31">
        <f t="shared" si="9"/>
        <v>0</v>
      </c>
    </row>
    <row r="2941">
      <c r="A2941" s="28">
        <v>49.0</v>
      </c>
      <c r="B2941" s="28">
        <v>44.0</v>
      </c>
      <c r="C2941" s="28">
        <v>53.490282779726</v>
      </c>
      <c r="D2941" s="28">
        <v>9.99928028825002</v>
      </c>
      <c r="E2941" s="28" t="s">
        <v>25</v>
      </c>
      <c r="F2941" s="28" t="s">
        <v>14</v>
      </c>
      <c r="G2941" s="38"/>
      <c r="H2941" s="38"/>
      <c r="J2941" s="31">
        <f t="shared" si="9"/>
        <v>0</v>
      </c>
    </row>
    <row r="2942">
      <c r="A2942" s="28">
        <v>49.0</v>
      </c>
      <c r="B2942" s="28">
        <v>45.0</v>
      </c>
      <c r="C2942" s="28">
        <v>53.4902702525505</v>
      </c>
      <c r="D2942" s="28">
        <v>9.99952094926845</v>
      </c>
      <c r="E2942" s="28" t="s">
        <v>15</v>
      </c>
      <c r="F2942" s="28" t="s">
        <v>168</v>
      </c>
      <c r="G2942" s="38"/>
      <c r="H2942" s="38"/>
      <c r="J2942" s="31">
        <f t="shared" si="9"/>
        <v>0</v>
      </c>
    </row>
    <row r="2943">
      <c r="A2943" s="28">
        <v>49.0</v>
      </c>
      <c r="B2943" s="28">
        <v>46.0</v>
      </c>
      <c r="C2943" s="28">
        <v>53.4902577253751</v>
      </c>
      <c r="D2943" s="28">
        <v>9.99976161021584</v>
      </c>
      <c r="E2943" s="28" t="s">
        <v>15</v>
      </c>
      <c r="F2943" s="28" t="s">
        <v>168</v>
      </c>
      <c r="G2943" s="38"/>
      <c r="H2943" s="38"/>
      <c r="J2943" s="31">
        <f t="shared" si="9"/>
        <v>0</v>
      </c>
    </row>
    <row r="2944">
      <c r="A2944" s="28">
        <v>49.0</v>
      </c>
      <c r="B2944" s="28">
        <v>47.0</v>
      </c>
      <c r="C2944" s="28">
        <v>53.4902451981997</v>
      </c>
      <c r="D2944" s="28">
        <v>10.0000022710921</v>
      </c>
      <c r="E2944" s="28" t="s">
        <v>25</v>
      </c>
      <c r="F2944" s="28" t="s">
        <v>14</v>
      </c>
      <c r="G2944" s="38"/>
      <c r="H2944" s="38"/>
      <c r="J2944" s="31">
        <f t="shared" si="9"/>
        <v>0</v>
      </c>
    </row>
    <row r="2945">
      <c r="A2945" s="28">
        <v>49.0</v>
      </c>
      <c r="B2945" s="28">
        <v>48.0</v>
      </c>
      <c r="C2945" s="28">
        <v>53.4902326710243</v>
      </c>
      <c r="D2945" s="28">
        <v>10.0002429318974</v>
      </c>
      <c r="E2945" s="28" t="s">
        <v>25</v>
      </c>
      <c r="F2945" s="28" t="s">
        <v>14</v>
      </c>
      <c r="G2945" s="38"/>
      <c r="H2945" s="38"/>
      <c r="J2945" s="31">
        <f t="shared" si="9"/>
        <v>0</v>
      </c>
    </row>
    <row r="2946">
      <c r="A2946" s="28">
        <v>49.0</v>
      </c>
      <c r="B2946" s="28">
        <v>49.0</v>
      </c>
      <c r="C2946" s="28">
        <v>53.4902201438489</v>
      </c>
      <c r="D2946" s="28">
        <v>10.0004835926315</v>
      </c>
      <c r="E2946" s="28" t="s">
        <v>15</v>
      </c>
      <c r="F2946" s="28" t="s">
        <v>168</v>
      </c>
      <c r="G2946" s="38"/>
      <c r="H2946" s="38"/>
      <c r="J2946" s="31">
        <f t="shared" si="9"/>
        <v>0</v>
      </c>
    </row>
    <row r="2947">
      <c r="A2947" s="28">
        <v>49.0</v>
      </c>
      <c r="B2947" s="28">
        <v>50.0</v>
      </c>
      <c r="C2947" s="28">
        <v>53.4902076166734</v>
      </c>
      <c r="D2947" s="28">
        <v>10.0007242532946</v>
      </c>
      <c r="E2947" s="28" t="s">
        <v>15</v>
      </c>
      <c r="F2947" s="28" t="s">
        <v>168</v>
      </c>
      <c r="G2947" s="38"/>
      <c r="H2947" s="38"/>
      <c r="J2947" s="31">
        <f t="shared" si="9"/>
        <v>0</v>
      </c>
    </row>
    <row r="2948">
      <c r="A2948" s="28">
        <v>49.0</v>
      </c>
      <c r="B2948" s="28">
        <v>51.0</v>
      </c>
      <c r="C2948" s="28">
        <v>53.490195089498</v>
      </c>
      <c r="D2948" s="28">
        <v>10.0009649138866</v>
      </c>
      <c r="E2948" s="28" t="s">
        <v>15</v>
      </c>
      <c r="F2948" s="28" t="s">
        <v>168</v>
      </c>
      <c r="G2948" s="38"/>
      <c r="H2948" s="38"/>
      <c r="J2948" s="31">
        <f t="shared" si="9"/>
        <v>0</v>
      </c>
    </row>
    <row r="2949">
      <c r="A2949" s="28">
        <v>49.0</v>
      </c>
      <c r="B2949" s="28">
        <v>52.0</v>
      </c>
      <c r="C2949" s="28">
        <v>53.4901825623226</v>
      </c>
      <c r="D2949" s="28">
        <v>10.0012055744075</v>
      </c>
      <c r="E2949" s="28" t="s">
        <v>25</v>
      </c>
      <c r="F2949" s="28" t="s">
        <v>14</v>
      </c>
      <c r="G2949" s="38"/>
      <c r="H2949" s="38"/>
      <c r="J2949" s="31">
        <f t="shared" si="9"/>
        <v>0</v>
      </c>
    </row>
    <row r="2950">
      <c r="A2950" s="28">
        <v>49.0</v>
      </c>
      <c r="B2950" s="28">
        <v>53.0</v>
      </c>
      <c r="C2950" s="28">
        <v>53.4901700351471</v>
      </c>
      <c r="D2950" s="28">
        <v>10.0014462348573</v>
      </c>
      <c r="E2950" s="28" t="s">
        <v>25</v>
      </c>
      <c r="F2950" s="28" t="s">
        <v>14</v>
      </c>
      <c r="G2950" s="38"/>
      <c r="H2950" s="38"/>
      <c r="J2950" s="31">
        <f t="shared" si="9"/>
        <v>0</v>
      </c>
    </row>
    <row r="2951">
      <c r="A2951" s="28">
        <v>49.0</v>
      </c>
      <c r="B2951" s="28">
        <v>54.0</v>
      </c>
      <c r="C2951" s="28">
        <v>53.4901575079717</v>
      </c>
      <c r="D2951" s="28">
        <v>10.001686895236</v>
      </c>
      <c r="E2951" s="28" t="s">
        <v>15</v>
      </c>
      <c r="F2951" s="28" t="s">
        <v>168</v>
      </c>
      <c r="G2951" s="38"/>
      <c r="H2951" s="38"/>
      <c r="J2951" s="31">
        <f t="shared" si="9"/>
        <v>0</v>
      </c>
    </row>
    <row r="2952">
      <c r="A2952" s="28">
        <v>49.0</v>
      </c>
      <c r="B2952" s="28">
        <v>55.0</v>
      </c>
      <c r="C2952" s="28">
        <v>53.4901449807963</v>
      </c>
      <c r="D2952" s="28">
        <v>10.0019275555437</v>
      </c>
      <c r="E2952" s="28" t="s">
        <v>15</v>
      </c>
      <c r="F2952" s="28" t="s">
        <v>168</v>
      </c>
      <c r="G2952" s="38"/>
      <c r="H2952" s="38"/>
      <c r="J2952" s="31">
        <f t="shared" si="9"/>
        <v>0</v>
      </c>
    </row>
    <row r="2953">
      <c r="A2953" s="28">
        <v>49.0</v>
      </c>
      <c r="B2953" s="28">
        <v>56.0</v>
      </c>
      <c r="C2953" s="28">
        <v>53.4901324536209</v>
      </c>
      <c r="D2953" s="28">
        <v>10.0021682157802</v>
      </c>
      <c r="E2953" s="28" t="s">
        <v>15</v>
      </c>
      <c r="F2953" s="28" t="s">
        <v>168</v>
      </c>
      <c r="G2953" s="38"/>
      <c r="H2953" s="38"/>
      <c r="J2953" s="31">
        <f t="shared" si="9"/>
        <v>0</v>
      </c>
    </row>
    <row r="2954">
      <c r="A2954" s="28">
        <v>49.0</v>
      </c>
      <c r="B2954" s="28">
        <v>57.0</v>
      </c>
      <c r="C2954" s="28">
        <v>53.4901199264454</v>
      </c>
      <c r="D2954" s="28">
        <v>10.0024088759456</v>
      </c>
      <c r="E2954" s="28" t="s">
        <v>15</v>
      </c>
      <c r="F2954" s="28" t="s">
        <v>168</v>
      </c>
      <c r="G2954" s="38"/>
      <c r="H2954" s="38"/>
      <c r="J2954" s="31">
        <f t="shared" si="9"/>
        <v>0</v>
      </c>
    </row>
    <row r="2955">
      <c r="A2955" s="28">
        <v>49.0</v>
      </c>
      <c r="B2955" s="28">
        <v>58.0</v>
      </c>
      <c r="C2955" s="28">
        <v>53.49010739927</v>
      </c>
      <c r="D2955" s="28">
        <v>10.00264953604</v>
      </c>
      <c r="E2955" s="28" t="s">
        <v>15</v>
      </c>
      <c r="F2955" s="28" t="s">
        <v>168</v>
      </c>
      <c r="G2955" s="38"/>
      <c r="H2955" s="38"/>
      <c r="J2955" s="31">
        <f t="shared" si="9"/>
        <v>0</v>
      </c>
    </row>
    <row r="2956">
      <c r="A2956" s="28">
        <v>49.0</v>
      </c>
      <c r="B2956" s="28">
        <v>59.0</v>
      </c>
      <c r="C2956" s="28">
        <v>53.4900948720946</v>
      </c>
      <c r="D2956" s="28">
        <v>10.0028901960633</v>
      </c>
      <c r="E2956" s="28" t="s">
        <v>15</v>
      </c>
      <c r="F2956" s="28" t="s">
        <v>168</v>
      </c>
      <c r="G2956" s="29" t="s">
        <v>1027</v>
      </c>
      <c r="H2956" s="30" t="s">
        <v>1028</v>
      </c>
      <c r="J2956" s="31">
        <f t="shared" si="9"/>
        <v>2</v>
      </c>
    </row>
    <row r="2957">
      <c r="A2957" s="28">
        <v>49.0</v>
      </c>
      <c r="B2957" s="28">
        <v>60.0</v>
      </c>
      <c r="C2957" s="28">
        <v>53.4900823449192</v>
      </c>
      <c r="D2957" s="28">
        <v>10.0031308560155</v>
      </c>
      <c r="E2957" s="28" t="s">
        <v>25</v>
      </c>
      <c r="F2957" s="28" t="s">
        <v>14</v>
      </c>
      <c r="G2957" s="29" t="s">
        <v>27</v>
      </c>
      <c r="H2957" s="30" t="str">
        <f>HYPERLINK("https://www.munzee.com/m/DarkHaribo/12426", "DarkHaribo/12426")</f>
        <v>DarkHaribo/12426</v>
      </c>
      <c r="J2957" s="31">
        <f t="shared" si="9"/>
        <v>103</v>
      </c>
    </row>
    <row r="2958">
      <c r="A2958" s="28">
        <v>50.0</v>
      </c>
      <c r="B2958" s="28">
        <v>1.0</v>
      </c>
      <c r="C2958" s="28">
        <v>53.4906782647598</v>
      </c>
      <c r="D2958" s="28">
        <v>9.98891074189578</v>
      </c>
      <c r="E2958" s="28" t="s">
        <v>25</v>
      </c>
      <c r="F2958" s="28" t="s">
        <v>14</v>
      </c>
      <c r="G2958" s="37" t="s">
        <v>1016</v>
      </c>
      <c r="H2958" s="35" t="s">
        <v>1029</v>
      </c>
      <c r="J2958" s="31">
        <f t="shared" si="9"/>
        <v>4</v>
      </c>
    </row>
    <row r="2959">
      <c r="A2959" s="28">
        <v>50.0</v>
      </c>
      <c r="B2959" s="28">
        <v>2.0</v>
      </c>
      <c r="C2959" s="28">
        <v>53.4906657375843</v>
      </c>
      <c r="D2959" s="28">
        <v>9.98915140515839</v>
      </c>
      <c r="E2959" s="28" t="s">
        <v>15</v>
      </c>
      <c r="F2959" s="28" t="s">
        <v>168</v>
      </c>
      <c r="G2959" s="29" t="s">
        <v>40</v>
      </c>
      <c r="H2959" s="36" t="s">
        <v>1030</v>
      </c>
      <c r="J2959" s="31">
        <f t="shared" si="9"/>
        <v>88</v>
      </c>
    </row>
    <row r="2960">
      <c r="A2960" s="28">
        <v>50.0</v>
      </c>
      <c r="B2960" s="28">
        <v>3.0</v>
      </c>
      <c r="C2960" s="28">
        <v>53.4906532104089</v>
      </c>
      <c r="D2960" s="28">
        <v>9.98939206834995</v>
      </c>
      <c r="E2960" s="28" t="s">
        <v>15</v>
      </c>
      <c r="F2960" s="28" t="s">
        <v>168</v>
      </c>
      <c r="G2960" s="38"/>
      <c r="H2960" s="38"/>
      <c r="J2960" s="31">
        <f t="shared" si="9"/>
        <v>0</v>
      </c>
    </row>
    <row r="2961">
      <c r="A2961" s="28">
        <v>50.0</v>
      </c>
      <c r="B2961" s="28">
        <v>4.0</v>
      </c>
      <c r="C2961" s="28">
        <v>53.4906406832335</v>
      </c>
      <c r="D2961" s="28">
        <v>9.98963273147046</v>
      </c>
      <c r="E2961" s="28" t="s">
        <v>15</v>
      </c>
      <c r="F2961" s="28" t="s">
        <v>168</v>
      </c>
      <c r="G2961" s="38"/>
      <c r="H2961" s="38"/>
      <c r="J2961" s="31">
        <f t="shared" si="9"/>
        <v>0</v>
      </c>
    </row>
    <row r="2962">
      <c r="A2962" s="28">
        <v>50.0</v>
      </c>
      <c r="B2962" s="28">
        <v>5.0</v>
      </c>
      <c r="C2962" s="28">
        <v>53.490628156058</v>
      </c>
      <c r="D2962" s="28">
        <v>9.9898733945198</v>
      </c>
      <c r="E2962" s="28" t="s">
        <v>15</v>
      </c>
      <c r="F2962" s="28" t="s">
        <v>168</v>
      </c>
      <c r="G2962" s="29" t="s">
        <v>40</v>
      </c>
      <c r="H2962" s="36" t="s">
        <v>1031</v>
      </c>
      <c r="J2962" s="31">
        <f t="shared" si="9"/>
        <v>88</v>
      </c>
    </row>
    <row r="2963">
      <c r="A2963" s="28">
        <v>50.0</v>
      </c>
      <c r="B2963" s="28">
        <v>6.0</v>
      </c>
      <c r="C2963" s="28">
        <v>53.4906156288826</v>
      </c>
      <c r="D2963" s="28">
        <v>9.99011405749809</v>
      </c>
      <c r="E2963" s="28" t="s">
        <v>15</v>
      </c>
      <c r="F2963" s="28" t="s">
        <v>168</v>
      </c>
      <c r="G2963" s="38"/>
      <c r="H2963" s="38"/>
      <c r="J2963" s="31">
        <f t="shared" si="9"/>
        <v>0</v>
      </c>
    </row>
    <row r="2964">
      <c r="A2964" s="28">
        <v>50.0</v>
      </c>
      <c r="B2964" s="28">
        <v>7.0</v>
      </c>
      <c r="C2964" s="28">
        <v>53.4906031017072</v>
      </c>
      <c r="D2964" s="28">
        <v>9.99035472040532</v>
      </c>
      <c r="E2964" s="28" t="s">
        <v>15</v>
      </c>
      <c r="F2964" s="28" t="s">
        <v>168</v>
      </c>
      <c r="G2964" s="38"/>
      <c r="H2964" s="38"/>
      <c r="J2964" s="31">
        <f t="shared" si="9"/>
        <v>0</v>
      </c>
    </row>
    <row r="2965">
      <c r="A2965" s="28">
        <v>50.0</v>
      </c>
      <c r="B2965" s="28">
        <v>8.0</v>
      </c>
      <c r="C2965" s="28">
        <v>53.4905905745318</v>
      </c>
      <c r="D2965" s="28">
        <v>9.99059538324149</v>
      </c>
      <c r="E2965" s="28" t="s">
        <v>15</v>
      </c>
      <c r="F2965" s="28" t="s">
        <v>168</v>
      </c>
      <c r="G2965" s="29" t="s">
        <v>40</v>
      </c>
      <c r="H2965" s="36" t="s">
        <v>1032</v>
      </c>
      <c r="J2965" s="31">
        <f t="shared" si="9"/>
        <v>88</v>
      </c>
    </row>
    <row r="2966">
      <c r="A2966" s="28">
        <v>50.0</v>
      </c>
      <c r="B2966" s="28">
        <v>9.0</v>
      </c>
      <c r="C2966" s="28">
        <v>53.4905780473563</v>
      </c>
      <c r="D2966" s="28">
        <v>9.9908360460065</v>
      </c>
      <c r="E2966" s="28" t="s">
        <v>25</v>
      </c>
      <c r="F2966" s="28" t="s">
        <v>14</v>
      </c>
      <c r="G2966" s="38"/>
      <c r="H2966" s="38"/>
      <c r="J2966" s="31">
        <f t="shared" si="9"/>
        <v>0</v>
      </c>
    </row>
    <row r="2967">
      <c r="A2967" s="28">
        <v>50.0</v>
      </c>
      <c r="B2967" s="28">
        <v>10.0</v>
      </c>
      <c r="C2967" s="28">
        <v>53.4905655201809</v>
      </c>
      <c r="D2967" s="28">
        <v>9.99107670870046</v>
      </c>
      <c r="E2967" s="28" t="s">
        <v>25</v>
      </c>
      <c r="F2967" s="28" t="s">
        <v>14</v>
      </c>
      <c r="G2967" s="38"/>
      <c r="H2967" s="38"/>
      <c r="J2967" s="31">
        <f t="shared" si="9"/>
        <v>0</v>
      </c>
    </row>
    <row r="2968">
      <c r="A2968" s="28">
        <v>50.0</v>
      </c>
      <c r="B2968" s="28">
        <v>11.0</v>
      </c>
      <c r="C2968" s="28">
        <v>53.4905529930055</v>
      </c>
      <c r="D2968" s="28">
        <v>9.99131737132336</v>
      </c>
      <c r="E2968" s="28" t="s">
        <v>25</v>
      </c>
      <c r="F2968" s="28" t="s">
        <v>14</v>
      </c>
      <c r="G2968" s="38"/>
      <c r="H2968" s="38"/>
      <c r="J2968" s="31">
        <f t="shared" si="9"/>
        <v>0</v>
      </c>
    </row>
    <row r="2969">
      <c r="A2969" s="28">
        <v>50.0</v>
      </c>
      <c r="B2969" s="28">
        <v>12.0</v>
      </c>
      <c r="C2969" s="28">
        <v>53.4905404658301</v>
      </c>
      <c r="D2969" s="28">
        <v>9.99155803387509</v>
      </c>
      <c r="E2969" s="28" t="s">
        <v>15</v>
      </c>
      <c r="F2969" s="28" t="s">
        <v>168</v>
      </c>
      <c r="G2969" s="29" t="s">
        <v>40</v>
      </c>
      <c r="H2969" s="36" t="s">
        <v>1033</v>
      </c>
      <c r="J2969" s="31">
        <f t="shared" si="9"/>
        <v>88</v>
      </c>
    </row>
    <row r="2970">
      <c r="A2970" s="28">
        <v>50.0</v>
      </c>
      <c r="B2970" s="28">
        <v>13.0</v>
      </c>
      <c r="C2970" s="28">
        <v>53.4905279386546</v>
      </c>
      <c r="D2970" s="28">
        <v>9.99179869635577</v>
      </c>
      <c r="E2970" s="28" t="s">
        <v>15</v>
      </c>
      <c r="F2970" s="28" t="s">
        <v>168</v>
      </c>
      <c r="G2970" s="38"/>
      <c r="H2970" s="38"/>
      <c r="J2970" s="31">
        <f t="shared" si="9"/>
        <v>0</v>
      </c>
    </row>
    <row r="2971">
      <c r="A2971" s="28">
        <v>50.0</v>
      </c>
      <c r="B2971" s="28">
        <v>14.0</v>
      </c>
      <c r="C2971" s="28">
        <v>53.4905154114792</v>
      </c>
      <c r="D2971" s="28">
        <v>9.99203935876539</v>
      </c>
      <c r="E2971" s="28" t="s">
        <v>15</v>
      </c>
      <c r="F2971" s="28" t="s">
        <v>168</v>
      </c>
      <c r="G2971" s="38"/>
      <c r="H2971" s="38"/>
      <c r="J2971" s="31">
        <f t="shared" si="9"/>
        <v>0</v>
      </c>
    </row>
    <row r="2972">
      <c r="A2972" s="28">
        <v>50.0</v>
      </c>
      <c r="B2972" s="28">
        <v>15.0</v>
      </c>
      <c r="C2972" s="28">
        <v>53.4905028843038</v>
      </c>
      <c r="D2972" s="28">
        <v>9.99228002110385</v>
      </c>
      <c r="E2972" s="28" t="s">
        <v>15</v>
      </c>
      <c r="F2972" s="28" t="s">
        <v>168</v>
      </c>
      <c r="G2972" s="29" t="s">
        <v>40</v>
      </c>
      <c r="H2972" s="36" t="s">
        <v>1034</v>
      </c>
      <c r="J2972" s="31">
        <f t="shared" si="9"/>
        <v>88</v>
      </c>
    </row>
    <row r="2973">
      <c r="A2973" s="28">
        <v>50.0</v>
      </c>
      <c r="B2973" s="28">
        <v>16.0</v>
      </c>
      <c r="C2973" s="28">
        <v>53.4904903571284</v>
      </c>
      <c r="D2973" s="28">
        <v>9.99252068337125</v>
      </c>
      <c r="E2973" s="28" t="s">
        <v>25</v>
      </c>
      <c r="F2973" s="28" t="s">
        <v>14</v>
      </c>
      <c r="G2973" s="38"/>
      <c r="H2973" s="38"/>
      <c r="J2973" s="31">
        <f t="shared" si="9"/>
        <v>0</v>
      </c>
    </row>
    <row r="2974">
      <c r="A2974" s="28">
        <v>50.0</v>
      </c>
      <c r="B2974" s="28">
        <v>17.0</v>
      </c>
      <c r="C2974" s="28">
        <v>53.4904778299529</v>
      </c>
      <c r="D2974" s="28">
        <v>9.9927613455676</v>
      </c>
      <c r="E2974" s="28" t="s">
        <v>25</v>
      </c>
      <c r="F2974" s="28" t="s">
        <v>14</v>
      </c>
      <c r="G2974" s="38"/>
      <c r="H2974" s="38"/>
      <c r="J2974" s="31">
        <f t="shared" si="9"/>
        <v>0</v>
      </c>
    </row>
    <row r="2975">
      <c r="A2975" s="28">
        <v>50.0</v>
      </c>
      <c r="B2975" s="28">
        <v>18.0</v>
      </c>
      <c r="C2975" s="28">
        <v>53.4904653027775</v>
      </c>
      <c r="D2975" s="28">
        <v>9.99300200769289</v>
      </c>
      <c r="E2975" s="28" t="s">
        <v>15</v>
      </c>
      <c r="F2975" s="28" t="s">
        <v>168</v>
      </c>
      <c r="G2975" s="29" t="s">
        <v>40</v>
      </c>
      <c r="H2975" s="36" t="s">
        <v>1035</v>
      </c>
      <c r="J2975" s="31">
        <f t="shared" si="9"/>
        <v>88</v>
      </c>
    </row>
    <row r="2976">
      <c r="A2976" s="28">
        <v>50.0</v>
      </c>
      <c r="B2976" s="28">
        <v>19.0</v>
      </c>
      <c r="C2976" s="28">
        <v>53.4904527756021</v>
      </c>
      <c r="D2976" s="28">
        <v>9.99324266974713</v>
      </c>
      <c r="E2976" s="28" t="s">
        <v>15</v>
      </c>
      <c r="F2976" s="28" t="s">
        <v>168</v>
      </c>
      <c r="G2976" s="38"/>
      <c r="H2976" s="38"/>
      <c r="J2976" s="31">
        <f t="shared" si="9"/>
        <v>0</v>
      </c>
    </row>
    <row r="2977">
      <c r="A2977" s="28">
        <v>50.0</v>
      </c>
      <c r="B2977" s="28">
        <v>20.0</v>
      </c>
      <c r="C2977" s="28">
        <v>53.4904402484266</v>
      </c>
      <c r="D2977" s="28">
        <v>9.9934833317302</v>
      </c>
      <c r="E2977" s="28" t="s">
        <v>15</v>
      </c>
      <c r="F2977" s="28" t="s">
        <v>168</v>
      </c>
      <c r="G2977" s="38"/>
      <c r="H2977" s="38"/>
      <c r="J2977" s="31">
        <f t="shared" si="9"/>
        <v>0</v>
      </c>
    </row>
    <row r="2978">
      <c r="A2978" s="28">
        <v>50.0</v>
      </c>
      <c r="B2978" s="28">
        <v>21.0</v>
      </c>
      <c r="C2978" s="28">
        <v>53.4904277212512</v>
      </c>
      <c r="D2978" s="28">
        <v>9.99372399364222</v>
      </c>
      <c r="E2978" s="28" t="s">
        <v>15</v>
      </c>
      <c r="F2978" s="28" t="s">
        <v>168</v>
      </c>
      <c r="G2978" s="38"/>
      <c r="H2978" s="38"/>
      <c r="J2978" s="31">
        <f t="shared" si="9"/>
        <v>0</v>
      </c>
    </row>
    <row r="2979">
      <c r="A2979" s="28">
        <v>50.0</v>
      </c>
      <c r="B2979" s="28">
        <v>22.0</v>
      </c>
      <c r="C2979" s="28">
        <v>53.4904151940758</v>
      </c>
      <c r="D2979" s="28">
        <v>9.99396465548318</v>
      </c>
      <c r="E2979" s="28" t="s">
        <v>15</v>
      </c>
      <c r="F2979" s="28" t="s">
        <v>168</v>
      </c>
      <c r="G2979" s="38"/>
      <c r="H2979" s="38"/>
      <c r="J2979" s="31">
        <f t="shared" si="9"/>
        <v>0</v>
      </c>
    </row>
    <row r="2980">
      <c r="A2980" s="28">
        <v>50.0</v>
      </c>
      <c r="B2980" s="28">
        <v>23.0</v>
      </c>
      <c r="C2980" s="28">
        <v>53.4904026669004</v>
      </c>
      <c r="D2980" s="28">
        <v>9.99420531725309</v>
      </c>
      <c r="E2980" s="28" t="s">
        <v>15</v>
      </c>
      <c r="F2980" s="28" t="s">
        <v>168</v>
      </c>
      <c r="G2980" s="38"/>
      <c r="H2980" s="38"/>
      <c r="J2980" s="31">
        <f t="shared" si="9"/>
        <v>0</v>
      </c>
    </row>
    <row r="2981">
      <c r="A2981" s="28">
        <v>50.0</v>
      </c>
      <c r="B2981" s="28">
        <v>24.0</v>
      </c>
      <c r="C2981" s="28">
        <v>53.490390139725</v>
      </c>
      <c r="D2981" s="28">
        <v>9.99444597895183</v>
      </c>
      <c r="E2981" s="28" t="s">
        <v>25</v>
      </c>
      <c r="F2981" s="28" t="s">
        <v>14</v>
      </c>
      <c r="G2981" s="38"/>
      <c r="H2981" s="38"/>
      <c r="J2981" s="31">
        <f t="shared" si="9"/>
        <v>0</v>
      </c>
    </row>
    <row r="2982">
      <c r="A2982" s="28">
        <v>50.0</v>
      </c>
      <c r="B2982" s="28">
        <v>25.0</v>
      </c>
      <c r="C2982" s="28">
        <v>53.4903776125495</v>
      </c>
      <c r="D2982" s="28">
        <v>9.99468664057951</v>
      </c>
      <c r="E2982" s="28" t="s">
        <v>25</v>
      </c>
      <c r="F2982" s="28" t="s">
        <v>14</v>
      </c>
      <c r="G2982" s="38"/>
      <c r="H2982" s="38"/>
      <c r="J2982" s="31">
        <f t="shared" si="9"/>
        <v>0</v>
      </c>
    </row>
    <row r="2983">
      <c r="A2983" s="28">
        <v>50.0</v>
      </c>
      <c r="B2983" s="28">
        <v>26.0</v>
      </c>
      <c r="C2983" s="28">
        <v>53.4903650853741</v>
      </c>
      <c r="D2983" s="28">
        <v>9.99492730213614</v>
      </c>
      <c r="E2983" s="28" t="s">
        <v>25</v>
      </c>
      <c r="F2983" s="28" t="s">
        <v>14</v>
      </c>
      <c r="G2983" s="38"/>
      <c r="H2983" s="38"/>
      <c r="J2983" s="31">
        <f t="shared" si="9"/>
        <v>0</v>
      </c>
    </row>
    <row r="2984">
      <c r="A2984" s="28">
        <v>50.0</v>
      </c>
      <c r="B2984" s="28">
        <v>27.0</v>
      </c>
      <c r="C2984" s="28">
        <v>53.4903525581987</v>
      </c>
      <c r="D2984" s="28">
        <v>9.99516796362161</v>
      </c>
      <c r="E2984" s="28" t="s">
        <v>25</v>
      </c>
      <c r="F2984" s="28" t="s">
        <v>14</v>
      </c>
      <c r="G2984" s="38"/>
      <c r="H2984" s="38"/>
      <c r="J2984" s="31">
        <f t="shared" si="9"/>
        <v>0</v>
      </c>
    </row>
    <row r="2985">
      <c r="A2985" s="28">
        <v>50.0</v>
      </c>
      <c r="B2985" s="28">
        <v>28.0</v>
      </c>
      <c r="C2985" s="28">
        <v>53.4903400310233</v>
      </c>
      <c r="D2985" s="28">
        <v>9.99540862503602</v>
      </c>
      <c r="E2985" s="28" t="s">
        <v>25</v>
      </c>
      <c r="F2985" s="28" t="s">
        <v>14</v>
      </c>
      <c r="G2985" s="38"/>
      <c r="H2985" s="38"/>
      <c r="J2985" s="31">
        <f t="shared" si="9"/>
        <v>0</v>
      </c>
    </row>
    <row r="2986">
      <c r="A2986" s="28">
        <v>50.0</v>
      </c>
      <c r="B2986" s="28">
        <v>29.0</v>
      </c>
      <c r="C2986" s="28">
        <v>53.4903275038478</v>
      </c>
      <c r="D2986" s="28">
        <v>9.99564928637937</v>
      </c>
      <c r="E2986" s="28" t="s">
        <v>25</v>
      </c>
      <c r="F2986" s="28" t="s">
        <v>14</v>
      </c>
      <c r="G2986" s="38"/>
      <c r="H2986" s="38"/>
      <c r="J2986" s="31">
        <f t="shared" si="9"/>
        <v>0</v>
      </c>
    </row>
    <row r="2987">
      <c r="A2987" s="28">
        <v>50.0</v>
      </c>
      <c r="B2987" s="28">
        <v>30.0</v>
      </c>
      <c r="C2987" s="28">
        <v>53.4903149766724</v>
      </c>
      <c r="D2987" s="28">
        <v>9.99588994765167</v>
      </c>
      <c r="E2987" s="28" t="s">
        <v>15</v>
      </c>
      <c r="F2987" s="28" t="s">
        <v>168</v>
      </c>
      <c r="G2987" s="38"/>
      <c r="H2987" s="38"/>
      <c r="J2987" s="31">
        <f t="shared" si="9"/>
        <v>0</v>
      </c>
    </row>
    <row r="2988">
      <c r="A2988" s="28">
        <v>50.0</v>
      </c>
      <c r="B2988" s="28">
        <v>31.0</v>
      </c>
      <c r="C2988" s="28">
        <v>53.490302449497</v>
      </c>
      <c r="D2988" s="28">
        <v>9.9961306088528</v>
      </c>
      <c r="E2988" s="28" t="s">
        <v>25</v>
      </c>
      <c r="F2988" s="28" t="s">
        <v>14</v>
      </c>
      <c r="G2988" s="38"/>
      <c r="H2988" s="38"/>
      <c r="J2988" s="31">
        <f t="shared" si="9"/>
        <v>0</v>
      </c>
    </row>
    <row r="2989">
      <c r="A2989" s="28">
        <v>50.0</v>
      </c>
      <c r="B2989" s="28">
        <v>32.0</v>
      </c>
      <c r="C2989" s="28">
        <v>53.4902899223215</v>
      </c>
      <c r="D2989" s="28">
        <v>9.99637126998288</v>
      </c>
      <c r="E2989" s="28" t="s">
        <v>25</v>
      </c>
      <c r="F2989" s="28" t="s">
        <v>14</v>
      </c>
      <c r="G2989" s="38"/>
      <c r="H2989" s="38"/>
      <c r="J2989" s="31">
        <f t="shared" si="9"/>
        <v>0</v>
      </c>
    </row>
    <row r="2990">
      <c r="A2990" s="28">
        <v>50.0</v>
      </c>
      <c r="B2990" s="28">
        <v>33.0</v>
      </c>
      <c r="C2990" s="28">
        <v>53.4902773951461</v>
      </c>
      <c r="D2990" s="28">
        <v>9.99661193104191</v>
      </c>
      <c r="E2990" s="28" t="s">
        <v>15</v>
      </c>
      <c r="F2990" s="28" t="s">
        <v>168</v>
      </c>
      <c r="G2990" s="38"/>
      <c r="H2990" s="38"/>
      <c r="J2990" s="31">
        <f t="shared" si="9"/>
        <v>0</v>
      </c>
    </row>
    <row r="2991">
      <c r="A2991" s="28">
        <v>50.0</v>
      </c>
      <c r="B2991" s="28">
        <v>34.0</v>
      </c>
      <c r="C2991" s="28">
        <v>53.4902648679707</v>
      </c>
      <c r="D2991" s="28">
        <v>9.99685259202988</v>
      </c>
      <c r="E2991" s="28" t="s">
        <v>25</v>
      </c>
      <c r="F2991" s="28" t="s">
        <v>14</v>
      </c>
      <c r="G2991" s="38"/>
      <c r="H2991" s="38"/>
      <c r="J2991" s="31">
        <f t="shared" si="9"/>
        <v>0</v>
      </c>
    </row>
    <row r="2992">
      <c r="A2992" s="28">
        <v>50.0</v>
      </c>
      <c r="B2992" s="28">
        <v>35.0</v>
      </c>
      <c r="C2992" s="28">
        <v>53.4902523407953</v>
      </c>
      <c r="D2992" s="28">
        <v>9.99709325294668</v>
      </c>
      <c r="E2992" s="28" t="s">
        <v>25</v>
      </c>
      <c r="F2992" s="28" t="s">
        <v>14</v>
      </c>
      <c r="G2992" s="38"/>
      <c r="H2992" s="38"/>
      <c r="J2992" s="31">
        <f t="shared" si="9"/>
        <v>0</v>
      </c>
    </row>
    <row r="2993">
      <c r="A2993" s="28">
        <v>50.0</v>
      </c>
      <c r="B2993" s="28">
        <v>36.0</v>
      </c>
      <c r="C2993" s="28">
        <v>53.4902398136199</v>
      </c>
      <c r="D2993" s="28">
        <v>9.99733391379243</v>
      </c>
      <c r="E2993" s="28" t="s">
        <v>15</v>
      </c>
      <c r="F2993" s="28" t="s">
        <v>168</v>
      </c>
      <c r="G2993" s="38"/>
      <c r="H2993" s="38"/>
      <c r="J2993" s="31">
        <f t="shared" si="9"/>
        <v>0</v>
      </c>
    </row>
    <row r="2994">
      <c r="A2994" s="28">
        <v>50.0</v>
      </c>
      <c r="B2994" s="28">
        <v>37.0</v>
      </c>
      <c r="C2994" s="28">
        <v>53.4902272864444</v>
      </c>
      <c r="D2994" s="28">
        <v>9.99757457456712</v>
      </c>
      <c r="E2994" s="28" t="s">
        <v>15</v>
      </c>
      <c r="F2994" s="28" t="s">
        <v>168</v>
      </c>
      <c r="G2994" s="38"/>
      <c r="H2994" s="38"/>
      <c r="J2994" s="31">
        <f t="shared" si="9"/>
        <v>0</v>
      </c>
    </row>
    <row r="2995">
      <c r="A2995" s="28">
        <v>50.0</v>
      </c>
      <c r="B2995" s="28">
        <v>38.0</v>
      </c>
      <c r="C2995" s="28">
        <v>53.490214759269</v>
      </c>
      <c r="D2995" s="28">
        <v>9.99781523527076</v>
      </c>
      <c r="E2995" s="28" t="s">
        <v>15</v>
      </c>
      <c r="F2995" s="28" t="s">
        <v>168</v>
      </c>
      <c r="G2995" s="38"/>
      <c r="H2995" s="38"/>
      <c r="J2995" s="31">
        <f t="shared" si="9"/>
        <v>0</v>
      </c>
    </row>
    <row r="2996">
      <c r="A2996" s="28">
        <v>50.0</v>
      </c>
      <c r="B2996" s="28">
        <v>39.0</v>
      </c>
      <c r="C2996" s="28">
        <v>53.4902022320936</v>
      </c>
      <c r="D2996" s="28">
        <v>9.99805589590323</v>
      </c>
      <c r="E2996" s="28" t="s">
        <v>25</v>
      </c>
      <c r="F2996" s="28" t="s">
        <v>14</v>
      </c>
      <c r="G2996" s="38"/>
      <c r="H2996" s="38"/>
      <c r="J2996" s="31">
        <f t="shared" si="9"/>
        <v>0</v>
      </c>
    </row>
    <row r="2997">
      <c r="A2997" s="28">
        <v>50.0</v>
      </c>
      <c r="B2997" s="28">
        <v>40.0</v>
      </c>
      <c r="C2997" s="28">
        <v>53.4901897049182</v>
      </c>
      <c r="D2997" s="28">
        <v>9.99829655646465</v>
      </c>
      <c r="E2997" s="28" t="s">
        <v>25</v>
      </c>
      <c r="F2997" s="28" t="s">
        <v>14</v>
      </c>
      <c r="G2997" s="38"/>
      <c r="H2997" s="38"/>
      <c r="J2997" s="31">
        <f t="shared" si="9"/>
        <v>0</v>
      </c>
    </row>
    <row r="2998">
      <c r="A2998" s="28">
        <v>50.0</v>
      </c>
      <c r="B2998" s="28">
        <v>41.0</v>
      </c>
      <c r="C2998" s="28">
        <v>53.4901771777428</v>
      </c>
      <c r="D2998" s="28">
        <v>9.9985372169549</v>
      </c>
      <c r="E2998" s="28" t="s">
        <v>15</v>
      </c>
      <c r="F2998" s="28" t="s">
        <v>168</v>
      </c>
      <c r="G2998" s="38"/>
      <c r="H2998" s="38"/>
      <c r="J2998" s="31">
        <f t="shared" si="9"/>
        <v>0</v>
      </c>
    </row>
    <row r="2999">
      <c r="A2999" s="28">
        <v>50.0</v>
      </c>
      <c r="B2999" s="28">
        <v>42.0</v>
      </c>
      <c r="C2999" s="28">
        <v>53.4901646505673</v>
      </c>
      <c r="D2999" s="28">
        <v>9.99877787737409</v>
      </c>
      <c r="E2999" s="28" t="s">
        <v>15</v>
      </c>
      <c r="F2999" s="28" t="s">
        <v>168</v>
      </c>
      <c r="G2999" s="38"/>
      <c r="H2999" s="38"/>
      <c r="J2999" s="31">
        <f t="shared" si="9"/>
        <v>0</v>
      </c>
    </row>
    <row r="3000">
      <c r="A3000" s="28">
        <v>50.0</v>
      </c>
      <c r="B3000" s="28">
        <v>43.0</v>
      </c>
      <c r="C3000" s="28">
        <v>53.4901521233919</v>
      </c>
      <c r="D3000" s="28">
        <v>9.99901853772223</v>
      </c>
      <c r="E3000" s="28" t="s">
        <v>25</v>
      </c>
      <c r="F3000" s="28" t="s">
        <v>14</v>
      </c>
      <c r="G3000" s="38"/>
      <c r="H3000" s="38"/>
      <c r="J3000" s="31">
        <f t="shared" si="9"/>
        <v>0</v>
      </c>
    </row>
    <row r="3001">
      <c r="A3001" s="28">
        <v>50.0</v>
      </c>
      <c r="B3001" s="28">
        <v>44.0</v>
      </c>
      <c r="C3001" s="28">
        <v>53.4901395962165</v>
      </c>
      <c r="D3001" s="28">
        <v>9.99925919799932</v>
      </c>
      <c r="E3001" s="28" t="s">
        <v>25</v>
      </c>
      <c r="F3001" s="28" t="s">
        <v>14</v>
      </c>
      <c r="G3001" s="38"/>
      <c r="H3001" s="38"/>
      <c r="J3001" s="31">
        <f t="shared" si="9"/>
        <v>0</v>
      </c>
    </row>
    <row r="3002">
      <c r="A3002" s="28">
        <v>50.0</v>
      </c>
      <c r="B3002" s="28">
        <v>45.0</v>
      </c>
      <c r="C3002" s="28">
        <v>53.4901270690411</v>
      </c>
      <c r="D3002" s="28">
        <v>9.99949985820535</v>
      </c>
      <c r="E3002" s="28" t="s">
        <v>15</v>
      </c>
      <c r="F3002" s="28" t="s">
        <v>168</v>
      </c>
      <c r="G3002" s="38"/>
      <c r="H3002" s="38"/>
      <c r="J3002" s="31">
        <f t="shared" si="9"/>
        <v>0</v>
      </c>
    </row>
    <row r="3003">
      <c r="A3003" s="28">
        <v>50.0</v>
      </c>
      <c r="B3003" s="28">
        <v>46.0</v>
      </c>
      <c r="C3003" s="28">
        <v>53.4901145418656</v>
      </c>
      <c r="D3003" s="28">
        <v>9.99974051834021</v>
      </c>
      <c r="E3003" s="28" t="s">
        <v>15</v>
      </c>
      <c r="F3003" s="28" t="s">
        <v>168</v>
      </c>
      <c r="G3003" s="38"/>
      <c r="H3003" s="38"/>
      <c r="J3003" s="31">
        <f t="shared" si="9"/>
        <v>0</v>
      </c>
    </row>
    <row r="3004">
      <c r="A3004" s="28">
        <v>50.0</v>
      </c>
      <c r="B3004" s="28">
        <v>47.0</v>
      </c>
      <c r="C3004" s="28">
        <v>53.4901020146902</v>
      </c>
      <c r="D3004" s="28">
        <v>9.99998117840402</v>
      </c>
      <c r="E3004" s="28" t="s">
        <v>25</v>
      </c>
      <c r="F3004" s="28" t="s">
        <v>14</v>
      </c>
      <c r="G3004" s="38"/>
      <c r="H3004" s="38"/>
      <c r="J3004" s="31">
        <f t="shared" si="9"/>
        <v>0</v>
      </c>
    </row>
    <row r="3005">
      <c r="A3005" s="28">
        <v>50.0</v>
      </c>
      <c r="B3005" s="28">
        <v>48.0</v>
      </c>
      <c r="C3005" s="28">
        <v>53.4900894875148</v>
      </c>
      <c r="D3005" s="28">
        <v>10.0002218383967</v>
      </c>
      <c r="E3005" s="28" t="s">
        <v>25</v>
      </c>
      <c r="F3005" s="28" t="s">
        <v>14</v>
      </c>
      <c r="G3005" s="38"/>
      <c r="H3005" s="38"/>
      <c r="J3005" s="31">
        <f t="shared" si="9"/>
        <v>0</v>
      </c>
    </row>
    <row r="3006">
      <c r="A3006" s="28">
        <v>50.0</v>
      </c>
      <c r="B3006" s="28">
        <v>49.0</v>
      </c>
      <c r="C3006" s="28">
        <v>53.4900769603394</v>
      </c>
      <c r="D3006" s="28">
        <v>10.0004624983184</v>
      </c>
      <c r="E3006" s="28" t="s">
        <v>15</v>
      </c>
      <c r="F3006" s="28" t="s">
        <v>168</v>
      </c>
      <c r="G3006" s="38"/>
      <c r="H3006" s="38"/>
      <c r="J3006" s="31">
        <f t="shared" si="9"/>
        <v>0</v>
      </c>
    </row>
    <row r="3007">
      <c r="A3007" s="28">
        <v>50.0</v>
      </c>
      <c r="B3007" s="28">
        <v>50.0</v>
      </c>
      <c r="C3007" s="28">
        <v>53.4900644331639</v>
      </c>
      <c r="D3007" s="28">
        <v>10.000703158169</v>
      </c>
      <c r="E3007" s="28" t="s">
        <v>15</v>
      </c>
      <c r="F3007" s="28" t="s">
        <v>168</v>
      </c>
      <c r="G3007" s="38"/>
      <c r="H3007" s="38"/>
      <c r="J3007" s="31">
        <f t="shared" si="9"/>
        <v>0</v>
      </c>
    </row>
    <row r="3008">
      <c r="A3008" s="28">
        <v>50.0</v>
      </c>
      <c r="B3008" s="28">
        <v>51.0</v>
      </c>
      <c r="C3008" s="28">
        <v>53.4900519059885</v>
      </c>
      <c r="D3008" s="28">
        <v>10.0009438179484</v>
      </c>
      <c r="E3008" s="28" t="s">
        <v>15</v>
      </c>
      <c r="F3008" s="28" t="s">
        <v>168</v>
      </c>
      <c r="G3008" s="38"/>
      <c r="H3008" s="38"/>
      <c r="J3008" s="31">
        <f t="shared" si="9"/>
        <v>0</v>
      </c>
    </row>
    <row r="3009">
      <c r="A3009" s="28">
        <v>50.0</v>
      </c>
      <c r="B3009" s="28">
        <v>52.0</v>
      </c>
      <c r="C3009" s="28">
        <v>53.4900393788131</v>
      </c>
      <c r="D3009" s="28">
        <v>10.0011844776569</v>
      </c>
      <c r="E3009" s="28" t="s">
        <v>25</v>
      </c>
      <c r="F3009" s="28" t="s">
        <v>14</v>
      </c>
      <c r="G3009" s="38"/>
      <c r="H3009" s="38"/>
      <c r="J3009" s="31">
        <f t="shared" si="9"/>
        <v>0</v>
      </c>
    </row>
    <row r="3010">
      <c r="A3010" s="28">
        <v>50.0</v>
      </c>
      <c r="B3010" s="28">
        <v>53.0</v>
      </c>
      <c r="C3010" s="28">
        <v>53.4900268516377</v>
      </c>
      <c r="D3010" s="28">
        <v>10.0014251372942</v>
      </c>
      <c r="E3010" s="28" t="s">
        <v>25</v>
      </c>
      <c r="F3010" s="28" t="s">
        <v>14</v>
      </c>
      <c r="G3010" s="38"/>
      <c r="H3010" s="38"/>
      <c r="J3010" s="31">
        <f t="shared" si="9"/>
        <v>0</v>
      </c>
    </row>
    <row r="3011">
      <c r="A3011" s="28">
        <v>50.0</v>
      </c>
      <c r="B3011" s="28">
        <v>54.0</v>
      </c>
      <c r="C3011" s="28">
        <v>53.4900143244623</v>
      </c>
      <c r="D3011" s="28">
        <v>10.0016657968604</v>
      </c>
      <c r="E3011" s="28" t="s">
        <v>15</v>
      </c>
      <c r="F3011" s="28" t="s">
        <v>168</v>
      </c>
      <c r="G3011" s="38"/>
      <c r="H3011" s="38"/>
      <c r="J3011" s="31">
        <f t="shared" si="9"/>
        <v>0</v>
      </c>
    </row>
    <row r="3012">
      <c r="A3012" s="28">
        <v>50.0</v>
      </c>
      <c r="B3012" s="28">
        <v>55.0</v>
      </c>
      <c r="C3012" s="28">
        <v>53.4900017972869</v>
      </c>
      <c r="D3012" s="28">
        <v>10.0019064563556</v>
      </c>
      <c r="E3012" s="28" t="s">
        <v>15</v>
      </c>
      <c r="F3012" s="28" t="s">
        <v>168</v>
      </c>
      <c r="G3012" s="38"/>
      <c r="H3012" s="38"/>
      <c r="J3012" s="31">
        <f t="shared" si="9"/>
        <v>0</v>
      </c>
    </row>
    <row r="3013">
      <c r="A3013" s="28">
        <v>50.0</v>
      </c>
      <c r="B3013" s="28">
        <v>56.0</v>
      </c>
      <c r="C3013" s="28">
        <v>53.4899892701114</v>
      </c>
      <c r="D3013" s="28">
        <v>10.0021471157797</v>
      </c>
      <c r="E3013" s="28" t="s">
        <v>15</v>
      </c>
      <c r="F3013" s="28" t="s">
        <v>168</v>
      </c>
      <c r="G3013" s="38"/>
      <c r="H3013" s="38"/>
      <c r="J3013" s="31">
        <f t="shared" si="9"/>
        <v>0</v>
      </c>
    </row>
    <row r="3014">
      <c r="A3014" s="28">
        <v>50.0</v>
      </c>
      <c r="B3014" s="28">
        <v>57.0</v>
      </c>
      <c r="C3014" s="28">
        <v>53.489976742936</v>
      </c>
      <c r="D3014" s="28">
        <v>10.0023877751327</v>
      </c>
      <c r="E3014" s="28" t="s">
        <v>15</v>
      </c>
      <c r="F3014" s="28" t="s">
        <v>168</v>
      </c>
      <c r="G3014" s="38"/>
      <c r="H3014" s="38"/>
      <c r="J3014" s="31">
        <f t="shared" si="9"/>
        <v>0</v>
      </c>
    </row>
    <row r="3015">
      <c r="A3015" s="28">
        <v>50.0</v>
      </c>
      <c r="B3015" s="28">
        <v>58.0</v>
      </c>
      <c r="C3015" s="28">
        <v>53.4899642157606</v>
      </c>
      <c r="D3015" s="28">
        <v>10.0026284344146</v>
      </c>
      <c r="E3015" s="28" t="s">
        <v>15</v>
      </c>
      <c r="F3015" s="28" t="s">
        <v>168</v>
      </c>
      <c r="G3015" s="37" t="s">
        <v>1016</v>
      </c>
      <c r="H3015" s="35" t="s">
        <v>1036</v>
      </c>
      <c r="J3015" s="31">
        <f t="shared" si="9"/>
        <v>4</v>
      </c>
    </row>
    <row r="3016">
      <c r="A3016" s="28">
        <v>50.0</v>
      </c>
      <c r="B3016" s="28">
        <v>59.0</v>
      </c>
      <c r="C3016" s="28">
        <v>53.4899516885852</v>
      </c>
      <c r="D3016" s="28">
        <v>10.0028690936254</v>
      </c>
      <c r="E3016" s="28" t="s">
        <v>15</v>
      </c>
      <c r="F3016" s="28" t="s">
        <v>168</v>
      </c>
      <c r="G3016" s="29" t="s">
        <v>1018</v>
      </c>
      <c r="H3016" s="30" t="str">
        <f>HYPERLINK("https://www.munzee.com/m/TheLabGuys/6659/", "TheLabGuys/6659")</f>
        <v>TheLabGuys/6659</v>
      </c>
      <c r="J3016" s="31">
        <f t="shared" si="9"/>
        <v>5</v>
      </c>
    </row>
    <row r="3017">
      <c r="A3017" s="28">
        <v>50.0</v>
      </c>
      <c r="B3017" s="28">
        <v>60.0</v>
      </c>
      <c r="C3017" s="28">
        <v>53.4899391614097</v>
      </c>
      <c r="D3017" s="28">
        <v>10.0031097527652</v>
      </c>
      <c r="E3017" s="28" t="s">
        <v>25</v>
      </c>
      <c r="F3017" s="28" t="s">
        <v>14</v>
      </c>
      <c r="G3017" s="29" t="s">
        <v>164</v>
      </c>
      <c r="H3017" s="35" t="s">
        <v>1037</v>
      </c>
      <c r="J3017" s="31">
        <f t="shared" si="9"/>
        <v>133</v>
      </c>
    </row>
    <row r="3018">
      <c r="A3018" s="28">
        <v>51.0</v>
      </c>
      <c r="B3018" s="28">
        <v>1.0</v>
      </c>
      <c r="C3018" s="28">
        <v>53.4905350812502</v>
      </c>
      <c r="D3018" s="28">
        <v>9.98888968665346</v>
      </c>
      <c r="E3018" s="28" t="s">
        <v>25</v>
      </c>
      <c r="F3018" s="28" t="s">
        <v>14</v>
      </c>
      <c r="G3018" s="29" t="s">
        <v>164</v>
      </c>
      <c r="H3018" s="35" t="s">
        <v>1038</v>
      </c>
      <c r="J3018" s="31">
        <f t="shared" si="9"/>
        <v>133</v>
      </c>
    </row>
    <row r="3019">
      <c r="A3019" s="28">
        <v>51.0</v>
      </c>
      <c r="B3019" s="28">
        <v>2.0</v>
      </c>
      <c r="C3019" s="28">
        <v>53.4905225540748</v>
      </c>
      <c r="D3019" s="28">
        <v>9.98913034910356</v>
      </c>
      <c r="E3019" s="28" t="s">
        <v>15</v>
      </c>
      <c r="F3019" s="28" t="s">
        <v>168</v>
      </c>
      <c r="G3019" s="38"/>
      <c r="H3019" s="38"/>
      <c r="J3019" s="31">
        <f t="shared" si="9"/>
        <v>0</v>
      </c>
    </row>
    <row r="3020">
      <c r="A3020" s="28">
        <v>51.0</v>
      </c>
      <c r="B3020" s="28">
        <v>3.0</v>
      </c>
      <c r="C3020" s="28">
        <v>53.4905100268993</v>
      </c>
      <c r="D3020" s="28">
        <v>9.9893710114826</v>
      </c>
      <c r="E3020" s="28" t="s">
        <v>15</v>
      </c>
      <c r="F3020" s="28" t="s">
        <v>168</v>
      </c>
      <c r="G3020" s="38"/>
      <c r="H3020" s="38"/>
      <c r="J3020" s="31">
        <f t="shared" si="9"/>
        <v>0</v>
      </c>
    </row>
    <row r="3021">
      <c r="A3021" s="28">
        <v>51.0</v>
      </c>
      <c r="B3021" s="28">
        <v>4.0</v>
      </c>
      <c r="C3021" s="28">
        <v>53.4904974997239</v>
      </c>
      <c r="D3021" s="28">
        <v>9.98961167379059</v>
      </c>
      <c r="E3021" s="28" t="s">
        <v>15</v>
      </c>
      <c r="F3021" s="28" t="s">
        <v>168</v>
      </c>
      <c r="G3021" s="38"/>
      <c r="H3021" s="38"/>
      <c r="J3021" s="31">
        <f t="shared" si="9"/>
        <v>0</v>
      </c>
    </row>
    <row r="3022">
      <c r="A3022" s="28">
        <v>51.0</v>
      </c>
      <c r="B3022" s="28">
        <v>5.0</v>
      </c>
      <c r="C3022" s="28">
        <v>53.4904849725485</v>
      </c>
      <c r="D3022" s="28">
        <v>9.98985233602752</v>
      </c>
      <c r="E3022" s="28" t="s">
        <v>15</v>
      </c>
      <c r="F3022" s="28" t="s">
        <v>168</v>
      </c>
      <c r="G3022" s="38"/>
      <c r="H3022" s="38"/>
      <c r="J3022" s="31">
        <f t="shared" si="9"/>
        <v>0</v>
      </c>
    </row>
    <row r="3023">
      <c r="A3023" s="28">
        <v>51.0</v>
      </c>
      <c r="B3023" s="28">
        <v>6.0</v>
      </c>
      <c r="C3023" s="28">
        <v>53.4904724453731</v>
      </c>
      <c r="D3023" s="28">
        <v>9.99009299819329</v>
      </c>
      <c r="E3023" s="28" t="s">
        <v>15</v>
      </c>
      <c r="F3023" s="28" t="s">
        <v>168</v>
      </c>
      <c r="G3023" s="38"/>
      <c r="H3023" s="38"/>
      <c r="J3023" s="31">
        <f t="shared" si="9"/>
        <v>0</v>
      </c>
    </row>
    <row r="3024">
      <c r="A3024" s="28">
        <v>51.0</v>
      </c>
      <c r="B3024" s="28">
        <v>7.0</v>
      </c>
      <c r="C3024" s="28">
        <v>53.4904599181976</v>
      </c>
      <c r="D3024" s="28">
        <v>9.990333660288</v>
      </c>
      <c r="E3024" s="28" t="s">
        <v>15</v>
      </c>
      <c r="F3024" s="28" t="s">
        <v>168</v>
      </c>
      <c r="G3024" s="38"/>
      <c r="H3024" s="38"/>
      <c r="J3024" s="31">
        <f t="shared" si="9"/>
        <v>0</v>
      </c>
    </row>
    <row r="3025">
      <c r="A3025" s="28">
        <v>51.0</v>
      </c>
      <c r="B3025" s="28">
        <v>8.0</v>
      </c>
      <c r="C3025" s="28">
        <v>53.4904473910222</v>
      </c>
      <c r="D3025" s="28">
        <v>9.99057432231165</v>
      </c>
      <c r="E3025" s="28" t="s">
        <v>15</v>
      </c>
      <c r="F3025" s="28" t="s">
        <v>168</v>
      </c>
      <c r="G3025" s="38"/>
      <c r="H3025" s="38"/>
      <c r="J3025" s="31">
        <f t="shared" si="9"/>
        <v>0</v>
      </c>
    </row>
    <row r="3026">
      <c r="A3026" s="28">
        <v>51.0</v>
      </c>
      <c r="B3026" s="28">
        <v>9.0</v>
      </c>
      <c r="C3026" s="28">
        <v>53.4904348638468</v>
      </c>
      <c r="D3026" s="28">
        <v>9.99081498426426</v>
      </c>
      <c r="E3026" s="28" t="s">
        <v>15</v>
      </c>
      <c r="F3026" s="28" t="s">
        <v>168</v>
      </c>
      <c r="G3026" s="38"/>
      <c r="H3026" s="38"/>
      <c r="J3026" s="31">
        <f t="shared" si="9"/>
        <v>0</v>
      </c>
    </row>
    <row r="3027">
      <c r="A3027" s="28">
        <v>51.0</v>
      </c>
      <c r="B3027" s="28">
        <v>10.0</v>
      </c>
      <c r="C3027" s="28">
        <v>53.4904223366714</v>
      </c>
      <c r="D3027" s="28">
        <v>9.99105564614569</v>
      </c>
      <c r="E3027" s="28" t="s">
        <v>25</v>
      </c>
      <c r="F3027" s="28" t="s">
        <v>14</v>
      </c>
      <c r="G3027" s="38"/>
      <c r="H3027" s="38"/>
      <c r="J3027" s="31">
        <f t="shared" si="9"/>
        <v>0</v>
      </c>
    </row>
    <row r="3028">
      <c r="A3028" s="28">
        <v>51.0</v>
      </c>
      <c r="B3028" s="28">
        <v>11.0</v>
      </c>
      <c r="C3028" s="28">
        <v>53.4904098094959</v>
      </c>
      <c r="D3028" s="28">
        <v>9.99129630795607</v>
      </c>
      <c r="E3028" s="28" t="s">
        <v>25</v>
      </c>
      <c r="F3028" s="28" t="s">
        <v>14</v>
      </c>
      <c r="G3028" s="38"/>
      <c r="H3028" s="38"/>
      <c r="J3028" s="31">
        <f t="shared" si="9"/>
        <v>0</v>
      </c>
    </row>
    <row r="3029">
      <c r="A3029" s="28">
        <v>51.0</v>
      </c>
      <c r="B3029" s="28">
        <v>12.0</v>
      </c>
      <c r="C3029" s="28">
        <v>53.4903972823205</v>
      </c>
      <c r="D3029" s="28">
        <v>9.9915369696954</v>
      </c>
      <c r="E3029" s="28" t="s">
        <v>25</v>
      </c>
      <c r="F3029" s="28" t="s">
        <v>14</v>
      </c>
      <c r="G3029" s="38"/>
      <c r="H3029" s="38"/>
      <c r="J3029" s="31">
        <f t="shared" si="9"/>
        <v>0</v>
      </c>
    </row>
    <row r="3030">
      <c r="A3030" s="28">
        <v>51.0</v>
      </c>
      <c r="B3030" s="28">
        <v>13.0</v>
      </c>
      <c r="C3030" s="28">
        <v>53.4903847551451</v>
      </c>
      <c r="D3030" s="28">
        <v>9.99177763136356</v>
      </c>
      <c r="E3030" s="28" t="s">
        <v>15</v>
      </c>
      <c r="F3030" s="28" t="s">
        <v>168</v>
      </c>
      <c r="G3030" s="38"/>
      <c r="H3030" s="38"/>
      <c r="J3030" s="31">
        <f t="shared" si="9"/>
        <v>0</v>
      </c>
    </row>
    <row r="3031">
      <c r="A3031" s="28">
        <v>51.0</v>
      </c>
      <c r="B3031" s="28">
        <v>14.0</v>
      </c>
      <c r="C3031" s="28">
        <v>53.4903722279696</v>
      </c>
      <c r="D3031" s="28">
        <v>9.99201829296066</v>
      </c>
      <c r="E3031" s="28" t="s">
        <v>15</v>
      </c>
      <c r="F3031" s="28" t="s">
        <v>168</v>
      </c>
      <c r="G3031" s="38"/>
      <c r="H3031" s="38"/>
      <c r="J3031" s="31">
        <f t="shared" si="9"/>
        <v>0</v>
      </c>
    </row>
    <row r="3032">
      <c r="A3032" s="28">
        <v>51.0</v>
      </c>
      <c r="B3032" s="28">
        <v>15.0</v>
      </c>
      <c r="C3032" s="28">
        <v>53.4903597007942</v>
      </c>
      <c r="D3032" s="28">
        <v>9.99225895448671</v>
      </c>
      <c r="E3032" s="28" t="s">
        <v>15</v>
      </c>
      <c r="F3032" s="28" t="s">
        <v>168</v>
      </c>
      <c r="G3032" s="38"/>
      <c r="H3032" s="38"/>
      <c r="J3032" s="31">
        <f t="shared" si="9"/>
        <v>0</v>
      </c>
    </row>
    <row r="3033">
      <c r="A3033" s="28">
        <v>51.0</v>
      </c>
      <c r="B3033" s="28">
        <v>16.0</v>
      </c>
      <c r="C3033" s="28">
        <v>53.4903471736188</v>
      </c>
      <c r="D3033" s="28">
        <v>9.99249961594159</v>
      </c>
      <c r="E3033" s="28" t="s">
        <v>25</v>
      </c>
      <c r="F3033" s="28" t="s">
        <v>14</v>
      </c>
      <c r="G3033" s="38"/>
      <c r="H3033" s="38"/>
      <c r="J3033" s="31">
        <f t="shared" si="9"/>
        <v>0</v>
      </c>
    </row>
    <row r="3034">
      <c r="A3034" s="28">
        <v>51.0</v>
      </c>
      <c r="B3034" s="28">
        <v>17.0</v>
      </c>
      <c r="C3034" s="28">
        <v>53.4903346464434</v>
      </c>
      <c r="D3034" s="28">
        <v>9.99274027732542</v>
      </c>
      <c r="E3034" s="28" t="s">
        <v>25</v>
      </c>
      <c r="F3034" s="28" t="s">
        <v>14</v>
      </c>
      <c r="G3034" s="38"/>
      <c r="H3034" s="38"/>
      <c r="J3034" s="31">
        <f t="shared" si="9"/>
        <v>0</v>
      </c>
    </row>
    <row r="3035">
      <c r="A3035" s="28">
        <v>51.0</v>
      </c>
      <c r="B3035" s="28">
        <v>18.0</v>
      </c>
      <c r="C3035" s="28">
        <v>53.490322119268</v>
      </c>
      <c r="D3035" s="28">
        <v>9.99298093863819</v>
      </c>
      <c r="E3035" s="28" t="s">
        <v>15</v>
      </c>
      <c r="F3035" s="28" t="s">
        <v>168</v>
      </c>
      <c r="G3035" s="38"/>
      <c r="H3035" s="38"/>
      <c r="J3035" s="31">
        <f t="shared" si="9"/>
        <v>0</v>
      </c>
    </row>
    <row r="3036">
      <c r="A3036" s="28">
        <v>51.0</v>
      </c>
      <c r="B3036" s="28">
        <v>19.0</v>
      </c>
      <c r="C3036" s="28">
        <v>53.4903095920925</v>
      </c>
      <c r="D3036" s="28">
        <v>9.99322159987991</v>
      </c>
      <c r="E3036" s="28" t="s">
        <v>15</v>
      </c>
      <c r="F3036" s="28" t="s">
        <v>168</v>
      </c>
      <c r="G3036" s="38"/>
      <c r="H3036" s="38"/>
      <c r="J3036" s="31">
        <f t="shared" si="9"/>
        <v>0</v>
      </c>
    </row>
    <row r="3037">
      <c r="A3037" s="28">
        <v>51.0</v>
      </c>
      <c r="B3037" s="28">
        <v>20.0</v>
      </c>
      <c r="C3037" s="28">
        <v>53.4902970649171</v>
      </c>
      <c r="D3037" s="28">
        <v>9.99346226105058</v>
      </c>
      <c r="E3037" s="28" t="s">
        <v>15</v>
      </c>
      <c r="F3037" s="28" t="s">
        <v>168</v>
      </c>
      <c r="G3037" s="38"/>
      <c r="H3037" s="38"/>
      <c r="J3037" s="31">
        <f t="shared" si="9"/>
        <v>0</v>
      </c>
    </row>
    <row r="3038">
      <c r="A3038" s="28">
        <v>51.0</v>
      </c>
      <c r="B3038" s="28">
        <v>21.0</v>
      </c>
      <c r="C3038" s="28">
        <v>53.4902845377417</v>
      </c>
      <c r="D3038" s="28">
        <v>9.99370292215007</v>
      </c>
      <c r="E3038" s="28" t="s">
        <v>15</v>
      </c>
      <c r="F3038" s="28" t="s">
        <v>168</v>
      </c>
      <c r="G3038" s="38"/>
      <c r="H3038" s="38"/>
      <c r="J3038" s="31">
        <f t="shared" si="9"/>
        <v>0</v>
      </c>
    </row>
    <row r="3039">
      <c r="A3039" s="28">
        <v>51.0</v>
      </c>
      <c r="B3039" s="28">
        <v>22.0</v>
      </c>
      <c r="C3039" s="28">
        <v>53.4902720105662</v>
      </c>
      <c r="D3039" s="28">
        <v>9.99394358317852</v>
      </c>
      <c r="E3039" s="28" t="s">
        <v>15</v>
      </c>
      <c r="F3039" s="28" t="s">
        <v>168</v>
      </c>
      <c r="G3039" s="38"/>
      <c r="H3039" s="38"/>
      <c r="J3039" s="31">
        <f t="shared" si="9"/>
        <v>0</v>
      </c>
    </row>
    <row r="3040">
      <c r="A3040" s="28">
        <v>51.0</v>
      </c>
      <c r="B3040" s="28">
        <v>23.0</v>
      </c>
      <c r="C3040" s="28">
        <v>53.4902594833908</v>
      </c>
      <c r="D3040" s="28">
        <v>9.9941842441359</v>
      </c>
      <c r="E3040" s="28" t="s">
        <v>15</v>
      </c>
      <c r="F3040" s="28" t="s">
        <v>168</v>
      </c>
      <c r="G3040" s="38"/>
      <c r="H3040" s="38"/>
      <c r="J3040" s="31">
        <f t="shared" si="9"/>
        <v>0</v>
      </c>
    </row>
    <row r="3041">
      <c r="A3041" s="28">
        <v>51.0</v>
      </c>
      <c r="B3041" s="28">
        <v>24.0</v>
      </c>
      <c r="C3041" s="28">
        <v>53.4902469562154</v>
      </c>
      <c r="D3041" s="28">
        <v>9.99442490502224</v>
      </c>
      <c r="E3041" s="28" t="s">
        <v>25</v>
      </c>
      <c r="F3041" s="28" t="s">
        <v>14</v>
      </c>
      <c r="G3041" s="38"/>
      <c r="H3041" s="38"/>
      <c r="J3041" s="31">
        <f t="shared" si="9"/>
        <v>0</v>
      </c>
    </row>
    <row r="3042">
      <c r="A3042" s="28">
        <v>51.0</v>
      </c>
      <c r="B3042" s="28">
        <v>25.0</v>
      </c>
      <c r="C3042" s="28">
        <v>53.49023442904</v>
      </c>
      <c r="D3042" s="28">
        <v>9.9946655658374</v>
      </c>
      <c r="E3042" s="28" t="s">
        <v>25</v>
      </c>
      <c r="F3042" s="28" t="s">
        <v>14</v>
      </c>
      <c r="G3042" s="38"/>
      <c r="H3042" s="38"/>
      <c r="J3042" s="31">
        <f t="shared" si="9"/>
        <v>0</v>
      </c>
    </row>
    <row r="3043">
      <c r="A3043" s="28">
        <v>51.0</v>
      </c>
      <c r="B3043" s="28">
        <v>26.0</v>
      </c>
      <c r="C3043" s="28">
        <v>53.4902219018645</v>
      </c>
      <c r="D3043" s="28">
        <v>9.99490622658152</v>
      </c>
      <c r="E3043" s="28" t="s">
        <v>25</v>
      </c>
      <c r="F3043" s="28" t="s">
        <v>14</v>
      </c>
      <c r="G3043" s="38"/>
      <c r="H3043" s="38"/>
      <c r="J3043" s="31">
        <f t="shared" si="9"/>
        <v>0</v>
      </c>
    </row>
    <row r="3044">
      <c r="A3044" s="28">
        <v>51.0</v>
      </c>
      <c r="B3044" s="28">
        <v>27.0</v>
      </c>
      <c r="C3044" s="28">
        <v>53.4902093746891</v>
      </c>
      <c r="D3044" s="28">
        <v>9.99514688725457</v>
      </c>
      <c r="E3044" s="28" t="s">
        <v>25</v>
      </c>
      <c r="F3044" s="28" t="s">
        <v>14</v>
      </c>
      <c r="G3044" s="38"/>
      <c r="H3044" s="38"/>
      <c r="J3044" s="31">
        <f t="shared" si="9"/>
        <v>0</v>
      </c>
    </row>
    <row r="3045">
      <c r="A3045" s="28">
        <v>51.0</v>
      </c>
      <c r="B3045" s="28">
        <v>28.0</v>
      </c>
      <c r="C3045" s="28">
        <v>53.4901968475137</v>
      </c>
      <c r="D3045" s="28">
        <v>9.99538754785658</v>
      </c>
      <c r="E3045" s="28" t="s">
        <v>25</v>
      </c>
      <c r="F3045" s="28" t="s">
        <v>14</v>
      </c>
      <c r="G3045" s="38"/>
      <c r="H3045" s="38"/>
      <c r="J3045" s="31">
        <f t="shared" si="9"/>
        <v>0</v>
      </c>
    </row>
    <row r="3046">
      <c r="A3046" s="28">
        <v>51.0</v>
      </c>
      <c r="B3046" s="28">
        <v>29.0</v>
      </c>
      <c r="C3046" s="28">
        <v>53.4901843203383</v>
      </c>
      <c r="D3046" s="28">
        <v>9.99562820838741</v>
      </c>
      <c r="E3046" s="28" t="s">
        <v>15</v>
      </c>
      <c r="F3046" s="28" t="s">
        <v>168</v>
      </c>
      <c r="G3046" s="38"/>
      <c r="H3046" s="38"/>
      <c r="J3046" s="31">
        <f t="shared" si="9"/>
        <v>0</v>
      </c>
    </row>
    <row r="3047">
      <c r="A3047" s="28">
        <v>51.0</v>
      </c>
      <c r="B3047" s="28">
        <v>30.0</v>
      </c>
      <c r="C3047" s="28">
        <v>53.4901717931628</v>
      </c>
      <c r="D3047" s="28">
        <v>9.99586886884719</v>
      </c>
      <c r="E3047" s="28" t="s">
        <v>15</v>
      </c>
      <c r="F3047" s="28" t="s">
        <v>168</v>
      </c>
      <c r="G3047" s="38"/>
      <c r="H3047" s="38"/>
      <c r="J3047" s="31">
        <f t="shared" si="9"/>
        <v>0</v>
      </c>
    </row>
    <row r="3048">
      <c r="A3048" s="28">
        <v>51.0</v>
      </c>
      <c r="B3048" s="28">
        <v>31.0</v>
      </c>
      <c r="C3048" s="28">
        <v>53.4901592659874</v>
      </c>
      <c r="D3048" s="28">
        <v>9.99610952923581</v>
      </c>
      <c r="E3048" s="28" t="s">
        <v>25</v>
      </c>
      <c r="F3048" s="28" t="s">
        <v>14</v>
      </c>
      <c r="G3048" s="38"/>
      <c r="H3048" s="38"/>
      <c r="J3048" s="31">
        <f t="shared" si="9"/>
        <v>0</v>
      </c>
    </row>
    <row r="3049">
      <c r="A3049" s="28">
        <v>51.0</v>
      </c>
      <c r="B3049" s="28">
        <v>32.0</v>
      </c>
      <c r="C3049" s="28">
        <v>53.490146738812</v>
      </c>
      <c r="D3049" s="28">
        <v>9.99635018955336</v>
      </c>
      <c r="E3049" s="28" t="s">
        <v>25</v>
      </c>
      <c r="F3049" s="28" t="s">
        <v>14</v>
      </c>
      <c r="G3049" s="38"/>
      <c r="H3049" s="38"/>
      <c r="J3049" s="31">
        <f t="shared" si="9"/>
        <v>0</v>
      </c>
    </row>
    <row r="3050">
      <c r="A3050" s="28">
        <v>51.0</v>
      </c>
      <c r="B3050" s="28">
        <v>33.0</v>
      </c>
      <c r="C3050" s="28">
        <v>53.4901342116366</v>
      </c>
      <c r="D3050" s="28">
        <v>9.99659084979987</v>
      </c>
      <c r="E3050" s="28" t="s">
        <v>15</v>
      </c>
      <c r="F3050" s="28" t="s">
        <v>168</v>
      </c>
      <c r="G3050" s="29" t="s">
        <v>1021</v>
      </c>
      <c r="H3050" s="30" t="str">
        <f>HYPERLINK("https://www.munzee.com/m/BennyKjeldEgon/152", "BennyKjeldEgon/152")</f>
        <v>BennyKjeldEgon/152</v>
      </c>
      <c r="J3050" s="31">
        <f t="shared" si="9"/>
        <v>4</v>
      </c>
    </row>
    <row r="3051">
      <c r="A3051" s="28">
        <v>51.0</v>
      </c>
      <c r="B3051" s="28">
        <v>34.0</v>
      </c>
      <c r="C3051" s="28">
        <v>53.4901216844612</v>
      </c>
      <c r="D3051" s="28">
        <v>9.99683150997532</v>
      </c>
      <c r="E3051" s="28" t="s">
        <v>25</v>
      </c>
      <c r="F3051" s="28" t="s">
        <v>14</v>
      </c>
      <c r="G3051" s="38"/>
      <c r="H3051" s="38"/>
      <c r="J3051" s="31">
        <f t="shared" si="9"/>
        <v>0</v>
      </c>
    </row>
    <row r="3052">
      <c r="A3052" s="28">
        <v>51.0</v>
      </c>
      <c r="B3052" s="28">
        <v>35.0</v>
      </c>
      <c r="C3052" s="28">
        <v>53.4901091572857</v>
      </c>
      <c r="D3052" s="28">
        <v>9.99707217007971</v>
      </c>
      <c r="E3052" s="28" t="s">
        <v>25</v>
      </c>
      <c r="F3052" s="28" t="s">
        <v>14</v>
      </c>
      <c r="G3052" s="38"/>
      <c r="H3052" s="38"/>
      <c r="J3052" s="31">
        <f t="shared" si="9"/>
        <v>0</v>
      </c>
    </row>
    <row r="3053">
      <c r="A3053" s="28">
        <v>51.0</v>
      </c>
      <c r="B3053" s="28">
        <v>36.0</v>
      </c>
      <c r="C3053" s="28">
        <v>53.4900966301103</v>
      </c>
      <c r="D3053" s="28">
        <v>9.99731283011294</v>
      </c>
      <c r="E3053" s="28" t="s">
        <v>15</v>
      </c>
      <c r="F3053" s="28" t="s">
        <v>168</v>
      </c>
      <c r="G3053" s="38"/>
      <c r="H3053" s="38"/>
      <c r="J3053" s="31">
        <f t="shared" si="9"/>
        <v>0</v>
      </c>
    </row>
    <row r="3054">
      <c r="A3054" s="28">
        <v>51.0</v>
      </c>
      <c r="B3054" s="28">
        <v>37.0</v>
      </c>
      <c r="C3054" s="28">
        <v>53.4900841029349</v>
      </c>
      <c r="D3054" s="28">
        <v>9.99755349007512</v>
      </c>
      <c r="E3054" s="28" t="s">
        <v>15</v>
      </c>
      <c r="F3054" s="28" t="s">
        <v>168</v>
      </c>
      <c r="G3054" s="38"/>
      <c r="H3054" s="38"/>
      <c r="J3054" s="31">
        <f t="shared" si="9"/>
        <v>0</v>
      </c>
    </row>
    <row r="3055">
      <c r="A3055" s="28">
        <v>51.0</v>
      </c>
      <c r="B3055" s="28">
        <v>38.0</v>
      </c>
      <c r="C3055" s="28">
        <v>53.4900715757594</v>
      </c>
      <c r="D3055" s="28">
        <v>9.99779414996624</v>
      </c>
      <c r="E3055" s="28" t="s">
        <v>15</v>
      </c>
      <c r="F3055" s="28" t="s">
        <v>168</v>
      </c>
      <c r="G3055" s="38"/>
      <c r="H3055" s="38"/>
      <c r="J3055" s="31">
        <f t="shared" si="9"/>
        <v>0</v>
      </c>
    </row>
    <row r="3056">
      <c r="A3056" s="28">
        <v>51.0</v>
      </c>
      <c r="B3056" s="28">
        <v>39.0</v>
      </c>
      <c r="C3056" s="28">
        <v>53.490059048584</v>
      </c>
      <c r="D3056" s="28">
        <v>9.9980348097863</v>
      </c>
      <c r="E3056" s="28" t="s">
        <v>25</v>
      </c>
      <c r="F3056" s="28" t="s">
        <v>14</v>
      </c>
      <c r="G3056" s="38"/>
      <c r="H3056" s="38"/>
      <c r="J3056" s="31">
        <f t="shared" si="9"/>
        <v>0</v>
      </c>
    </row>
    <row r="3057">
      <c r="A3057" s="28">
        <v>51.0</v>
      </c>
      <c r="B3057" s="28">
        <v>40.0</v>
      </c>
      <c r="C3057" s="28">
        <v>53.4900465214086</v>
      </c>
      <c r="D3057" s="28">
        <v>9.9982754695352</v>
      </c>
      <c r="E3057" s="28" t="s">
        <v>25</v>
      </c>
      <c r="F3057" s="28" t="s">
        <v>14</v>
      </c>
      <c r="G3057" s="38"/>
      <c r="H3057" s="38"/>
      <c r="J3057" s="31">
        <f t="shared" si="9"/>
        <v>0</v>
      </c>
    </row>
    <row r="3058">
      <c r="A3058" s="28">
        <v>51.0</v>
      </c>
      <c r="B3058" s="28">
        <v>41.0</v>
      </c>
      <c r="C3058" s="28">
        <v>53.4900339942332</v>
      </c>
      <c r="D3058" s="28">
        <v>9.99851612921304</v>
      </c>
      <c r="E3058" s="28" t="s">
        <v>15</v>
      </c>
      <c r="F3058" s="28" t="s">
        <v>168</v>
      </c>
      <c r="G3058" s="38"/>
      <c r="H3058" s="38"/>
      <c r="J3058" s="31">
        <f t="shared" si="9"/>
        <v>0</v>
      </c>
    </row>
    <row r="3059">
      <c r="A3059" s="28">
        <v>51.0</v>
      </c>
      <c r="B3059" s="28">
        <v>42.0</v>
      </c>
      <c r="C3059" s="28">
        <v>53.4900214670577</v>
      </c>
      <c r="D3059" s="28">
        <v>9.99875678881983</v>
      </c>
      <c r="E3059" s="28" t="s">
        <v>15</v>
      </c>
      <c r="F3059" s="28" t="s">
        <v>168</v>
      </c>
      <c r="G3059" s="38"/>
      <c r="H3059" s="38"/>
      <c r="J3059" s="31">
        <f t="shared" si="9"/>
        <v>0</v>
      </c>
    </row>
    <row r="3060">
      <c r="A3060" s="28">
        <v>51.0</v>
      </c>
      <c r="B3060" s="28">
        <v>43.0</v>
      </c>
      <c r="C3060" s="28">
        <v>53.4900089398823</v>
      </c>
      <c r="D3060" s="28">
        <v>9.99899744835556</v>
      </c>
      <c r="E3060" s="28" t="s">
        <v>25</v>
      </c>
      <c r="F3060" s="28" t="s">
        <v>14</v>
      </c>
      <c r="G3060" s="38"/>
      <c r="H3060" s="38"/>
      <c r="J3060" s="31">
        <f t="shared" si="9"/>
        <v>0</v>
      </c>
    </row>
    <row r="3061">
      <c r="A3061" s="28">
        <v>51.0</v>
      </c>
      <c r="B3061" s="28">
        <v>44.0</v>
      </c>
      <c r="C3061" s="28">
        <v>53.4899964127069</v>
      </c>
      <c r="D3061" s="28">
        <v>9.99923810782013</v>
      </c>
      <c r="E3061" s="28" t="s">
        <v>25</v>
      </c>
      <c r="F3061" s="28" t="s">
        <v>14</v>
      </c>
      <c r="G3061" s="38"/>
      <c r="H3061" s="38"/>
      <c r="J3061" s="31">
        <f t="shared" si="9"/>
        <v>0</v>
      </c>
    </row>
    <row r="3062">
      <c r="A3062" s="28">
        <v>51.0</v>
      </c>
      <c r="B3062" s="28">
        <v>45.0</v>
      </c>
      <c r="C3062" s="28">
        <v>53.4899838855315</v>
      </c>
      <c r="D3062" s="28">
        <v>9.99947876721364</v>
      </c>
      <c r="E3062" s="28" t="s">
        <v>15</v>
      </c>
      <c r="F3062" s="28" t="s">
        <v>168</v>
      </c>
      <c r="G3062" s="38"/>
      <c r="H3062" s="38"/>
      <c r="J3062" s="31">
        <f t="shared" si="9"/>
        <v>0</v>
      </c>
    </row>
    <row r="3063">
      <c r="A3063" s="28">
        <v>51.0</v>
      </c>
      <c r="B3063" s="28">
        <v>46.0</v>
      </c>
      <c r="C3063" s="28">
        <v>53.4899713583561</v>
      </c>
      <c r="D3063" s="28">
        <v>9.9997194265361</v>
      </c>
      <c r="E3063" s="28" t="s">
        <v>15</v>
      </c>
      <c r="F3063" s="28" t="s">
        <v>168</v>
      </c>
      <c r="G3063" s="38"/>
      <c r="H3063" s="38"/>
      <c r="J3063" s="31">
        <f t="shared" si="9"/>
        <v>0</v>
      </c>
    </row>
    <row r="3064">
      <c r="A3064" s="28">
        <v>51.0</v>
      </c>
      <c r="B3064" s="28">
        <v>47.0</v>
      </c>
      <c r="C3064" s="28">
        <v>53.4899588311806</v>
      </c>
      <c r="D3064" s="28">
        <v>9.9999600857875</v>
      </c>
      <c r="E3064" s="28" t="s">
        <v>25</v>
      </c>
      <c r="F3064" s="28" t="s">
        <v>14</v>
      </c>
      <c r="G3064" s="38"/>
      <c r="H3064" s="38"/>
      <c r="J3064" s="31">
        <f t="shared" si="9"/>
        <v>0</v>
      </c>
    </row>
    <row r="3065">
      <c r="A3065" s="28">
        <v>51.0</v>
      </c>
      <c r="B3065" s="28">
        <v>48.0</v>
      </c>
      <c r="C3065" s="28">
        <v>53.4899463040052</v>
      </c>
      <c r="D3065" s="28">
        <v>10.0002007449677</v>
      </c>
      <c r="E3065" s="28" t="s">
        <v>25</v>
      </c>
      <c r="F3065" s="28" t="s">
        <v>14</v>
      </c>
      <c r="G3065" s="38"/>
      <c r="H3065" s="38"/>
      <c r="J3065" s="31">
        <f t="shared" si="9"/>
        <v>0</v>
      </c>
    </row>
    <row r="3066">
      <c r="A3066" s="28">
        <v>51.0</v>
      </c>
      <c r="B3066" s="28">
        <v>49.0</v>
      </c>
      <c r="C3066" s="28">
        <v>53.4899337768298</v>
      </c>
      <c r="D3066" s="28">
        <v>10.0004414040769</v>
      </c>
      <c r="E3066" s="28" t="s">
        <v>15</v>
      </c>
      <c r="F3066" s="28" t="s">
        <v>168</v>
      </c>
      <c r="G3066" s="38"/>
      <c r="H3066" s="38"/>
      <c r="J3066" s="31">
        <f t="shared" si="9"/>
        <v>0</v>
      </c>
    </row>
    <row r="3067">
      <c r="A3067" s="28">
        <v>51.0</v>
      </c>
      <c r="B3067" s="28">
        <v>50.0</v>
      </c>
      <c r="C3067" s="28">
        <v>53.4899212496544</v>
      </c>
      <c r="D3067" s="28">
        <v>10.000682063115</v>
      </c>
      <c r="E3067" s="28" t="s">
        <v>15</v>
      </c>
      <c r="F3067" s="28" t="s">
        <v>168</v>
      </c>
      <c r="G3067" s="38"/>
      <c r="H3067" s="38"/>
      <c r="J3067" s="31">
        <f t="shared" si="9"/>
        <v>0</v>
      </c>
    </row>
    <row r="3068">
      <c r="A3068" s="28">
        <v>51.0</v>
      </c>
      <c r="B3068" s="28">
        <v>51.0</v>
      </c>
      <c r="C3068" s="28">
        <v>53.4899087224789</v>
      </c>
      <c r="D3068" s="28">
        <v>10.0009227220821</v>
      </c>
      <c r="E3068" s="28" t="s">
        <v>15</v>
      </c>
      <c r="F3068" s="28" t="s">
        <v>168</v>
      </c>
      <c r="G3068" s="38"/>
      <c r="H3068" s="38"/>
      <c r="J3068" s="31">
        <f t="shared" si="9"/>
        <v>0</v>
      </c>
    </row>
    <row r="3069">
      <c r="A3069" s="28">
        <v>51.0</v>
      </c>
      <c r="B3069" s="28">
        <v>52.0</v>
      </c>
      <c r="C3069" s="28">
        <v>53.4898961953035</v>
      </c>
      <c r="D3069" s="28">
        <v>10.001163380978</v>
      </c>
      <c r="E3069" s="28" t="s">
        <v>25</v>
      </c>
      <c r="F3069" s="28" t="s">
        <v>14</v>
      </c>
      <c r="G3069" s="38"/>
      <c r="H3069" s="38"/>
      <c r="J3069" s="31">
        <f t="shared" si="9"/>
        <v>0</v>
      </c>
    </row>
    <row r="3070">
      <c r="A3070" s="28">
        <v>51.0</v>
      </c>
      <c r="B3070" s="28">
        <v>53.0</v>
      </c>
      <c r="C3070" s="28">
        <v>53.4898836681281</v>
      </c>
      <c r="D3070" s="28">
        <v>10.0014040398028</v>
      </c>
      <c r="E3070" s="28" t="s">
        <v>25</v>
      </c>
      <c r="F3070" s="28" t="s">
        <v>14</v>
      </c>
      <c r="G3070" s="38"/>
      <c r="H3070" s="38"/>
      <c r="J3070" s="31">
        <f t="shared" si="9"/>
        <v>0</v>
      </c>
    </row>
    <row r="3071">
      <c r="A3071" s="28">
        <v>51.0</v>
      </c>
      <c r="B3071" s="28">
        <v>54.0</v>
      </c>
      <c r="C3071" s="28">
        <v>53.4898711409526</v>
      </c>
      <c r="D3071" s="28">
        <v>10.0016446985566</v>
      </c>
      <c r="E3071" s="28" t="s">
        <v>15</v>
      </c>
      <c r="F3071" s="28" t="s">
        <v>168</v>
      </c>
      <c r="G3071" s="38"/>
      <c r="H3071" s="38"/>
      <c r="J3071" s="31">
        <f t="shared" si="9"/>
        <v>0</v>
      </c>
    </row>
    <row r="3072">
      <c r="A3072" s="28">
        <v>51.0</v>
      </c>
      <c r="B3072" s="28">
        <v>55.0</v>
      </c>
      <c r="C3072" s="28">
        <v>53.4898586137772</v>
      </c>
      <c r="D3072" s="28">
        <v>10.0018853572394</v>
      </c>
      <c r="E3072" s="28" t="s">
        <v>15</v>
      </c>
      <c r="F3072" s="28" t="s">
        <v>168</v>
      </c>
      <c r="G3072" s="38"/>
      <c r="H3072" s="38"/>
      <c r="J3072" s="31">
        <f t="shared" si="9"/>
        <v>0</v>
      </c>
    </row>
    <row r="3073">
      <c r="A3073" s="28">
        <v>51.0</v>
      </c>
      <c r="B3073" s="28">
        <v>56.0</v>
      </c>
      <c r="C3073" s="28">
        <v>53.4898460866018</v>
      </c>
      <c r="D3073" s="28">
        <v>10.0021260158509</v>
      </c>
      <c r="E3073" s="28" t="s">
        <v>15</v>
      </c>
      <c r="F3073" s="28" t="s">
        <v>168</v>
      </c>
      <c r="G3073" s="38"/>
      <c r="H3073" s="38"/>
      <c r="J3073" s="31">
        <f t="shared" si="9"/>
        <v>0</v>
      </c>
    </row>
    <row r="3074">
      <c r="A3074" s="28">
        <v>51.0</v>
      </c>
      <c r="B3074" s="28">
        <v>57.0</v>
      </c>
      <c r="C3074" s="28">
        <v>53.4898335594264</v>
      </c>
      <c r="D3074" s="28">
        <v>10.0023666743915</v>
      </c>
      <c r="E3074" s="28" t="s">
        <v>15</v>
      </c>
      <c r="F3074" s="28" t="s">
        <v>168</v>
      </c>
      <c r="G3074" s="38"/>
      <c r="H3074" s="38"/>
      <c r="J3074" s="31">
        <f t="shared" si="9"/>
        <v>0</v>
      </c>
    </row>
    <row r="3075">
      <c r="A3075" s="28">
        <v>51.0</v>
      </c>
      <c r="B3075" s="28">
        <v>58.0</v>
      </c>
      <c r="C3075" s="28">
        <v>53.489821032251</v>
      </c>
      <c r="D3075" s="28">
        <v>10.0026073328609</v>
      </c>
      <c r="E3075" s="28" t="s">
        <v>15</v>
      </c>
      <c r="F3075" s="28" t="s">
        <v>168</v>
      </c>
      <c r="G3075" s="29" t="s">
        <v>26</v>
      </c>
      <c r="H3075" s="30" t="str">
        <f>HYPERLINK("https://www.munzee.com/m/Elli/6236/", "Elli/6236")</f>
        <v>Elli/6236</v>
      </c>
      <c r="J3075" s="31">
        <f t="shared" si="9"/>
        <v>143</v>
      </c>
    </row>
    <row r="3076">
      <c r="A3076" s="28">
        <v>51.0</v>
      </c>
      <c r="B3076" s="28">
        <v>59.0</v>
      </c>
      <c r="C3076" s="28">
        <v>53.4898085050756</v>
      </c>
      <c r="D3076" s="28">
        <v>10.0028479912593</v>
      </c>
      <c r="E3076" s="28" t="s">
        <v>15</v>
      </c>
      <c r="F3076" s="28" t="s">
        <v>168</v>
      </c>
      <c r="G3076" s="29" t="s">
        <v>1005</v>
      </c>
      <c r="H3076" s="30" t="str">
        <f>HYPERLINK("https://www.munzee.com/m/destolkjes4ever/1680/", "destolkjes4ever/1680")</f>
        <v>destolkjes4ever/1680</v>
      </c>
      <c r="J3076" s="31">
        <f t="shared" si="9"/>
        <v>6</v>
      </c>
    </row>
    <row r="3077">
      <c r="A3077" s="28">
        <v>51.0</v>
      </c>
      <c r="B3077" s="28">
        <v>60.0</v>
      </c>
      <c r="C3077" s="28">
        <v>53.4897959779001</v>
      </c>
      <c r="D3077" s="28">
        <v>10.0030886495866</v>
      </c>
      <c r="E3077" s="28" t="s">
        <v>25</v>
      </c>
      <c r="F3077" s="28" t="s">
        <v>14</v>
      </c>
      <c r="G3077" s="29" t="s">
        <v>47</v>
      </c>
      <c r="H3077" s="33" t="s">
        <v>1039</v>
      </c>
      <c r="J3077" s="31">
        <f t="shared" si="9"/>
        <v>44</v>
      </c>
    </row>
    <row r="3078">
      <c r="A3078" s="28">
        <v>52.0</v>
      </c>
      <c r="B3078" s="28">
        <v>1.0</v>
      </c>
      <c r="C3078" s="28">
        <v>53.4903918977406</v>
      </c>
      <c r="D3078" s="28">
        <v>9.9888686314822</v>
      </c>
      <c r="E3078" s="28" t="s">
        <v>25</v>
      </c>
      <c r="F3078" s="28" t="s">
        <v>14</v>
      </c>
      <c r="G3078" s="29" t="s">
        <v>27</v>
      </c>
      <c r="H3078" s="30" t="str">
        <f>HYPERLINK("https://www.munzee.com/m/DarkHaribo/12344", "DarkHaribo/12344")</f>
        <v>DarkHaribo/12344</v>
      </c>
      <c r="J3078" s="31">
        <f t="shared" si="9"/>
        <v>103</v>
      </c>
    </row>
    <row r="3079">
      <c r="A3079" s="28">
        <v>52.0</v>
      </c>
      <c r="B3079" s="28">
        <v>2.0</v>
      </c>
      <c r="C3079" s="28">
        <v>53.4903793705652</v>
      </c>
      <c r="D3079" s="28">
        <v>9.98910929311978</v>
      </c>
      <c r="E3079" s="28" t="s">
        <v>15</v>
      </c>
      <c r="F3079" s="28" t="s">
        <v>168</v>
      </c>
      <c r="G3079" s="29" t="s">
        <v>47</v>
      </c>
      <c r="H3079" s="33" t="s">
        <v>1040</v>
      </c>
      <c r="J3079" s="31">
        <f t="shared" si="9"/>
        <v>44</v>
      </c>
    </row>
    <row r="3080">
      <c r="A3080" s="28">
        <v>52.0</v>
      </c>
      <c r="B3080" s="28">
        <v>3.0</v>
      </c>
      <c r="C3080" s="28">
        <v>53.4903668433897</v>
      </c>
      <c r="D3080" s="28">
        <v>9.9893499546863</v>
      </c>
      <c r="E3080" s="28" t="s">
        <v>15</v>
      </c>
      <c r="F3080" s="28" t="s">
        <v>168</v>
      </c>
      <c r="G3080" s="38"/>
      <c r="H3080" s="38"/>
      <c r="J3080" s="31">
        <f t="shared" si="9"/>
        <v>0</v>
      </c>
    </row>
    <row r="3081">
      <c r="A3081" s="28">
        <v>52.0</v>
      </c>
      <c r="B3081" s="28">
        <v>4.0</v>
      </c>
      <c r="C3081" s="28">
        <v>53.4903543162143</v>
      </c>
      <c r="D3081" s="28">
        <v>9.98959061618177</v>
      </c>
      <c r="E3081" s="28" t="s">
        <v>15</v>
      </c>
      <c r="F3081" s="28" t="s">
        <v>168</v>
      </c>
      <c r="G3081" s="38"/>
      <c r="H3081" s="38"/>
      <c r="J3081" s="31">
        <f t="shared" si="9"/>
        <v>0</v>
      </c>
    </row>
    <row r="3082">
      <c r="A3082" s="28">
        <v>52.0</v>
      </c>
      <c r="B3082" s="28">
        <v>5.0</v>
      </c>
      <c r="C3082" s="28">
        <v>53.4903417890389</v>
      </c>
      <c r="D3082" s="28">
        <v>9.98983127760618</v>
      </c>
      <c r="E3082" s="28" t="s">
        <v>15</v>
      </c>
      <c r="F3082" s="28" t="s">
        <v>168</v>
      </c>
      <c r="G3082" s="38"/>
      <c r="H3082" s="38"/>
      <c r="J3082" s="31">
        <f t="shared" si="9"/>
        <v>0</v>
      </c>
    </row>
    <row r="3083">
      <c r="A3083" s="28">
        <v>52.0</v>
      </c>
      <c r="B3083" s="28">
        <v>6.0</v>
      </c>
      <c r="C3083" s="28">
        <v>53.4903292618635</v>
      </c>
      <c r="D3083" s="28">
        <v>9.99007193895954</v>
      </c>
      <c r="E3083" s="28" t="s">
        <v>15</v>
      </c>
      <c r="F3083" s="28" t="s">
        <v>168</v>
      </c>
      <c r="G3083" s="38"/>
      <c r="H3083" s="38"/>
      <c r="J3083" s="31">
        <f t="shared" si="9"/>
        <v>0</v>
      </c>
    </row>
    <row r="3084">
      <c r="A3084" s="28">
        <v>52.0</v>
      </c>
      <c r="B3084" s="28">
        <v>7.0</v>
      </c>
      <c r="C3084" s="28">
        <v>53.490316734688</v>
      </c>
      <c r="D3084" s="28">
        <v>9.99031260024173</v>
      </c>
      <c r="E3084" s="28" t="s">
        <v>15</v>
      </c>
      <c r="F3084" s="28" t="s">
        <v>168</v>
      </c>
      <c r="G3084" s="38"/>
      <c r="H3084" s="38"/>
      <c r="J3084" s="31">
        <f t="shared" si="9"/>
        <v>0</v>
      </c>
    </row>
    <row r="3085">
      <c r="A3085" s="28">
        <v>52.0</v>
      </c>
      <c r="B3085" s="28">
        <v>8.0</v>
      </c>
      <c r="C3085" s="28">
        <v>53.4903042075126</v>
      </c>
      <c r="D3085" s="28">
        <v>9.99055326145287</v>
      </c>
      <c r="E3085" s="28" t="s">
        <v>15</v>
      </c>
      <c r="F3085" s="28" t="s">
        <v>168</v>
      </c>
      <c r="G3085" s="38"/>
      <c r="H3085" s="38"/>
      <c r="J3085" s="31">
        <f t="shared" si="9"/>
        <v>0</v>
      </c>
    </row>
    <row r="3086">
      <c r="A3086" s="28">
        <v>52.0</v>
      </c>
      <c r="B3086" s="28">
        <v>9.0</v>
      </c>
      <c r="C3086" s="28">
        <v>53.4902916803372</v>
      </c>
      <c r="D3086" s="28">
        <v>9.99079392259295</v>
      </c>
      <c r="E3086" s="28" t="s">
        <v>15</v>
      </c>
      <c r="F3086" s="28" t="s">
        <v>168</v>
      </c>
      <c r="G3086" s="38"/>
      <c r="H3086" s="38"/>
      <c r="J3086" s="31">
        <f t="shared" si="9"/>
        <v>0</v>
      </c>
    </row>
    <row r="3087">
      <c r="A3087" s="28">
        <v>52.0</v>
      </c>
      <c r="B3087" s="28">
        <v>10.0</v>
      </c>
      <c r="C3087" s="28">
        <v>53.4902791531618</v>
      </c>
      <c r="D3087" s="28">
        <v>9.99103458366198</v>
      </c>
      <c r="E3087" s="28" t="s">
        <v>15</v>
      </c>
      <c r="F3087" s="28" t="s">
        <v>168</v>
      </c>
      <c r="G3087" s="38"/>
      <c r="H3087" s="38"/>
      <c r="J3087" s="31">
        <f t="shared" si="9"/>
        <v>0</v>
      </c>
    </row>
    <row r="3088">
      <c r="A3088" s="28">
        <v>52.0</v>
      </c>
      <c r="B3088" s="28">
        <v>11.0</v>
      </c>
      <c r="C3088" s="28">
        <v>53.4902666259863</v>
      </c>
      <c r="D3088" s="28">
        <v>9.99127524465984</v>
      </c>
      <c r="E3088" s="28" t="s">
        <v>25</v>
      </c>
      <c r="F3088" s="28" t="s">
        <v>14</v>
      </c>
      <c r="G3088" s="38"/>
      <c r="H3088" s="38"/>
      <c r="J3088" s="31">
        <f t="shared" si="9"/>
        <v>0</v>
      </c>
    </row>
    <row r="3089">
      <c r="A3089" s="28">
        <v>52.0</v>
      </c>
      <c r="B3089" s="28">
        <v>12.0</v>
      </c>
      <c r="C3089" s="28">
        <v>53.4902540988109</v>
      </c>
      <c r="D3089" s="28">
        <v>9.99151590558665</v>
      </c>
      <c r="E3089" s="28" t="s">
        <v>25</v>
      </c>
      <c r="F3089" s="28" t="s">
        <v>14</v>
      </c>
      <c r="G3089" s="38"/>
      <c r="H3089" s="38"/>
      <c r="J3089" s="31">
        <f t="shared" si="9"/>
        <v>0</v>
      </c>
    </row>
    <row r="3090">
      <c r="A3090" s="28">
        <v>52.0</v>
      </c>
      <c r="B3090" s="28">
        <v>13.0</v>
      </c>
      <c r="C3090" s="28">
        <v>53.4902415716355</v>
      </c>
      <c r="D3090" s="28">
        <v>9.9917565664424</v>
      </c>
      <c r="E3090" s="28" t="s">
        <v>15</v>
      </c>
      <c r="F3090" s="28" t="s">
        <v>168</v>
      </c>
      <c r="G3090" s="38"/>
      <c r="H3090" s="38"/>
      <c r="J3090" s="31">
        <f t="shared" si="9"/>
        <v>0</v>
      </c>
    </row>
    <row r="3091">
      <c r="A3091" s="28">
        <v>52.0</v>
      </c>
      <c r="B3091" s="28">
        <v>14.0</v>
      </c>
      <c r="C3091" s="28">
        <v>53.4902290444601</v>
      </c>
      <c r="D3091" s="28">
        <v>9.9919972272271</v>
      </c>
      <c r="E3091" s="28" t="s">
        <v>15</v>
      </c>
      <c r="F3091" s="28" t="s">
        <v>168</v>
      </c>
      <c r="G3091" s="38"/>
      <c r="H3091" s="38"/>
      <c r="J3091" s="31">
        <f t="shared" si="9"/>
        <v>0</v>
      </c>
    </row>
    <row r="3092">
      <c r="A3092" s="28">
        <v>52.0</v>
      </c>
      <c r="B3092" s="28">
        <v>15.0</v>
      </c>
      <c r="C3092" s="28">
        <v>53.4902165172847</v>
      </c>
      <c r="D3092" s="28">
        <v>9.99223788794063</v>
      </c>
      <c r="E3092" s="28" t="s">
        <v>15</v>
      </c>
      <c r="F3092" s="28" t="s">
        <v>168</v>
      </c>
      <c r="G3092" s="38"/>
      <c r="H3092" s="38"/>
      <c r="J3092" s="31">
        <f t="shared" si="9"/>
        <v>0</v>
      </c>
    </row>
    <row r="3093">
      <c r="A3093" s="28">
        <v>52.0</v>
      </c>
      <c r="B3093" s="28">
        <v>16.0</v>
      </c>
      <c r="C3093" s="28">
        <v>53.4902039901092</v>
      </c>
      <c r="D3093" s="28">
        <v>9.9924785485831</v>
      </c>
      <c r="E3093" s="28" t="s">
        <v>25</v>
      </c>
      <c r="F3093" s="28" t="s">
        <v>14</v>
      </c>
      <c r="G3093" s="38"/>
      <c r="H3093" s="38"/>
      <c r="J3093" s="31">
        <f t="shared" si="9"/>
        <v>0</v>
      </c>
    </row>
    <row r="3094">
      <c r="A3094" s="28">
        <v>52.0</v>
      </c>
      <c r="B3094" s="28">
        <v>17.0</v>
      </c>
      <c r="C3094" s="28">
        <v>53.4901914629338</v>
      </c>
      <c r="D3094" s="28">
        <v>9.99271920915453</v>
      </c>
      <c r="E3094" s="28" t="s">
        <v>25</v>
      </c>
      <c r="F3094" s="28" t="s">
        <v>14</v>
      </c>
      <c r="G3094" s="38"/>
      <c r="H3094" s="38"/>
      <c r="J3094" s="31">
        <f t="shared" si="9"/>
        <v>0</v>
      </c>
    </row>
    <row r="3095">
      <c r="A3095" s="28">
        <v>52.0</v>
      </c>
      <c r="B3095" s="28">
        <v>18.0</v>
      </c>
      <c r="C3095" s="28">
        <v>53.4901789357584</v>
      </c>
      <c r="D3095" s="28">
        <v>9.99295986965489</v>
      </c>
      <c r="E3095" s="28" t="s">
        <v>15</v>
      </c>
      <c r="F3095" s="28" t="s">
        <v>168</v>
      </c>
      <c r="G3095" s="38"/>
      <c r="H3095" s="38"/>
      <c r="J3095" s="31">
        <f t="shared" si="9"/>
        <v>0</v>
      </c>
    </row>
    <row r="3096">
      <c r="A3096" s="28">
        <v>52.0</v>
      </c>
      <c r="B3096" s="28">
        <v>19.0</v>
      </c>
      <c r="C3096" s="28">
        <v>53.490166408583</v>
      </c>
      <c r="D3096" s="28">
        <v>9.99320053008409</v>
      </c>
      <c r="E3096" s="28" t="s">
        <v>15</v>
      </c>
      <c r="F3096" s="28" t="s">
        <v>168</v>
      </c>
      <c r="G3096" s="38"/>
      <c r="H3096" s="38"/>
      <c r="J3096" s="31">
        <f t="shared" si="9"/>
        <v>0</v>
      </c>
    </row>
    <row r="3097">
      <c r="A3097" s="28">
        <v>52.0</v>
      </c>
      <c r="B3097" s="28">
        <v>20.0</v>
      </c>
      <c r="C3097" s="28">
        <v>53.4901538814075</v>
      </c>
      <c r="D3097" s="28">
        <v>9.99344119044224</v>
      </c>
      <c r="E3097" s="28" t="s">
        <v>15</v>
      </c>
      <c r="F3097" s="28" t="s">
        <v>168</v>
      </c>
      <c r="G3097" s="38"/>
      <c r="H3097" s="38"/>
      <c r="J3097" s="31">
        <f t="shared" si="9"/>
        <v>0</v>
      </c>
    </row>
    <row r="3098">
      <c r="A3098" s="28">
        <v>52.0</v>
      </c>
      <c r="B3098" s="28">
        <v>21.0</v>
      </c>
      <c r="C3098" s="28">
        <v>53.4901413542321</v>
      </c>
      <c r="D3098" s="28">
        <v>9.99368185072921</v>
      </c>
      <c r="E3098" s="28" t="s">
        <v>15</v>
      </c>
      <c r="F3098" s="28" t="s">
        <v>168</v>
      </c>
      <c r="G3098" s="38"/>
      <c r="H3098" s="38"/>
      <c r="J3098" s="31">
        <f t="shared" si="9"/>
        <v>0</v>
      </c>
    </row>
    <row r="3099">
      <c r="A3099" s="28">
        <v>52.0</v>
      </c>
      <c r="B3099" s="28">
        <v>22.0</v>
      </c>
      <c r="C3099" s="28">
        <v>53.4901288270567</v>
      </c>
      <c r="D3099" s="28">
        <v>9.99392251094514</v>
      </c>
      <c r="E3099" s="28" t="s">
        <v>15</v>
      </c>
      <c r="F3099" s="28" t="s">
        <v>168</v>
      </c>
      <c r="G3099" s="38"/>
      <c r="H3099" s="38"/>
      <c r="J3099" s="31">
        <f t="shared" si="9"/>
        <v>0</v>
      </c>
    </row>
    <row r="3100">
      <c r="A3100" s="28">
        <v>52.0</v>
      </c>
      <c r="B3100" s="28">
        <v>23.0</v>
      </c>
      <c r="C3100" s="28">
        <v>53.4901162998813</v>
      </c>
      <c r="D3100" s="28">
        <v>9.99416317109</v>
      </c>
      <c r="E3100" s="28" t="s">
        <v>15</v>
      </c>
      <c r="F3100" s="28" t="s">
        <v>168</v>
      </c>
      <c r="G3100" s="38"/>
      <c r="H3100" s="38"/>
      <c r="J3100" s="31">
        <f t="shared" si="9"/>
        <v>0</v>
      </c>
    </row>
    <row r="3101">
      <c r="A3101" s="28">
        <v>52.0</v>
      </c>
      <c r="B3101" s="28">
        <v>24.0</v>
      </c>
      <c r="C3101" s="28">
        <v>53.4901037727059</v>
      </c>
      <c r="D3101" s="28">
        <v>9.99440383116382</v>
      </c>
      <c r="E3101" s="28" t="s">
        <v>25</v>
      </c>
      <c r="F3101" s="28" t="s">
        <v>14</v>
      </c>
      <c r="G3101" s="38"/>
      <c r="H3101" s="38"/>
      <c r="J3101" s="31">
        <f t="shared" si="9"/>
        <v>0</v>
      </c>
    </row>
    <row r="3102">
      <c r="A3102" s="28">
        <v>52.0</v>
      </c>
      <c r="B3102" s="28">
        <v>25.0</v>
      </c>
      <c r="C3102" s="28">
        <v>53.4900912455304</v>
      </c>
      <c r="D3102" s="28">
        <v>9.99464449116658</v>
      </c>
      <c r="E3102" s="28" t="s">
        <v>25</v>
      </c>
      <c r="F3102" s="28" t="s">
        <v>14</v>
      </c>
      <c r="G3102" s="38"/>
      <c r="H3102" s="38"/>
      <c r="J3102" s="31">
        <f t="shared" si="9"/>
        <v>0</v>
      </c>
    </row>
    <row r="3103">
      <c r="A3103" s="28">
        <v>52.0</v>
      </c>
      <c r="B3103" s="28">
        <v>26.0</v>
      </c>
      <c r="C3103" s="28">
        <v>53.490078718355</v>
      </c>
      <c r="D3103" s="28">
        <v>9.99488515109817</v>
      </c>
      <c r="E3103" s="28" t="s">
        <v>15</v>
      </c>
      <c r="F3103" s="28" t="s">
        <v>168</v>
      </c>
      <c r="G3103" s="38"/>
      <c r="H3103" s="38"/>
      <c r="J3103" s="31">
        <f t="shared" si="9"/>
        <v>0</v>
      </c>
    </row>
    <row r="3104">
      <c r="A3104" s="28">
        <v>52.0</v>
      </c>
      <c r="B3104" s="28">
        <v>27.0</v>
      </c>
      <c r="C3104" s="28">
        <v>53.4900661911796</v>
      </c>
      <c r="D3104" s="28">
        <v>9.99512581095871</v>
      </c>
      <c r="E3104" s="28" t="s">
        <v>15</v>
      </c>
      <c r="F3104" s="28" t="s">
        <v>168</v>
      </c>
      <c r="G3104" s="29" t="s">
        <v>164</v>
      </c>
      <c r="H3104" s="35" t="s">
        <v>1041</v>
      </c>
      <c r="J3104" s="31">
        <f t="shared" si="9"/>
        <v>133</v>
      </c>
    </row>
    <row r="3105">
      <c r="A3105" s="28">
        <v>52.0</v>
      </c>
      <c r="B3105" s="28">
        <v>28.0</v>
      </c>
      <c r="C3105" s="28">
        <v>53.4900536640042</v>
      </c>
      <c r="D3105" s="28">
        <v>9.99536647074819</v>
      </c>
      <c r="E3105" s="28" t="s">
        <v>15</v>
      </c>
      <c r="F3105" s="28" t="s">
        <v>168</v>
      </c>
      <c r="G3105" s="38"/>
      <c r="H3105" s="38"/>
      <c r="J3105" s="31">
        <f t="shared" si="9"/>
        <v>0</v>
      </c>
    </row>
    <row r="3106">
      <c r="A3106" s="28">
        <v>52.0</v>
      </c>
      <c r="B3106" s="28">
        <v>29.0</v>
      </c>
      <c r="C3106" s="28">
        <v>53.4900411368287</v>
      </c>
      <c r="D3106" s="28">
        <v>9.99560713046662</v>
      </c>
      <c r="E3106" s="28" t="s">
        <v>15</v>
      </c>
      <c r="F3106" s="28" t="s">
        <v>168</v>
      </c>
      <c r="G3106" s="38"/>
      <c r="H3106" s="38"/>
      <c r="J3106" s="31">
        <f t="shared" si="9"/>
        <v>0</v>
      </c>
    </row>
    <row r="3107">
      <c r="A3107" s="28">
        <v>52.0</v>
      </c>
      <c r="B3107" s="28">
        <v>30.0</v>
      </c>
      <c r="C3107" s="28">
        <v>53.4900286096533</v>
      </c>
      <c r="D3107" s="28">
        <v>9.99584779011388</v>
      </c>
      <c r="E3107" s="28" t="s">
        <v>25</v>
      </c>
      <c r="F3107" s="28" t="s">
        <v>14</v>
      </c>
      <c r="G3107" s="38"/>
      <c r="H3107" s="38"/>
      <c r="J3107" s="31">
        <f t="shared" si="9"/>
        <v>0</v>
      </c>
    </row>
    <row r="3108">
      <c r="A3108" s="28">
        <v>52.0</v>
      </c>
      <c r="B3108" s="28">
        <v>31.0</v>
      </c>
      <c r="C3108" s="28">
        <v>53.4900160824779</v>
      </c>
      <c r="D3108" s="28">
        <v>9.99608844969009</v>
      </c>
      <c r="E3108" s="28" t="s">
        <v>25</v>
      </c>
      <c r="F3108" s="28" t="s">
        <v>14</v>
      </c>
      <c r="G3108" s="38"/>
      <c r="H3108" s="38"/>
      <c r="J3108" s="31">
        <f t="shared" si="9"/>
        <v>0</v>
      </c>
    </row>
    <row r="3109">
      <c r="A3109" s="28">
        <v>52.0</v>
      </c>
      <c r="B3109" s="28">
        <v>32.0</v>
      </c>
      <c r="C3109" s="28">
        <v>53.4900035553025</v>
      </c>
      <c r="D3109" s="28">
        <v>9.99632910919524</v>
      </c>
      <c r="E3109" s="28" t="s">
        <v>25</v>
      </c>
      <c r="F3109" s="28" t="s">
        <v>14</v>
      </c>
      <c r="G3109" s="38"/>
      <c r="H3109" s="38"/>
      <c r="J3109" s="31">
        <f t="shared" si="9"/>
        <v>0</v>
      </c>
    </row>
    <row r="3110">
      <c r="A3110" s="28">
        <v>52.0</v>
      </c>
      <c r="B3110" s="28">
        <v>33.0</v>
      </c>
      <c r="C3110" s="28">
        <v>53.489991028127</v>
      </c>
      <c r="D3110" s="28">
        <v>9.99656976862934</v>
      </c>
      <c r="E3110" s="28" t="s">
        <v>25</v>
      </c>
      <c r="F3110" s="28" t="s">
        <v>14</v>
      </c>
      <c r="G3110" s="38"/>
      <c r="H3110" s="38"/>
      <c r="J3110" s="31">
        <f t="shared" si="9"/>
        <v>0</v>
      </c>
    </row>
    <row r="3111">
      <c r="A3111" s="28">
        <v>52.0</v>
      </c>
      <c r="B3111" s="28">
        <v>34.0</v>
      </c>
      <c r="C3111" s="28">
        <v>53.4899785009516</v>
      </c>
      <c r="D3111" s="28">
        <v>9.99681042799227</v>
      </c>
      <c r="E3111" s="28" t="s">
        <v>25</v>
      </c>
      <c r="F3111" s="28" t="s">
        <v>14</v>
      </c>
      <c r="G3111" s="38"/>
      <c r="H3111" s="38"/>
      <c r="J3111" s="31">
        <f t="shared" si="9"/>
        <v>0</v>
      </c>
    </row>
    <row r="3112">
      <c r="A3112" s="28">
        <v>52.0</v>
      </c>
      <c r="B3112" s="28">
        <v>35.0</v>
      </c>
      <c r="C3112" s="28">
        <v>53.4899659737762</v>
      </c>
      <c r="D3112" s="28">
        <v>9.99705108728414</v>
      </c>
      <c r="E3112" s="28" t="s">
        <v>25</v>
      </c>
      <c r="F3112" s="28" t="s">
        <v>14</v>
      </c>
      <c r="G3112" s="38"/>
      <c r="H3112" s="38"/>
      <c r="J3112" s="31">
        <f t="shared" si="9"/>
        <v>0</v>
      </c>
    </row>
    <row r="3113">
      <c r="A3113" s="28">
        <v>52.0</v>
      </c>
      <c r="B3113" s="28">
        <v>36.0</v>
      </c>
      <c r="C3113" s="28">
        <v>53.4899534466008</v>
      </c>
      <c r="D3113" s="28">
        <v>9.99729174650497</v>
      </c>
      <c r="E3113" s="28" t="s">
        <v>25</v>
      </c>
      <c r="F3113" s="28" t="s">
        <v>14</v>
      </c>
      <c r="G3113" s="38"/>
      <c r="H3113" s="38"/>
      <c r="J3113" s="31">
        <f t="shared" si="9"/>
        <v>0</v>
      </c>
    </row>
    <row r="3114">
      <c r="A3114" s="28">
        <v>52.0</v>
      </c>
      <c r="B3114" s="28">
        <v>37.0</v>
      </c>
      <c r="C3114" s="28">
        <v>53.4899409194253</v>
      </c>
      <c r="D3114" s="28">
        <v>9.99753240565473</v>
      </c>
      <c r="E3114" s="28" t="s">
        <v>15</v>
      </c>
      <c r="F3114" s="28" t="s">
        <v>168</v>
      </c>
      <c r="G3114" s="38"/>
      <c r="H3114" s="38"/>
      <c r="J3114" s="31">
        <f t="shared" si="9"/>
        <v>0</v>
      </c>
    </row>
    <row r="3115">
      <c r="A3115" s="28">
        <v>52.0</v>
      </c>
      <c r="B3115" s="28">
        <v>38.0</v>
      </c>
      <c r="C3115" s="28">
        <v>53.4899283922499</v>
      </c>
      <c r="D3115" s="28">
        <v>9.99777306473333</v>
      </c>
      <c r="E3115" s="28" t="s">
        <v>15</v>
      </c>
      <c r="F3115" s="28" t="s">
        <v>168</v>
      </c>
      <c r="G3115" s="38"/>
      <c r="H3115" s="38"/>
      <c r="J3115" s="31">
        <f t="shared" si="9"/>
        <v>0</v>
      </c>
    </row>
    <row r="3116">
      <c r="A3116" s="28">
        <v>52.0</v>
      </c>
      <c r="B3116" s="28">
        <v>39.0</v>
      </c>
      <c r="C3116" s="28">
        <v>53.4899158650745</v>
      </c>
      <c r="D3116" s="28">
        <v>9.99801372374088</v>
      </c>
      <c r="E3116" s="28" t="s">
        <v>25</v>
      </c>
      <c r="F3116" s="28" t="s">
        <v>14</v>
      </c>
      <c r="G3116" s="38"/>
      <c r="H3116" s="38"/>
      <c r="J3116" s="31">
        <f t="shared" si="9"/>
        <v>0</v>
      </c>
    </row>
    <row r="3117">
      <c r="A3117" s="28">
        <v>52.0</v>
      </c>
      <c r="B3117" s="28">
        <v>40.0</v>
      </c>
      <c r="C3117" s="28">
        <v>53.4899033378991</v>
      </c>
      <c r="D3117" s="28">
        <v>9.99825438267737</v>
      </c>
      <c r="E3117" s="28" t="s">
        <v>25</v>
      </c>
      <c r="F3117" s="28" t="s">
        <v>14</v>
      </c>
      <c r="G3117" s="38"/>
      <c r="H3117" s="38"/>
      <c r="J3117" s="31">
        <f t="shared" si="9"/>
        <v>0</v>
      </c>
    </row>
    <row r="3118">
      <c r="A3118" s="28">
        <v>52.0</v>
      </c>
      <c r="B3118" s="28">
        <v>41.0</v>
      </c>
      <c r="C3118" s="28">
        <v>53.4898908107237</v>
      </c>
      <c r="D3118" s="28">
        <v>9.99849504154281</v>
      </c>
      <c r="E3118" s="28" t="s">
        <v>15</v>
      </c>
      <c r="F3118" s="28" t="s">
        <v>168</v>
      </c>
      <c r="G3118" s="38"/>
      <c r="H3118" s="38"/>
      <c r="J3118" s="31">
        <f t="shared" si="9"/>
        <v>0</v>
      </c>
    </row>
    <row r="3119">
      <c r="A3119" s="28">
        <v>52.0</v>
      </c>
      <c r="B3119" s="28">
        <v>42.0</v>
      </c>
      <c r="C3119" s="28">
        <v>53.4898782835483</v>
      </c>
      <c r="D3119" s="28">
        <v>9.99873570033707</v>
      </c>
      <c r="E3119" s="28" t="s">
        <v>15</v>
      </c>
      <c r="F3119" s="28" t="s">
        <v>168</v>
      </c>
      <c r="G3119" s="29" t="s">
        <v>164</v>
      </c>
      <c r="H3119" s="35" t="s">
        <v>1042</v>
      </c>
      <c r="J3119" s="31">
        <f t="shared" si="9"/>
        <v>133</v>
      </c>
    </row>
    <row r="3120">
      <c r="A3120" s="28">
        <v>52.0</v>
      </c>
      <c r="B3120" s="28">
        <v>43.0</v>
      </c>
      <c r="C3120" s="28">
        <v>53.4898657563728</v>
      </c>
      <c r="D3120" s="28">
        <v>9.99897635906029</v>
      </c>
      <c r="E3120" s="28" t="s">
        <v>25</v>
      </c>
      <c r="F3120" s="28" t="s">
        <v>14</v>
      </c>
      <c r="G3120" s="38"/>
      <c r="H3120" s="38"/>
      <c r="J3120" s="31">
        <f t="shared" si="9"/>
        <v>0</v>
      </c>
    </row>
    <row r="3121">
      <c r="A3121" s="28">
        <v>52.0</v>
      </c>
      <c r="B3121" s="28">
        <v>44.0</v>
      </c>
      <c r="C3121" s="28">
        <v>53.4898532291974</v>
      </c>
      <c r="D3121" s="28">
        <v>9.99921701771245</v>
      </c>
      <c r="E3121" s="28" t="s">
        <v>25</v>
      </c>
      <c r="F3121" s="28" t="s">
        <v>14</v>
      </c>
      <c r="G3121" s="38"/>
      <c r="H3121" s="38"/>
      <c r="J3121" s="31">
        <f t="shared" si="9"/>
        <v>0</v>
      </c>
    </row>
    <row r="3122">
      <c r="A3122" s="28">
        <v>52.0</v>
      </c>
      <c r="B3122" s="28">
        <v>45.0</v>
      </c>
      <c r="C3122" s="28">
        <v>53.489840702022</v>
      </c>
      <c r="D3122" s="28">
        <v>9.99945767629356</v>
      </c>
      <c r="E3122" s="28" t="s">
        <v>15</v>
      </c>
      <c r="F3122" s="28" t="s">
        <v>168</v>
      </c>
      <c r="G3122" s="29" t="s">
        <v>164</v>
      </c>
      <c r="H3122" s="35" t="s">
        <v>1043</v>
      </c>
      <c r="J3122" s="31">
        <f t="shared" si="9"/>
        <v>133</v>
      </c>
    </row>
    <row r="3123">
      <c r="A3123" s="28">
        <v>52.0</v>
      </c>
      <c r="B3123" s="28">
        <v>46.0</v>
      </c>
      <c r="C3123" s="28">
        <v>53.4898281748465</v>
      </c>
      <c r="D3123" s="28">
        <v>9.99969833480349</v>
      </c>
      <c r="E3123" s="28" t="s">
        <v>15</v>
      </c>
      <c r="F3123" s="28" t="s">
        <v>168</v>
      </c>
      <c r="G3123" s="38"/>
      <c r="H3123" s="38"/>
      <c r="J3123" s="31">
        <f t="shared" si="9"/>
        <v>0</v>
      </c>
    </row>
    <row r="3124">
      <c r="A3124" s="28">
        <v>52.0</v>
      </c>
      <c r="B3124" s="28">
        <v>47.0</v>
      </c>
      <c r="C3124" s="28">
        <v>53.4898156476711</v>
      </c>
      <c r="D3124" s="28">
        <v>9.99993899324238</v>
      </c>
      <c r="E3124" s="28" t="s">
        <v>25</v>
      </c>
      <c r="F3124" s="28" t="s">
        <v>14</v>
      </c>
      <c r="G3124" s="38"/>
      <c r="H3124" s="38"/>
      <c r="J3124" s="31">
        <f t="shared" si="9"/>
        <v>0</v>
      </c>
    </row>
    <row r="3125">
      <c r="A3125" s="28">
        <v>52.0</v>
      </c>
      <c r="B3125" s="28">
        <v>48.0</v>
      </c>
      <c r="C3125" s="28">
        <v>53.4898031204957</v>
      </c>
      <c r="D3125" s="28">
        <v>10.0001796516102</v>
      </c>
      <c r="E3125" s="28" t="s">
        <v>25</v>
      </c>
      <c r="F3125" s="28" t="s">
        <v>14</v>
      </c>
      <c r="G3125" s="38"/>
      <c r="H3125" s="38"/>
      <c r="J3125" s="31">
        <f t="shared" si="9"/>
        <v>0</v>
      </c>
    </row>
    <row r="3126">
      <c r="A3126" s="28">
        <v>52.0</v>
      </c>
      <c r="B3126" s="28">
        <v>49.0</v>
      </c>
      <c r="C3126" s="28">
        <v>53.4897905933203</v>
      </c>
      <c r="D3126" s="28">
        <v>10.0004203099069</v>
      </c>
      <c r="E3126" s="28" t="s">
        <v>15</v>
      </c>
      <c r="F3126" s="28" t="s">
        <v>168</v>
      </c>
      <c r="G3126" s="38"/>
      <c r="H3126" s="38"/>
      <c r="J3126" s="31">
        <f t="shared" si="9"/>
        <v>0</v>
      </c>
    </row>
    <row r="3127">
      <c r="A3127" s="28">
        <v>52.0</v>
      </c>
      <c r="B3127" s="28">
        <v>50.0</v>
      </c>
      <c r="C3127" s="28">
        <v>53.4897780661449</v>
      </c>
      <c r="D3127" s="28">
        <v>10.0006609681325</v>
      </c>
      <c r="E3127" s="28" t="s">
        <v>15</v>
      </c>
      <c r="F3127" s="28" t="s">
        <v>168</v>
      </c>
      <c r="G3127" s="38"/>
      <c r="H3127" s="38"/>
      <c r="J3127" s="31">
        <f t="shared" si="9"/>
        <v>0</v>
      </c>
    </row>
    <row r="3128">
      <c r="A3128" s="28">
        <v>52.0</v>
      </c>
      <c r="B3128" s="28">
        <v>51.0</v>
      </c>
      <c r="C3128" s="28">
        <v>53.4897655389694</v>
      </c>
      <c r="D3128" s="28">
        <v>10.0009016262871</v>
      </c>
      <c r="E3128" s="28" t="s">
        <v>15</v>
      </c>
      <c r="F3128" s="28" t="s">
        <v>168</v>
      </c>
      <c r="G3128" s="29" t="s">
        <v>164</v>
      </c>
      <c r="H3128" s="35" t="s">
        <v>1044</v>
      </c>
      <c r="J3128" s="31">
        <f t="shared" si="9"/>
        <v>133</v>
      </c>
    </row>
    <row r="3129">
      <c r="A3129" s="28">
        <v>52.0</v>
      </c>
      <c r="B3129" s="28">
        <v>52.0</v>
      </c>
      <c r="C3129" s="28">
        <v>53.489753011794</v>
      </c>
      <c r="D3129" s="28">
        <v>10.0011422843706</v>
      </c>
      <c r="E3129" s="28" t="s">
        <v>25</v>
      </c>
      <c r="F3129" s="28" t="s">
        <v>14</v>
      </c>
      <c r="G3129" s="38"/>
      <c r="H3129" s="38"/>
      <c r="J3129" s="31">
        <f t="shared" si="9"/>
        <v>0</v>
      </c>
    </row>
    <row r="3130">
      <c r="A3130" s="28">
        <v>52.0</v>
      </c>
      <c r="B3130" s="28">
        <v>53.0</v>
      </c>
      <c r="C3130" s="28">
        <v>53.4897404846186</v>
      </c>
      <c r="D3130" s="28">
        <v>10.001382942383</v>
      </c>
      <c r="E3130" s="28" t="s">
        <v>25</v>
      </c>
      <c r="F3130" s="28" t="s">
        <v>14</v>
      </c>
      <c r="G3130" s="38"/>
      <c r="H3130" s="38"/>
      <c r="J3130" s="31">
        <f t="shared" si="9"/>
        <v>0</v>
      </c>
    </row>
    <row r="3131">
      <c r="A3131" s="28">
        <v>52.0</v>
      </c>
      <c r="B3131" s="28">
        <v>54.0</v>
      </c>
      <c r="C3131" s="28">
        <v>53.4897279574432</v>
      </c>
      <c r="D3131" s="28">
        <v>10.0016236003243</v>
      </c>
      <c r="E3131" s="28" t="s">
        <v>15</v>
      </c>
      <c r="F3131" s="28" t="s">
        <v>168</v>
      </c>
      <c r="G3131" s="29" t="s">
        <v>164</v>
      </c>
      <c r="H3131" s="35" t="s">
        <v>1045</v>
      </c>
      <c r="J3131" s="31">
        <f t="shared" si="9"/>
        <v>133</v>
      </c>
    </row>
    <row r="3132">
      <c r="A3132" s="28">
        <v>52.0</v>
      </c>
      <c r="B3132" s="28">
        <v>55.0</v>
      </c>
      <c r="C3132" s="28">
        <v>53.4897154302678</v>
      </c>
      <c r="D3132" s="28">
        <v>10.0018642581945</v>
      </c>
      <c r="E3132" s="28" t="s">
        <v>15</v>
      </c>
      <c r="F3132" s="28" t="s">
        <v>168</v>
      </c>
      <c r="G3132" s="38"/>
      <c r="H3132" s="38"/>
      <c r="J3132" s="31">
        <f t="shared" si="9"/>
        <v>0</v>
      </c>
    </row>
    <row r="3133">
      <c r="A3133" s="28">
        <v>52.0</v>
      </c>
      <c r="B3133" s="28">
        <v>56.0</v>
      </c>
      <c r="C3133" s="28">
        <v>53.4897029030923</v>
      </c>
      <c r="D3133" s="28">
        <v>10.0021049159937</v>
      </c>
      <c r="E3133" s="28" t="s">
        <v>15</v>
      </c>
      <c r="F3133" s="28" t="s">
        <v>168</v>
      </c>
      <c r="G3133" s="38"/>
      <c r="H3133" s="38"/>
      <c r="J3133" s="31">
        <f t="shared" si="9"/>
        <v>0</v>
      </c>
    </row>
    <row r="3134">
      <c r="A3134" s="28">
        <v>52.0</v>
      </c>
      <c r="B3134" s="28">
        <v>57.0</v>
      </c>
      <c r="C3134" s="28">
        <v>53.4896903759169</v>
      </c>
      <c r="D3134" s="28">
        <v>10.0023455737218</v>
      </c>
      <c r="E3134" s="28" t="s">
        <v>15</v>
      </c>
      <c r="F3134" s="28" t="s">
        <v>168</v>
      </c>
      <c r="G3134" s="29" t="s">
        <v>164</v>
      </c>
      <c r="H3134" s="35" t="s">
        <v>1046</v>
      </c>
      <c r="J3134" s="31">
        <f t="shared" si="9"/>
        <v>133</v>
      </c>
    </row>
    <row r="3135">
      <c r="A3135" s="28">
        <v>52.0</v>
      </c>
      <c r="B3135" s="28">
        <v>58.0</v>
      </c>
      <c r="C3135" s="28">
        <v>53.4896778487415</v>
      </c>
      <c r="D3135" s="28">
        <v>10.0025862313788</v>
      </c>
      <c r="E3135" s="28" t="s">
        <v>15</v>
      </c>
      <c r="F3135" s="28" t="s">
        <v>168</v>
      </c>
      <c r="G3135" s="29" t="s">
        <v>390</v>
      </c>
      <c r="H3135" s="36" t="s">
        <v>1047</v>
      </c>
      <c r="J3135" s="31">
        <f t="shared" si="9"/>
        <v>2</v>
      </c>
    </row>
    <row r="3136">
      <c r="A3136" s="28">
        <v>52.0</v>
      </c>
      <c r="B3136" s="28">
        <v>59.0</v>
      </c>
      <c r="C3136" s="28">
        <v>53.4896653215661</v>
      </c>
      <c r="D3136" s="28">
        <v>10.0028268889647</v>
      </c>
      <c r="E3136" s="28" t="s">
        <v>15</v>
      </c>
      <c r="F3136" s="28" t="s">
        <v>168</v>
      </c>
      <c r="G3136" s="29" t="s">
        <v>1027</v>
      </c>
      <c r="H3136" s="30" t="s">
        <v>1048</v>
      </c>
      <c r="J3136" s="31">
        <f t="shared" si="9"/>
        <v>2</v>
      </c>
    </row>
    <row r="3137">
      <c r="A3137" s="28">
        <v>52.0</v>
      </c>
      <c r="B3137" s="28">
        <v>60.0</v>
      </c>
      <c r="C3137" s="28">
        <v>53.4896527943906</v>
      </c>
      <c r="D3137" s="28">
        <v>10.0030675464795</v>
      </c>
      <c r="E3137" s="28" t="s">
        <v>25</v>
      </c>
      <c r="F3137" s="28" t="s">
        <v>14</v>
      </c>
      <c r="G3137" s="29" t="s">
        <v>27</v>
      </c>
      <c r="H3137" s="30" t="str">
        <f>HYPERLINK("https://www.munzee.com/m/DarkHaribo/12420", "DarkHaribo/12420")</f>
        <v>DarkHaribo/12420</v>
      </c>
      <c r="J3137" s="31">
        <f t="shared" si="9"/>
        <v>103</v>
      </c>
    </row>
    <row r="3138">
      <c r="A3138" s="28">
        <v>53.0</v>
      </c>
      <c r="B3138" s="28">
        <v>1.0</v>
      </c>
      <c r="C3138" s="28">
        <v>53.490248714231</v>
      </c>
      <c r="D3138" s="28">
        <v>9.988847576382</v>
      </c>
      <c r="E3138" s="28" t="s">
        <v>25</v>
      </c>
      <c r="F3138" s="28" t="s">
        <v>14</v>
      </c>
      <c r="G3138" s="29" t="s">
        <v>1016</v>
      </c>
      <c r="H3138" s="35" t="s">
        <v>1049</v>
      </c>
      <c r="J3138" s="31">
        <f t="shared" si="9"/>
        <v>4</v>
      </c>
    </row>
    <row r="3139">
      <c r="A3139" s="28">
        <v>53.0</v>
      </c>
      <c r="B3139" s="28">
        <v>2.0</v>
      </c>
      <c r="C3139" s="28">
        <v>53.4902361870556</v>
      </c>
      <c r="D3139" s="28">
        <v>9.98908823720717</v>
      </c>
      <c r="E3139" s="28" t="s">
        <v>15</v>
      </c>
      <c r="F3139" s="28" t="s">
        <v>168</v>
      </c>
      <c r="G3139" s="37" t="s">
        <v>1050</v>
      </c>
      <c r="H3139" s="35" t="s">
        <v>1051</v>
      </c>
      <c r="J3139" s="31">
        <f t="shared" si="9"/>
        <v>2</v>
      </c>
    </row>
    <row r="3140">
      <c r="A3140" s="28">
        <v>53.0</v>
      </c>
      <c r="B3140" s="28">
        <v>3.0</v>
      </c>
      <c r="C3140" s="28">
        <v>53.4902236598802</v>
      </c>
      <c r="D3140" s="28">
        <v>9.98932889796128</v>
      </c>
      <c r="E3140" s="28" t="s">
        <v>15</v>
      </c>
      <c r="F3140" s="28" t="s">
        <v>168</v>
      </c>
      <c r="G3140" s="38"/>
      <c r="H3140" s="38"/>
      <c r="J3140" s="31">
        <f t="shared" si="9"/>
        <v>0</v>
      </c>
    </row>
    <row r="3141">
      <c r="A3141" s="28">
        <v>53.0</v>
      </c>
      <c r="B3141" s="28">
        <v>4.0</v>
      </c>
      <c r="C3141" s="28">
        <v>53.4902111327048</v>
      </c>
      <c r="D3141" s="28">
        <v>9.98956955864423</v>
      </c>
      <c r="E3141" s="28" t="s">
        <v>15</v>
      </c>
      <c r="F3141" s="28" t="s">
        <v>168</v>
      </c>
      <c r="G3141" s="38"/>
      <c r="H3141" s="38"/>
      <c r="J3141" s="31">
        <f t="shared" si="9"/>
        <v>0</v>
      </c>
    </row>
    <row r="3142">
      <c r="A3142" s="28">
        <v>53.0</v>
      </c>
      <c r="B3142" s="28">
        <v>5.0</v>
      </c>
      <c r="C3142" s="28">
        <v>53.4901986055294</v>
      </c>
      <c r="D3142" s="28">
        <v>9.98981021925612</v>
      </c>
      <c r="E3142" s="28" t="s">
        <v>15</v>
      </c>
      <c r="F3142" s="28" t="s">
        <v>168</v>
      </c>
      <c r="G3142" s="38"/>
      <c r="H3142" s="38"/>
      <c r="J3142" s="31">
        <f t="shared" si="9"/>
        <v>0</v>
      </c>
    </row>
    <row r="3143">
      <c r="A3143" s="28">
        <v>53.0</v>
      </c>
      <c r="B3143" s="28">
        <v>6.0</v>
      </c>
      <c r="C3143" s="28">
        <v>53.4901860783539</v>
      </c>
      <c r="D3143" s="28">
        <v>9.99005087979696</v>
      </c>
      <c r="E3143" s="28" t="s">
        <v>15</v>
      </c>
      <c r="F3143" s="28" t="s">
        <v>168</v>
      </c>
      <c r="G3143" s="38"/>
      <c r="H3143" s="38"/>
      <c r="J3143" s="31">
        <f t="shared" si="9"/>
        <v>0</v>
      </c>
    </row>
    <row r="3144">
      <c r="A3144" s="28">
        <v>53.0</v>
      </c>
      <c r="B3144" s="28">
        <v>7.0</v>
      </c>
      <c r="C3144" s="28">
        <v>53.4901735511785</v>
      </c>
      <c r="D3144" s="28">
        <v>9.99029154026675</v>
      </c>
      <c r="E3144" s="28" t="s">
        <v>15</v>
      </c>
      <c r="F3144" s="28" t="s">
        <v>168</v>
      </c>
      <c r="G3144" s="38"/>
      <c r="H3144" s="38"/>
      <c r="J3144" s="31">
        <f t="shared" si="9"/>
        <v>0</v>
      </c>
    </row>
    <row r="3145">
      <c r="A3145" s="28">
        <v>53.0</v>
      </c>
      <c r="B3145" s="28">
        <v>8.0</v>
      </c>
      <c r="C3145" s="28">
        <v>53.4901610240031</v>
      </c>
      <c r="D3145" s="28">
        <v>9.99053220066537</v>
      </c>
      <c r="E3145" s="28" t="s">
        <v>25</v>
      </c>
      <c r="F3145" s="28" t="s">
        <v>14</v>
      </c>
      <c r="G3145" s="38"/>
      <c r="H3145" s="38"/>
      <c r="J3145" s="31">
        <f t="shared" si="9"/>
        <v>0</v>
      </c>
    </row>
    <row r="3146">
      <c r="A3146" s="28">
        <v>53.0</v>
      </c>
      <c r="B3146" s="28">
        <v>9.0</v>
      </c>
      <c r="C3146" s="28">
        <v>53.4901484968276</v>
      </c>
      <c r="D3146" s="28">
        <v>9.99077286099293</v>
      </c>
      <c r="E3146" s="28" t="s">
        <v>25</v>
      </c>
      <c r="F3146" s="28" t="s">
        <v>14</v>
      </c>
      <c r="G3146" s="38"/>
      <c r="H3146" s="38"/>
      <c r="J3146" s="31">
        <f t="shared" si="9"/>
        <v>0</v>
      </c>
    </row>
    <row r="3147">
      <c r="A3147" s="28">
        <v>53.0</v>
      </c>
      <c r="B3147" s="28">
        <v>10.0</v>
      </c>
      <c r="C3147" s="28">
        <v>53.4901359696522</v>
      </c>
      <c r="D3147" s="28">
        <v>9.99101352124944</v>
      </c>
      <c r="E3147" s="28" t="s">
        <v>25</v>
      </c>
      <c r="F3147" s="28" t="s">
        <v>14</v>
      </c>
      <c r="G3147" s="38"/>
      <c r="H3147" s="38"/>
      <c r="J3147" s="31">
        <f t="shared" si="9"/>
        <v>0</v>
      </c>
    </row>
    <row r="3148">
      <c r="A3148" s="28">
        <v>53.0</v>
      </c>
      <c r="B3148" s="28">
        <v>11.0</v>
      </c>
      <c r="C3148" s="28">
        <v>53.4901234424768</v>
      </c>
      <c r="D3148" s="28">
        <v>9.99125418143489</v>
      </c>
      <c r="E3148" s="28" t="s">
        <v>25</v>
      </c>
      <c r="F3148" s="28" t="s">
        <v>14</v>
      </c>
      <c r="G3148" s="38"/>
      <c r="H3148" s="38"/>
      <c r="J3148" s="31">
        <f t="shared" si="9"/>
        <v>0</v>
      </c>
    </row>
    <row r="3149">
      <c r="A3149" s="28">
        <v>53.0</v>
      </c>
      <c r="B3149" s="28">
        <v>12.0</v>
      </c>
      <c r="C3149" s="28">
        <v>53.4901109153014</v>
      </c>
      <c r="D3149" s="28">
        <v>9.99149484154918</v>
      </c>
      <c r="E3149" s="28" t="s">
        <v>25</v>
      </c>
      <c r="F3149" s="28" t="s">
        <v>14</v>
      </c>
      <c r="G3149" s="38"/>
      <c r="H3149" s="38"/>
      <c r="J3149" s="31">
        <f t="shared" si="9"/>
        <v>0</v>
      </c>
    </row>
    <row r="3150">
      <c r="A3150" s="28">
        <v>53.0</v>
      </c>
      <c r="B3150" s="28">
        <v>13.0</v>
      </c>
      <c r="C3150" s="28">
        <v>53.490098388126</v>
      </c>
      <c r="D3150" s="28">
        <v>9.99173550159241</v>
      </c>
      <c r="E3150" s="28" t="s">
        <v>15</v>
      </c>
      <c r="F3150" s="28" t="s">
        <v>168</v>
      </c>
      <c r="G3150" s="38"/>
      <c r="H3150" s="38"/>
      <c r="J3150" s="31">
        <f t="shared" si="9"/>
        <v>0</v>
      </c>
    </row>
    <row r="3151">
      <c r="A3151" s="28">
        <v>53.0</v>
      </c>
      <c r="B3151" s="28">
        <v>14.0</v>
      </c>
      <c r="C3151" s="28">
        <v>53.4900858609505</v>
      </c>
      <c r="D3151" s="28">
        <v>9.99197616156459</v>
      </c>
      <c r="E3151" s="28" t="s">
        <v>15</v>
      </c>
      <c r="F3151" s="28" t="s">
        <v>168</v>
      </c>
      <c r="G3151" s="38"/>
      <c r="H3151" s="38"/>
      <c r="J3151" s="31">
        <f t="shared" si="9"/>
        <v>0</v>
      </c>
    </row>
    <row r="3152">
      <c r="A3152" s="28">
        <v>53.0</v>
      </c>
      <c r="B3152" s="28">
        <v>15.0</v>
      </c>
      <c r="C3152" s="28">
        <v>53.4900733337751</v>
      </c>
      <c r="D3152" s="28">
        <v>9.99221682146571</v>
      </c>
      <c r="E3152" s="28" t="s">
        <v>15</v>
      </c>
      <c r="F3152" s="28" t="s">
        <v>168</v>
      </c>
      <c r="G3152" s="38"/>
      <c r="H3152" s="38"/>
      <c r="J3152" s="31">
        <f t="shared" si="9"/>
        <v>0</v>
      </c>
    </row>
    <row r="3153">
      <c r="A3153" s="28">
        <v>53.0</v>
      </c>
      <c r="B3153" s="28">
        <v>16.0</v>
      </c>
      <c r="C3153" s="28">
        <v>53.4900608065997</v>
      </c>
      <c r="D3153" s="28">
        <v>9.99245748129567</v>
      </c>
      <c r="E3153" s="28" t="s">
        <v>25</v>
      </c>
      <c r="F3153" s="28" t="s">
        <v>14</v>
      </c>
      <c r="G3153" s="38"/>
      <c r="H3153" s="38"/>
      <c r="J3153" s="31">
        <f t="shared" si="9"/>
        <v>0</v>
      </c>
    </row>
    <row r="3154">
      <c r="A3154" s="28">
        <v>53.0</v>
      </c>
      <c r="B3154" s="28">
        <v>17.0</v>
      </c>
      <c r="C3154" s="28">
        <v>53.4900482794243</v>
      </c>
      <c r="D3154" s="28">
        <v>9.99269814105457</v>
      </c>
      <c r="E3154" s="28" t="s">
        <v>25</v>
      </c>
      <c r="F3154" s="28" t="s">
        <v>14</v>
      </c>
      <c r="G3154" s="38"/>
      <c r="H3154" s="38"/>
      <c r="J3154" s="31">
        <f t="shared" si="9"/>
        <v>0</v>
      </c>
    </row>
    <row r="3155">
      <c r="A3155" s="28">
        <v>53.0</v>
      </c>
      <c r="B3155" s="28">
        <v>18.0</v>
      </c>
      <c r="C3155" s="28">
        <v>53.4900357522488</v>
      </c>
      <c r="D3155" s="28">
        <v>9.99293880074242</v>
      </c>
      <c r="E3155" s="28" t="s">
        <v>15</v>
      </c>
      <c r="F3155" s="28" t="s">
        <v>168</v>
      </c>
      <c r="G3155" s="38"/>
      <c r="H3155" s="38"/>
      <c r="J3155" s="31">
        <f t="shared" si="9"/>
        <v>0</v>
      </c>
    </row>
    <row r="3156">
      <c r="A3156" s="28">
        <v>53.0</v>
      </c>
      <c r="B3156" s="28">
        <v>19.0</v>
      </c>
      <c r="C3156" s="28">
        <v>53.4900232250734</v>
      </c>
      <c r="D3156" s="28">
        <v>9.99317946035921</v>
      </c>
      <c r="E3156" s="28" t="s">
        <v>25</v>
      </c>
      <c r="F3156" s="28" t="s">
        <v>14</v>
      </c>
      <c r="G3156" s="38"/>
      <c r="H3156" s="38"/>
      <c r="J3156" s="31">
        <f t="shared" si="9"/>
        <v>0</v>
      </c>
    </row>
    <row r="3157">
      <c r="A3157" s="28">
        <v>53.0</v>
      </c>
      <c r="B3157" s="28">
        <v>20.0</v>
      </c>
      <c r="C3157" s="28">
        <v>53.490010697898</v>
      </c>
      <c r="D3157" s="28">
        <v>9.99342011990484</v>
      </c>
      <c r="E3157" s="28" t="s">
        <v>25</v>
      </c>
      <c r="F3157" s="28" t="s">
        <v>14</v>
      </c>
      <c r="G3157" s="38"/>
      <c r="H3157" s="38"/>
      <c r="J3157" s="31">
        <f t="shared" si="9"/>
        <v>0</v>
      </c>
    </row>
    <row r="3158">
      <c r="A3158" s="28">
        <v>53.0</v>
      </c>
      <c r="B3158" s="28">
        <v>21.0</v>
      </c>
      <c r="C3158" s="28">
        <v>53.4899981707226</v>
      </c>
      <c r="D3158" s="28">
        <v>9.99366077937941</v>
      </c>
      <c r="E3158" s="28" t="s">
        <v>15</v>
      </c>
      <c r="F3158" s="28" t="s">
        <v>168</v>
      </c>
      <c r="G3158" s="38"/>
      <c r="H3158" s="38"/>
      <c r="J3158" s="31">
        <f t="shared" si="9"/>
        <v>0</v>
      </c>
    </row>
    <row r="3159">
      <c r="A3159" s="28">
        <v>53.0</v>
      </c>
      <c r="B3159" s="28">
        <v>22.0</v>
      </c>
      <c r="C3159" s="28">
        <v>53.4899856435471</v>
      </c>
      <c r="D3159" s="28">
        <v>9.99390143878292</v>
      </c>
      <c r="E3159" s="28" t="s">
        <v>15</v>
      </c>
      <c r="F3159" s="28" t="s">
        <v>168</v>
      </c>
      <c r="G3159" s="38"/>
      <c r="H3159" s="38"/>
      <c r="J3159" s="31">
        <f t="shared" si="9"/>
        <v>0</v>
      </c>
    </row>
    <row r="3160">
      <c r="A3160" s="28">
        <v>53.0</v>
      </c>
      <c r="B3160" s="28">
        <v>23.0</v>
      </c>
      <c r="C3160" s="28">
        <v>53.4899731163717</v>
      </c>
      <c r="D3160" s="28">
        <v>9.99414209811539</v>
      </c>
      <c r="E3160" s="28" t="s">
        <v>15</v>
      </c>
      <c r="F3160" s="28" t="s">
        <v>168</v>
      </c>
      <c r="G3160" s="38"/>
      <c r="H3160" s="38"/>
      <c r="J3160" s="31">
        <f t="shared" si="9"/>
        <v>0</v>
      </c>
    </row>
    <row r="3161">
      <c r="A3161" s="28">
        <v>53.0</v>
      </c>
      <c r="B3161" s="28">
        <v>24.0</v>
      </c>
      <c r="C3161" s="28">
        <v>53.4899605891963</v>
      </c>
      <c r="D3161" s="28">
        <v>9.99438275737668</v>
      </c>
      <c r="E3161" s="28" t="s">
        <v>25</v>
      </c>
      <c r="F3161" s="28" t="s">
        <v>14</v>
      </c>
      <c r="G3161" s="38"/>
      <c r="H3161" s="38"/>
      <c r="J3161" s="31">
        <f t="shared" si="9"/>
        <v>0</v>
      </c>
    </row>
    <row r="3162">
      <c r="A3162" s="28">
        <v>53.0</v>
      </c>
      <c r="B3162" s="28">
        <v>25.0</v>
      </c>
      <c r="C3162" s="28">
        <v>53.4899480620208</v>
      </c>
      <c r="D3162" s="28">
        <v>9.99462341656692</v>
      </c>
      <c r="E3162" s="28" t="s">
        <v>25</v>
      </c>
      <c r="F3162" s="28" t="s">
        <v>14</v>
      </c>
      <c r="G3162" s="38"/>
      <c r="H3162" s="38"/>
      <c r="J3162" s="31">
        <f t="shared" si="9"/>
        <v>0</v>
      </c>
    </row>
    <row r="3163">
      <c r="A3163" s="28">
        <v>53.0</v>
      </c>
      <c r="B3163" s="28">
        <v>26.0</v>
      </c>
      <c r="C3163" s="28">
        <v>53.4899355348454</v>
      </c>
      <c r="D3163" s="28">
        <v>9.99486407568611</v>
      </c>
      <c r="E3163" s="28" t="s">
        <v>15</v>
      </c>
      <c r="F3163" s="28" t="s">
        <v>168</v>
      </c>
      <c r="G3163" s="38"/>
      <c r="H3163" s="38"/>
      <c r="J3163" s="31">
        <f t="shared" si="9"/>
        <v>0</v>
      </c>
    </row>
    <row r="3164">
      <c r="A3164" s="28">
        <v>53.0</v>
      </c>
      <c r="B3164" s="28">
        <v>27.0</v>
      </c>
      <c r="C3164" s="28">
        <v>53.48992300767</v>
      </c>
      <c r="D3164" s="28">
        <v>9.99510473473424</v>
      </c>
      <c r="E3164" s="28" t="s">
        <v>15</v>
      </c>
      <c r="F3164" s="28" t="s">
        <v>168</v>
      </c>
      <c r="G3164" s="38"/>
      <c r="H3164" s="38"/>
      <c r="J3164" s="31">
        <f t="shared" si="9"/>
        <v>0</v>
      </c>
    </row>
    <row r="3165">
      <c r="A3165" s="28">
        <v>53.0</v>
      </c>
      <c r="B3165" s="28">
        <v>28.0</v>
      </c>
      <c r="C3165" s="28">
        <v>53.4899104804946</v>
      </c>
      <c r="D3165" s="28">
        <v>9.9953453937112</v>
      </c>
      <c r="E3165" s="28" t="s">
        <v>15</v>
      </c>
      <c r="F3165" s="28" t="s">
        <v>168</v>
      </c>
      <c r="G3165" s="38"/>
      <c r="H3165" s="38"/>
      <c r="J3165" s="31">
        <f t="shared" si="9"/>
        <v>0</v>
      </c>
    </row>
    <row r="3166">
      <c r="A3166" s="28">
        <v>53.0</v>
      </c>
      <c r="B3166" s="28">
        <v>29.0</v>
      </c>
      <c r="C3166" s="28">
        <v>53.4898979533192</v>
      </c>
      <c r="D3166" s="28">
        <v>9.99558605261711</v>
      </c>
      <c r="E3166" s="28" t="s">
        <v>15</v>
      </c>
      <c r="F3166" s="28" t="s">
        <v>168</v>
      </c>
      <c r="G3166" s="38"/>
      <c r="H3166" s="38"/>
      <c r="J3166" s="31">
        <f t="shared" si="9"/>
        <v>0</v>
      </c>
    </row>
    <row r="3167">
      <c r="A3167" s="28">
        <v>53.0</v>
      </c>
      <c r="B3167" s="28">
        <v>30.0</v>
      </c>
      <c r="C3167" s="28">
        <v>53.4898854261437</v>
      </c>
      <c r="D3167" s="28">
        <v>9.99582671145196</v>
      </c>
      <c r="E3167" s="28" t="s">
        <v>25</v>
      </c>
      <c r="F3167" s="28" t="s">
        <v>14</v>
      </c>
      <c r="G3167" s="38"/>
      <c r="H3167" s="38"/>
      <c r="J3167" s="31">
        <f t="shared" si="9"/>
        <v>0</v>
      </c>
    </row>
    <row r="3168">
      <c r="A3168" s="28">
        <v>53.0</v>
      </c>
      <c r="B3168" s="28">
        <v>31.0</v>
      </c>
      <c r="C3168" s="28">
        <v>53.4898728989683</v>
      </c>
      <c r="D3168" s="28">
        <v>9.99606737021577</v>
      </c>
      <c r="E3168" s="28" t="s">
        <v>25</v>
      </c>
      <c r="F3168" s="28" t="s">
        <v>14</v>
      </c>
      <c r="G3168" s="38"/>
      <c r="H3168" s="38"/>
      <c r="J3168" s="31">
        <f t="shared" si="9"/>
        <v>0</v>
      </c>
    </row>
    <row r="3169">
      <c r="A3169" s="28">
        <v>53.0</v>
      </c>
      <c r="B3169" s="28">
        <v>32.0</v>
      </c>
      <c r="C3169" s="28">
        <v>53.4898603717929</v>
      </c>
      <c r="D3169" s="28">
        <v>9.9963080289084</v>
      </c>
      <c r="E3169" s="28" t="s">
        <v>15</v>
      </c>
      <c r="F3169" s="28" t="s">
        <v>168</v>
      </c>
      <c r="G3169" s="38"/>
      <c r="H3169" s="38"/>
      <c r="J3169" s="31">
        <f t="shared" si="9"/>
        <v>0</v>
      </c>
    </row>
    <row r="3170">
      <c r="A3170" s="28">
        <v>53.0</v>
      </c>
      <c r="B3170" s="28">
        <v>33.0</v>
      </c>
      <c r="C3170" s="28">
        <v>53.4898478446175</v>
      </c>
      <c r="D3170" s="28">
        <v>9.99654868752998</v>
      </c>
      <c r="E3170" s="28" t="s">
        <v>15</v>
      </c>
      <c r="F3170" s="28" t="s">
        <v>168</v>
      </c>
      <c r="G3170" s="38"/>
      <c r="H3170" s="38"/>
      <c r="J3170" s="31">
        <f t="shared" si="9"/>
        <v>0</v>
      </c>
    </row>
    <row r="3171">
      <c r="A3171" s="28">
        <v>53.0</v>
      </c>
      <c r="B3171" s="28">
        <v>34.0</v>
      </c>
      <c r="C3171" s="28">
        <v>53.4898353174421</v>
      </c>
      <c r="D3171" s="28">
        <v>9.9967893460805</v>
      </c>
      <c r="E3171" s="28" t="s">
        <v>15</v>
      </c>
      <c r="F3171" s="28" t="s">
        <v>168</v>
      </c>
      <c r="G3171" s="38"/>
      <c r="H3171" s="38"/>
      <c r="J3171" s="31">
        <f t="shared" si="9"/>
        <v>0</v>
      </c>
    </row>
    <row r="3172">
      <c r="A3172" s="28">
        <v>53.0</v>
      </c>
      <c r="B3172" s="28">
        <v>35.0</v>
      </c>
      <c r="C3172" s="28">
        <v>53.4898227902666</v>
      </c>
      <c r="D3172" s="28">
        <v>9.99703000455997</v>
      </c>
      <c r="E3172" s="28" t="s">
        <v>25</v>
      </c>
      <c r="F3172" s="28" t="s">
        <v>14</v>
      </c>
      <c r="G3172" s="38"/>
      <c r="H3172" s="38"/>
      <c r="J3172" s="31">
        <f t="shared" si="9"/>
        <v>0</v>
      </c>
    </row>
    <row r="3173">
      <c r="A3173" s="28">
        <v>53.0</v>
      </c>
      <c r="B3173" s="28">
        <v>36.0</v>
      </c>
      <c r="C3173" s="28">
        <v>53.4898102630912</v>
      </c>
      <c r="D3173" s="28">
        <v>9.99727066296827</v>
      </c>
      <c r="E3173" s="28" t="s">
        <v>25</v>
      </c>
      <c r="F3173" s="28" t="s">
        <v>14</v>
      </c>
      <c r="G3173" s="38"/>
      <c r="H3173" s="38"/>
      <c r="J3173" s="31">
        <f t="shared" si="9"/>
        <v>0</v>
      </c>
    </row>
    <row r="3174">
      <c r="A3174" s="28">
        <v>53.0</v>
      </c>
      <c r="B3174" s="28">
        <v>37.0</v>
      </c>
      <c r="C3174" s="28">
        <v>53.4897977359158</v>
      </c>
      <c r="D3174" s="28">
        <v>9.99751132130552</v>
      </c>
      <c r="E3174" s="28" t="s">
        <v>15</v>
      </c>
      <c r="F3174" s="28" t="s">
        <v>168</v>
      </c>
      <c r="G3174" s="38"/>
      <c r="H3174" s="38"/>
      <c r="J3174" s="31">
        <f t="shared" si="9"/>
        <v>0</v>
      </c>
    </row>
    <row r="3175">
      <c r="A3175" s="28">
        <v>53.0</v>
      </c>
      <c r="B3175" s="28">
        <v>38.0</v>
      </c>
      <c r="C3175" s="28">
        <v>53.4897852087404</v>
      </c>
      <c r="D3175" s="28">
        <v>9.99775197957171</v>
      </c>
      <c r="E3175" s="28" t="s">
        <v>15</v>
      </c>
      <c r="F3175" s="28" t="s">
        <v>168</v>
      </c>
      <c r="G3175" s="38"/>
      <c r="H3175" s="38"/>
      <c r="J3175" s="31">
        <f t="shared" si="9"/>
        <v>0</v>
      </c>
    </row>
    <row r="3176">
      <c r="A3176" s="28">
        <v>53.0</v>
      </c>
      <c r="B3176" s="28">
        <v>39.0</v>
      </c>
      <c r="C3176" s="28">
        <v>53.4897726815649</v>
      </c>
      <c r="D3176" s="28">
        <v>9.99799263776685</v>
      </c>
      <c r="E3176" s="28" t="s">
        <v>25</v>
      </c>
      <c r="F3176" s="28" t="s">
        <v>14</v>
      </c>
      <c r="G3176" s="38"/>
      <c r="H3176" s="38"/>
      <c r="J3176" s="31">
        <f t="shared" si="9"/>
        <v>0</v>
      </c>
    </row>
    <row r="3177">
      <c r="A3177" s="28">
        <v>53.0</v>
      </c>
      <c r="B3177" s="28">
        <v>40.0</v>
      </c>
      <c r="C3177" s="28">
        <v>53.4897601543895</v>
      </c>
      <c r="D3177" s="28">
        <v>9.99823329589082</v>
      </c>
      <c r="E3177" s="28" t="s">
        <v>25</v>
      </c>
      <c r="F3177" s="28" t="s">
        <v>14</v>
      </c>
      <c r="G3177" s="38"/>
      <c r="H3177" s="38"/>
      <c r="J3177" s="31">
        <f t="shared" si="9"/>
        <v>0</v>
      </c>
    </row>
    <row r="3178">
      <c r="A3178" s="28">
        <v>53.0</v>
      </c>
      <c r="B3178" s="28">
        <v>41.0</v>
      </c>
      <c r="C3178" s="28">
        <v>53.4897476272141</v>
      </c>
      <c r="D3178" s="28">
        <v>9.99847395394374</v>
      </c>
      <c r="E3178" s="28" t="s">
        <v>25</v>
      </c>
      <c r="F3178" s="28" t="s">
        <v>14</v>
      </c>
      <c r="G3178" s="38"/>
      <c r="H3178" s="38"/>
      <c r="J3178" s="31">
        <f t="shared" si="9"/>
        <v>0</v>
      </c>
    </row>
    <row r="3179">
      <c r="A3179" s="28">
        <v>53.0</v>
      </c>
      <c r="B3179" s="28">
        <v>42.0</v>
      </c>
      <c r="C3179" s="28">
        <v>53.4897351000387</v>
      </c>
      <c r="D3179" s="28">
        <v>9.9987146119256</v>
      </c>
      <c r="E3179" s="28" t="s">
        <v>25</v>
      </c>
      <c r="F3179" s="28" t="s">
        <v>14</v>
      </c>
      <c r="G3179" s="38"/>
      <c r="H3179" s="38"/>
      <c r="J3179" s="31">
        <f t="shared" si="9"/>
        <v>0</v>
      </c>
    </row>
    <row r="3180">
      <c r="A3180" s="28">
        <v>53.0</v>
      </c>
      <c r="B3180" s="28">
        <v>43.0</v>
      </c>
      <c r="C3180" s="28">
        <v>53.4897225728632</v>
      </c>
      <c r="D3180" s="28">
        <v>9.99895526983641</v>
      </c>
      <c r="E3180" s="28" t="s">
        <v>25</v>
      </c>
      <c r="F3180" s="28" t="s">
        <v>14</v>
      </c>
      <c r="G3180" s="38"/>
      <c r="H3180" s="38"/>
      <c r="J3180" s="31">
        <f t="shared" si="9"/>
        <v>0</v>
      </c>
    </row>
    <row r="3181">
      <c r="A3181" s="28">
        <v>53.0</v>
      </c>
      <c r="B3181" s="28">
        <v>44.0</v>
      </c>
      <c r="C3181" s="28">
        <v>53.4897100456878</v>
      </c>
      <c r="D3181" s="28">
        <v>9.99919592767605</v>
      </c>
      <c r="E3181" s="28" t="s">
        <v>25</v>
      </c>
      <c r="F3181" s="28" t="s">
        <v>14</v>
      </c>
      <c r="G3181" s="38"/>
      <c r="H3181" s="38"/>
      <c r="J3181" s="31">
        <f t="shared" si="9"/>
        <v>0</v>
      </c>
    </row>
    <row r="3182">
      <c r="A3182" s="28">
        <v>53.0</v>
      </c>
      <c r="B3182" s="28">
        <v>45.0</v>
      </c>
      <c r="C3182" s="28">
        <v>53.4896975185124</v>
      </c>
      <c r="D3182" s="28">
        <v>9.99943658544464</v>
      </c>
      <c r="E3182" s="28" t="s">
        <v>15</v>
      </c>
      <c r="F3182" s="28" t="s">
        <v>168</v>
      </c>
      <c r="G3182" s="38"/>
      <c r="H3182" s="38"/>
      <c r="J3182" s="31">
        <f t="shared" si="9"/>
        <v>0</v>
      </c>
    </row>
    <row r="3183">
      <c r="A3183" s="28">
        <v>53.0</v>
      </c>
      <c r="B3183" s="28">
        <v>46.0</v>
      </c>
      <c r="C3183" s="28">
        <v>53.489684991337</v>
      </c>
      <c r="D3183" s="28">
        <v>9.99967724314217</v>
      </c>
      <c r="E3183" s="28" t="s">
        <v>15</v>
      </c>
      <c r="F3183" s="28" t="s">
        <v>168</v>
      </c>
      <c r="G3183" s="29" t="s">
        <v>722</v>
      </c>
      <c r="H3183" s="30" t="s">
        <v>1052</v>
      </c>
      <c r="J3183" s="31">
        <f t="shared" si="9"/>
        <v>48</v>
      </c>
    </row>
    <row r="3184">
      <c r="A3184" s="28">
        <v>53.0</v>
      </c>
      <c r="B3184" s="28">
        <v>47.0</v>
      </c>
      <c r="C3184" s="28">
        <v>53.4896724641616</v>
      </c>
      <c r="D3184" s="28">
        <v>9.99991790076865</v>
      </c>
      <c r="E3184" s="28" t="s">
        <v>25</v>
      </c>
      <c r="F3184" s="28" t="s">
        <v>14</v>
      </c>
      <c r="G3184" s="38"/>
      <c r="H3184" s="38"/>
      <c r="J3184" s="31">
        <f t="shared" si="9"/>
        <v>0</v>
      </c>
    </row>
    <row r="3185">
      <c r="A3185" s="28">
        <v>53.0</v>
      </c>
      <c r="B3185" s="28">
        <v>48.0</v>
      </c>
      <c r="C3185" s="28">
        <v>53.4896599369862</v>
      </c>
      <c r="D3185" s="28">
        <v>10.0001585583239</v>
      </c>
      <c r="E3185" s="28" t="s">
        <v>25</v>
      </c>
      <c r="F3185" s="28" t="s">
        <v>14</v>
      </c>
      <c r="G3185" s="38"/>
      <c r="H3185" s="38"/>
      <c r="J3185" s="31">
        <f t="shared" si="9"/>
        <v>0</v>
      </c>
    </row>
    <row r="3186">
      <c r="A3186" s="28">
        <v>53.0</v>
      </c>
      <c r="B3186" s="28">
        <v>49.0</v>
      </c>
      <c r="C3186" s="28">
        <v>53.4896474098107</v>
      </c>
      <c r="D3186" s="28">
        <v>10.0003992158082</v>
      </c>
      <c r="E3186" s="28" t="s">
        <v>25</v>
      </c>
      <c r="F3186" s="28" t="s">
        <v>14</v>
      </c>
      <c r="G3186" s="38"/>
      <c r="H3186" s="38"/>
      <c r="J3186" s="31">
        <f t="shared" si="9"/>
        <v>0</v>
      </c>
    </row>
    <row r="3187">
      <c r="A3187" s="28">
        <v>53.0</v>
      </c>
      <c r="B3187" s="28">
        <v>50.0</v>
      </c>
      <c r="C3187" s="28">
        <v>53.4896348826353</v>
      </c>
      <c r="D3187" s="28">
        <v>10.0006398732214</v>
      </c>
      <c r="E3187" s="28" t="s">
        <v>25</v>
      </c>
      <c r="F3187" s="28" t="s">
        <v>14</v>
      </c>
      <c r="G3187" s="38"/>
      <c r="H3187" s="38"/>
      <c r="J3187" s="31">
        <f t="shared" si="9"/>
        <v>0</v>
      </c>
    </row>
    <row r="3188">
      <c r="A3188" s="28">
        <v>53.0</v>
      </c>
      <c r="B3188" s="28">
        <v>51.0</v>
      </c>
      <c r="C3188" s="28">
        <v>53.4896223554599</v>
      </c>
      <c r="D3188" s="28">
        <v>10.0008805305635</v>
      </c>
      <c r="E3188" s="28" t="s">
        <v>15</v>
      </c>
      <c r="F3188" s="28" t="s">
        <v>168</v>
      </c>
      <c r="G3188" s="29" t="s">
        <v>722</v>
      </c>
      <c r="H3188" s="30" t="s">
        <v>1053</v>
      </c>
      <c r="J3188" s="31">
        <f t="shared" si="9"/>
        <v>48</v>
      </c>
    </row>
    <row r="3189">
      <c r="A3189" s="28">
        <v>53.0</v>
      </c>
      <c r="B3189" s="28">
        <v>52.0</v>
      </c>
      <c r="C3189" s="28">
        <v>53.4896098282845</v>
      </c>
      <c r="D3189" s="28">
        <v>10.0011211878345</v>
      </c>
      <c r="E3189" s="28" t="s">
        <v>25</v>
      </c>
      <c r="F3189" s="28" t="s">
        <v>14</v>
      </c>
      <c r="G3189" s="38"/>
      <c r="H3189" s="38"/>
      <c r="J3189" s="31">
        <f t="shared" si="9"/>
        <v>0</v>
      </c>
    </row>
    <row r="3190">
      <c r="A3190" s="28">
        <v>53.0</v>
      </c>
      <c r="B3190" s="28">
        <v>53.0</v>
      </c>
      <c r="C3190" s="28">
        <v>53.489597301109</v>
      </c>
      <c r="D3190" s="28">
        <v>10.0013618450344</v>
      </c>
      <c r="E3190" s="28" t="s">
        <v>25</v>
      </c>
      <c r="F3190" s="28" t="s">
        <v>14</v>
      </c>
      <c r="G3190" s="38"/>
      <c r="H3190" s="38"/>
      <c r="J3190" s="31">
        <f t="shared" si="9"/>
        <v>0</v>
      </c>
    </row>
    <row r="3191">
      <c r="A3191" s="28">
        <v>53.0</v>
      </c>
      <c r="B3191" s="28">
        <v>54.0</v>
      </c>
      <c r="C3191" s="28">
        <v>53.4895847739336</v>
      </c>
      <c r="D3191" s="28">
        <v>10.0016025021633</v>
      </c>
      <c r="E3191" s="28" t="s">
        <v>15</v>
      </c>
      <c r="F3191" s="28" t="s">
        <v>168</v>
      </c>
      <c r="G3191" s="29" t="s">
        <v>722</v>
      </c>
      <c r="H3191" s="30" t="s">
        <v>1054</v>
      </c>
      <c r="J3191" s="31">
        <f t="shared" si="9"/>
        <v>48</v>
      </c>
    </row>
    <row r="3192">
      <c r="A3192" s="28">
        <v>53.0</v>
      </c>
      <c r="B3192" s="28">
        <v>55.0</v>
      </c>
      <c r="C3192" s="28">
        <v>53.4895722467582</v>
      </c>
      <c r="D3192" s="28">
        <v>10.0018431592211</v>
      </c>
      <c r="E3192" s="28" t="s">
        <v>15</v>
      </c>
      <c r="F3192" s="28" t="s">
        <v>168</v>
      </c>
      <c r="G3192" s="38"/>
      <c r="H3192" s="38"/>
      <c r="J3192" s="31">
        <f t="shared" si="9"/>
        <v>0</v>
      </c>
    </row>
    <row r="3193">
      <c r="A3193" s="28">
        <v>53.0</v>
      </c>
      <c r="B3193" s="28">
        <v>56.0</v>
      </c>
      <c r="C3193" s="28">
        <v>53.4895597195828</v>
      </c>
      <c r="D3193" s="28">
        <v>10.0020838162079</v>
      </c>
      <c r="E3193" s="28" t="s">
        <v>15</v>
      </c>
      <c r="F3193" s="28" t="s">
        <v>168</v>
      </c>
      <c r="G3193" s="38"/>
      <c r="H3193" s="38"/>
      <c r="J3193" s="31">
        <f t="shared" si="9"/>
        <v>0</v>
      </c>
    </row>
    <row r="3194">
      <c r="A3194" s="28">
        <v>53.0</v>
      </c>
      <c r="B3194" s="28">
        <v>57.0</v>
      </c>
      <c r="C3194" s="28">
        <v>53.4895471924074</v>
      </c>
      <c r="D3194" s="28">
        <v>10.0023244731235</v>
      </c>
      <c r="E3194" s="28" t="s">
        <v>15</v>
      </c>
      <c r="F3194" s="28" t="s">
        <v>168</v>
      </c>
      <c r="G3194" s="29" t="s">
        <v>722</v>
      </c>
      <c r="H3194" s="30" t="s">
        <v>1055</v>
      </c>
      <c r="J3194" s="31">
        <f t="shared" si="9"/>
        <v>48</v>
      </c>
    </row>
    <row r="3195">
      <c r="A3195" s="28">
        <v>53.0</v>
      </c>
      <c r="B3195" s="28">
        <v>58.0</v>
      </c>
      <c r="C3195" s="28">
        <v>53.4895346652319</v>
      </c>
      <c r="D3195" s="28">
        <v>10.002565129968</v>
      </c>
      <c r="E3195" s="28" t="s">
        <v>15</v>
      </c>
      <c r="F3195" s="28" t="s">
        <v>168</v>
      </c>
      <c r="G3195" s="29" t="s">
        <v>1056</v>
      </c>
      <c r="H3195" s="30" t="s">
        <v>1057</v>
      </c>
      <c r="J3195" s="31">
        <f t="shared" si="9"/>
        <v>2</v>
      </c>
    </row>
    <row r="3196">
      <c r="A3196" s="28">
        <v>53.0</v>
      </c>
      <c r="B3196" s="28">
        <v>59.0</v>
      </c>
      <c r="C3196" s="28">
        <v>53.4895221380565</v>
      </c>
      <c r="D3196" s="28">
        <v>10.0028057867415</v>
      </c>
      <c r="E3196" s="28" t="s">
        <v>15</v>
      </c>
      <c r="F3196" s="28" t="s">
        <v>168</v>
      </c>
      <c r="G3196" s="29" t="s">
        <v>1018</v>
      </c>
      <c r="H3196" s="30" t="str">
        <f>HYPERLINK("https://www.munzee.com/m/TheLabGuys/6598/", "TheLabGuys/6598")</f>
        <v>TheLabGuys/6598</v>
      </c>
      <c r="J3196" s="31">
        <f t="shared" si="9"/>
        <v>5</v>
      </c>
    </row>
    <row r="3197">
      <c r="A3197" s="28">
        <v>53.0</v>
      </c>
      <c r="B3197" s="28">
        <v>60.0</v>
      </c>
      <c r="C3197" s="28">
        <v>53.4895096108811</v>
      </c>
      <c r="D3197" s="28">
        <v>10.0030464434439</v>
      </c>
      <c r="E3197" s="28" t="s">
        <v>25</v>
      </c>
      <c r="F3197" s="28" t="s">
        <v>14</v>
      </c>
      <c r="G3197" s="29" t="s">
        <v>164</v>
      </c>
      <c r="H3197" s="35" t="s">
        <v>1058</v>
      </c>
      <c r="J3197" s="31">
        <f t="shared" si="9"/>
        <v>133</v>
      </c>
    </row>
    <row r="3198">
      <c r="A3198" s="28">
        <v>54.0</v>
      </c>
      <c r="B3198" s="28">
        <v>1.0</v>
      </c>
      <c r="C3198" s="28">
        <v>53.4901055307215</v>
      </c>
      <c r="D3198" s="28">
        <v>9.98882652135284</v>
      </c>
      <c r="E3198" s="28" t="s">
        <v>25</v>
      </c>
      <c r="F3198" s="28" t="s">
        <v>14</v>
      </c>
      <c r="G3198" s="29" t="s">
        <v>164</v>
      </c>
      <c r="H3198" s="35" t="s">
        <v>1059</v>
      </c>
      <c r="J3198" s="31">
        <f t="shared" si="9"/>
        <v>133</v>
      </c>
    </row>
    <row r="3199">
      <c r="A3199" s="28">
        <v>54.0</v>
      </c>
      <c r="B3199" s="28">
        <v>2.0</v>
      </c>
      <c r="C3199" s="28">
        <v>53.4900930035461</v>
      </c>
      <c r="D3199" s="28">
        <v>9.98906718136549</v>
      </c>
      <c r="E3199" s="28" t="s">
        <v>15</v>
      </c>
      <c r="F3199" s="28" t="s">
        <v>168</v>
      </c>
      <c r="G3199" s="29"/>
      <c r="H3199" s="38"/>
      <c r="J3199" s="31">
        <f t="shared" si="9"/>
        <v>0</v>
      </c>
    </row>
    <row r="3200">
      <c r="A3200" s="28">
        <v>54.0</v>
      </c>
      <c r="B3200" s="28">
        <v>3.0</v>
      </c>
      <c r="C3200" s="28">
        <v>53.4900804763706</v>
      </c>
      <c r="D3200" s="28">
        <v>9.98930784130709</v>
      </c>
      <c r="E3200" s="28" t="s">
        <v>15</v>
      </c>
      <c r="F3200" s="28" t="s">
        <v>168</v>
      </c>
      <c r="G3200" s="38"/>
      <c r="H3200" s="38"/>
      <c r="J3200" s="31">
        <f t="shared" si="9"/>
        <v>0</v>
      </c>
    </row>
    <row r="3201">
      <c r="A3201" s="28">
        <v>54.0</v>
      </c>
      <c r="B3201" s="28">
        <v>4.0</v>
      </c>
      <c r="C3201" s="28">
        <v>53.4900679491952</v>
      </c>
      <c r="D3201" s="28">
        <v>9.98954850117763</v>
      </c>
      <c r="E3201" s="28" t="s">
        <v>15</v>
      </c>
      <c r="F3201" s="28" t="s">
        <v>168</v>
      </c>
      <c r="G3201" s="38"/>
      <c r="H3201" s="38"/>
      <c r="J3201" s="31">
        <f t="shared" si="9"/>
        <v>0</v>
      </c>
    </row>
    <row r="3202">
      <c r="A3202" s="28">
        <v>54.0</v>
      </c>
      <c r="B3202" s="28">
        <v>5.0</v>
      </c>
      <c r="C3202" s="28">
        <v>53.4900554220198</v>
      </c>
      <c r="D3202" s="28">
        <v>9.98978916097712</v>
      </c>
      <c r="E3202" s="28" t="s">
        <v>15</v>
      </c>
      <c r="F3202" s="28" t="s">
        <v>168</v>
      </c>
      <c r="G3202" s="38"/>
      <c r="H3202" s="38"/>
      <c r="J3202" s="31">
        <f t="shared" si="9"/>
        <v>0</v>
      </c>
    </row>
    <row r="3203">
      <c r="A3203" s="28">
        <v>54.0</v>
      </c>
      <c r="B3203" s="28">
        <v>6.0</v>
      </c>
      <c r="C3203" s="28">
        <v>53.4900428948444</v>
      </c>
      <c r="D3203" s="28">
        <v>9.99002982070544</v>
      </c>
      <c r="E3203" s="28" t="s">
        <v>15</v>
      </c>
      <c r="F3203" s="28" t="s">
        <v>168</v>
      </c>
      <c r="G3203" s="38"/>
      <c r="H3203" s="38"/>
      <c r="J3203" s="31">
        <f t="shared" si="9"/>
        <v>0</v>
      </c>
    </row>
    <row r="3204">
      <c r="A3204" s="28">
        <v>54.0</v>
      </c>
      <c r="B3204" s="28">
        <v>7.0</v>
      </c>
      <c r="C3204" s="28">
        <v>53.4900303676689</v>
      </c>
      <c r="D3204" s="28">
        <v>9.99027048036271</v>
      </c>
      <c r="E3204" s="28" t="s">
        <v>15</v>
      </c>
      <c r="F3204" s="28" t="s">
        <v>168</v>
      </c>
      <c r="G3204" s="38"/>
      <c r="H3204" s="38"/>
      <c r="J3204" s="31">
        <f t="shared" si="9"/>
        <v>0</v>
      </c>
    </row>
    <row r="3205">
      <c r="A3205" s="28">
        <v>54.0</v>
      </c>
      <c r="B3205" s="28">
        <v>8.0</v>
      </c>
      <c r="C3205" s="28">
        <v>53.4900178404935</v>
      </c>
      <c r="D3205" s="28">
        <v>9.99051113994892</v>
      </c>
      <c r="E3205" s="28" t="s">
        <v>25</v>
      </c>
      <c r="F3205" s="28" t="s">
        <v>14</v>
      </c>
      <c r="G3205" s="38"/>
      <c r="H3205" s="38"/>
      <c r="J3205" s="31">
        <f t="shared" si="9"/>
        <v>0</v>
      </c>
    </row>
    <row r="3206">
      <c r="A3206" s="28">
        <v>54.0</v>
      </c>
      <c r="B3206" s="28">
        <v>9.0</v>
      </c>
      <c r="C3206" s="28">
        <v>53.4900053133181</v>
      </c>
      <c r="D3206" s="28">
        <v>9.99075179946407</v>
      </c>
      <c r="E3206" s="28" t="s">
        <v>25</v>
      </c>
      <c r="F3206" s="28" t="s">
        <v>14</v>
      </c>
      <c r="G3206" s="38"/>
      <c r="H3206" s="38"/>
      <c r="J3206" s="31">
        <f t="shared" si="9"/>
        <v>0</v>
      </c>
    </row>
    <row r="3207">
      <c r="A3207" s="28">
        <v>54.0</v>
      </c>
      <c r="B3207" s="28">
        <v>10.0</v>
      </c>
      <c r="C3207" s="28">
        <v>53.4899927861427</v>
      </c>
      <c r="D3207" s="28">
        <v>9.99099245890806</v>
      </c>
      <c r="E3207" s="28" t="s">
        <v>25</v>
      </c>
      <c r="F3207" s="28" t="s">
        <v>14</v>
      </c>
      <c r="G3207" s="38"/>
      <c r="H3207" s="38"/>
      <c r="J3207" s="31">
        <f t="shared" si="9"/>
        <v>0</v>
      </c>
    </row>
    <row r="3208">
      <c r="A3208" s="28">
        <v>54.0</v>
      </c>
      <c r="B3208" s="28">
        <v>11.0</v>
      </c>
      <c r="C3208" s="28">
        <v>53.4899802589673</v>
      </c>
      <c r="D3208" s="28">
        <v>9.991233118281</v>
      </c>
      <c r="E3208" s="28" t="s">
        <v>25</v>
      </c>
      <c r="F3208" s="28" t="s">
        <v>14</v>
      </c>
      <c r="G3208" s="38"/>
      <c r="H3208" s="38"/>
      <c r="J3208" s="31">
        <f t="shared" si="9"/>
        <v>0</v>
      </c>
    </row>
    <row r="3209">
      <c r="A3209" s="28">
        <v>54.0</v>
      </c>
      <c r="B3209" s="28">
        <v>12.0</v>
      </c>
      <c r="C3209" s="28">
        <v>53.4899677317918</v>
      </c>
      <c r="D3209" s="28">
        <v>9.99147377758288</v>
      </c>
      <c r="E3209" s="28" t="s">
        <v>15</v>
      </c>
      <c r="F3209" s="28" t="s">
        <v>168</v>
      </c>
      <c r="G3209" s="38"/>
      <c r="H3209" s="38"/>
      <c r="J3209" s="31">
        <f t="shared" si="9"/>
        <v>0</v>
      </c>
    </row>
    <row r="3210">
      <c r="A3210" s="28">
        <v>54.0</v>
      </c>
      <c r="B3210" s="28">
        <v>13.0</v>
      </c>
      <c r="C3210" s="28">
        <v>53.4899552046164</v>
      </c>
      <c r="D3210" s="28">
        <v>9.9917144368137</v>
      </c>
      <c r="E3210" s="28" t="s">
        <v>15</v>
      </c>
      <c r="F3210" s="28" t="s">
        <v>168</v>
      </c>
      <c r="G3210" s="38"/>
      <c r="H3210" s="38"/>
      <c r="J3210" s="31">
        <f t="shared" si="9"/>
        <v>0</v>
      </c>
    </row>
    <row r="3211">
      <c r="A3211" s="28">
        <v>54.0</v>
      </c>
      <c r="B3211" s="28">
        <v>14.0</v>
      </c>
      <c r="C3211" s="28">
        <v>53.489942677441</v>
      </c>
      <c r="D3211" s="28">
        <v>9.99195509597336</v>
      </c>
      <c r="E3211" s="28" t="s">
        <v>15</v>
      </c>
      <c r="F3211" s="28" t="s">
        <v>168</v>
      </c>
      <c r="G3211" s="38"/>
      <c r="H3211" s="38"/>
      <c r="J3211" s="31">
        <f t="shared" si="9"/>
        <v>0</v>
      </c>
    </row>
    <row r="3212">
      <c r="A3212" s="28">
        <v>54.0</v>
      </c>
      <c r="B3212" s="28">
        <v>15.0</v>
      </c>
      <c r="C3212" s="28">
        <v>53.4899301502656</v>
      </c>
      <c r="D3212" s="28">
        <v>9.99219575506197</v>
      </c>
      <c r="E3212" s="28" t="s">
        <v>15</v>
      </c>
      <c r="F3212" s="28" t="s">
        <v>168</v>
      </c>
      <c r="G3212" s="38"/>
      <c r="H3212" s="38"/>
      <c r="J3212" s="31">
        <f t="shared" si="9"/>
        <v>0</v>
      </c>
    </row>
    <row r="3213">
      <c r="A3213" s="28">
        <v>54.0</v>
      </c>
      <c r="B3213" s="28">
        <v>16.0</v>
      </c>
      <c r="C3213" s="28">
        <v>53.4899176230901</v>
      </c>
      <c r="D3213" s="28">
        <v>9.99243641407952</v>
      </c>
      <c r="E3213" s="28" t="s">
        <v>25</v>
      </c>
      <c r="F3213" s="28" t="s">
        <v>14</v>
      </c>
      <c r="G3213" s="38"/>
      <c r="H3213" s="38"/>
      <c r="J3213" s="31">
        <f t="shared" si="9"/>
        <v>0</v>
      </c>
    </row>
    <row r="3214">
      <c r="A3214" s="28">
        <v>54.0</v>
      </c>
      <c r="B3214" s="28">
        <v>17.0</v>
      </c>
      <c r="C3214" s="28">
        <v>53.4899050959147</v>
      </c>
      <c r="D3214" s="28">
        <v>9.99267707302601</v>
      </c>
      <c r="E3214" s="28" t="s">
        <v>25</v>
      </c>
      <c r="F3214" s="28" t="s">
        <v>14</v>
      </c>
      <c r="G3214" s="38"/>
      <c r="H3214" s="38"/>
      <c r="J3214" s="31">
        <f t="shared" si="9"/>
        <v>0</v>
      </c>
    </row>
    <row r="3215">
      <c r="A3215" s="28">
        <v>54.0</v>
      </c>
      <c r="B3215" s="28">
        <v>18.0</v>
      </c>
      <c r="C3215" s="28">
        <v>53.4898925687393</v>
      </c>
      <c r="D3215" s="28">
        <v>9.99291773190134</v>
      </c>
      <c r="E3215" s="28" t="s">
        <v>15</v>
      </c>
      <c r="F3215" s="28" t="s">
        <v>168</v>
      </c>
      <c r="G3215" s="38"/>
      <c r="H3215" s="38"/>
      <c r="J3215" s="31">
        <f t="shared" si="9"/>
        <v>0</v>
      </c>
    </row>
    <row r="3216">
      <c r="A3216" s="28">
        <v>54.0</v>
      </c>
      <c r="B3216" s="28">
        <v>19.0</v>
      </c>
      <c r="C3216" s="28">
        <v>53.4898800415639</v>
      </c>
      <c r="D3216" s="28">
        <v>9.99315839070561</v>
      </c>
      <c r="E3216" s="28" t="s">
        <v>25</v>
      </c>
      <c r="F3216" s="28" t="s">
        <v>14</v>
      </c>
      <c r="G3216" s="38"/>
      <c r="H3216" s="38"/>
      <c r="J3216" s="31">
        <f t="shared" si="9"/>
        <v>0</v>
      </c>
    </row>
    <row r="3217">
      <c r="A3217" s="28">
        <v>54.0</v>
      </c>
      <c r="B3217" s="28">
        <v>20.0</v>
      </c>
      <c r="C3217" s="28">
        <v>53.4898675143884</v>
      </c>
      <c r="D3217" s="28">
        <v>9.99339904943883</v>
      </c>
      <c r="E3217" s="28" t="s">
        <v>25</v>
      </c>
      <c r="F3217" s="28" t="s">
        <v>14</v>
      </c>
      <c r="G3217" s="38"/>
      <c r="H3217" s="38"/>
      <c r="J3217" s="31">
        <f t="shared" si="9"/>
        <v>0</v>
      </c>
    </row>
    <row r="3218">
      <c r="A3218" s="28">
        <v>54.0</v>
      </c>
      <c r="B3218" s="28">
        <v>21.0</v>
      </c>
      <c r="C3218" s="28">
        <v>53.489854987213</v>
      </c>
      <c r="D3218" s="28">
        <v>9.993639708101</v>
      </c>
      <c r="E3218" s="28" t="s">
        <v>15</v>
      </c>
      <c r="F3218" s="28" t="s">
        <v>168</v>
      </c>
      <c r="G3218" s="38"/>
      <c r="H3218" s="38"/>
      <c r="J3218" s="31">
        <f t="shared" si="9"/>
        <v>0</v>
      </c>
    </row>
    <row r="3219">
      <c r="A3219" s="28">
        <v>54.0</v>
      </c>
      <c r="B3219" s="28">
        <v>22.0</v>
      </c>
      <c r="C3219" s="28">
        <v>53.4898424600376</v>
      </c>
      <c r="D3219" s="28">
        <v>9.99388036669199</v>
      </c>
      <c r="E3219" s="28" t="s">
        <v>15</v>
      </c>
      <c r="F3219" s="28" t="s">
        <v>168</v>
      </c>
      <c r="G3219" s="38"/>
      <c r="H3219" s="38"/>
      <c r="J3219" s="31">
        <f t="shared" si="9"/>
        <v>0</v>
      </c>
    </row>
    <row r="3220">
      <c r="A3220" s="28">
        <v>54.0</v>
      </c>
      <c r="B3220" s="28">
        <v>23.0</v>
      </c>
      <c r="C3220" s="28">
        <v>53.4898299328622</v>
      </c>
      <c r="D3220" s="28">
        <v>9.99412102521193</v>
      </c>
      <c r="E3220" s="28" t="s">
        <v>15</v>
      </c>
      <c r="F3220" s="28" t="s">
        <v>168</v>
      </c>
      <c r="G3220" s="38"/>
      <c r="H3220" s="38"/>
      <c r="J3220" s="31">
        <f t="shared" si="9"/>
        <v>0</v>
      </c>
    </row>
    <row r="3221">
      <c r="A3221" s="28">
        <v>54.0</v>
      </c>
      <c r="B3221" s="28">
        <v>24.0</v>
      </c>
      <c r="C3221" s="28">
        <v>53.4898174056868</v>
      </c>
      <c r="D3221" s="28">
        <v>9.99436168366082</v>
      </c>
      <c r="E3221" s="28" t="s">
        <v>25</v>
      </c>
      <c r="F3221" s="28" t="s">
        <v>14</v>
      </c>
      <c r="G3221" s="38"/>
      <c r="H3221" s="38"/>
      <c r="J3221" s="31">
        <f t="shared" si="9"/>
        <v>0</v>
      </c>
    </row>
    <row r="3222">
      <c r="A3222" s="28">
        <v>54.0</v>
      </c>
      <c r="B3222" s="28">
        <v>25.0</v>
      </c>
      <c r="C3222" s="28">
        <v>53.4898048785113</v>
      </c>
      <c r="D3222" s="28">
        <v>9.99460234203866</v>
      </c>
      <c r="E3222" s="28" t="s">
        <v>25</v>
      </c>
      <c r="F3222" s="28" t="s">
        <v>14</v>
      </c>
      <c r="G3222" s="38"/>
      <c r="H3222" s="38"/>
      <c r="J3222" s="31">
        <f t="shared" si="9"/>
        <v>0</v>
      </c>
    </row>
    <row r="3223">
      <c r="A3223" s="28">
        <v>54.0</v>
      </c>
      <c r="B3223" s="28">
        <v>26.0</v>
      </c>
      <c r="C3223" s="28">
        <v>53.4897923513359</v>
      </c>
      <c r="D3223" s="28">
        <v>9.99484300034532</v>
      </c>
      <c r="E3223" s="28" t="s">
        <v>15</v>
      </c>
      <c r="F3223" s="28" t="s">
        <v>168</v>
      </c>
      <c r="G3223" s="38"/>
      <c r="H3223" s="38"/>
      <c r="J3223" s="31">
        <f t="shared" si="9"/>
        <v>0</v>
      </c>
    </row>
    <row r="3224">
      <c r="A3224" s="28">
        <v>54.0</v>
      </c>
      <c r="B3224" s="28">
        <v>27.0</v>
      </c>
      <c r="C3224" s="28">
        <v>53.4897798241605</v>
      </c>
      <c r="D3224" s="28">
        <v>9.99508365858093</v>
      </c>
      <c r="E3224" s="28" t="s">
        <v>15</v>
      </c>
      <c r="F3224" s="28" t="s">
        <v>168</v>
      </c>
      <c r="G3224" s="38"/>
      <c r="H3224" s="38"/>
      <c r="J3224" s="31">
        <f t="shared" si="9"/>
        <v>0</v>
      </c>
    </row>
    <row r="3225">
      <c r="A3225" s="28">
        <v>54.0</v>
      </c>
      <c r="B3225" s="28">
        <v>28.0</v>
      </c>
      <c r="C3225" s="28">
        <v>53.4897672969851</v>
      </c>
      <c r="D3225" s="28">
        <v>9.99532431674549</v>
      </c>
      <c r="E3225" s="28" t="s">
        <v>15</v>
      </c>
      <c r="F3225" s="28" t="s">
        <v>168</v>
      </c>
      <c r="G3225" s="38"/>
      <c r="H3225" s="38"/>
      <c r="J3225" s="31">
        <f t="shared" si="9"/>
        <v>0</v>
      </c>
    </row>
    <row r="3226">
      <c r="A3226" s="28">
        <v>54.0</v>
      </c>
      <c r="B3226" s="28">
        <v>29.0</v>
      </c>
      <c r="C3226" s="28">
        <v>53.4897547698096</v>
      </c>
      <c r="D3226" s="28">
        <v>9.99556497483899</v>
      </c>
      <c r="E3226" s="28" t="s">
        <v>15</v>
      </c>
      <c r="F3226" s="28" t="s">
        <v>168</v>
      </c>
      <c r="G3226" s="38"/>
      <c r="H3226" s="38"/>
      <c r="J3226" s="31">
        <f t="shared" si="9"/>
        <v>0</v>
      </c>
    </row>
    <row r="3227">
      <c r="A3227" s="28">
        <v>54.0</v>
      </c>
      <c r="B3227" s="28">
        <v>30.0</v>
      </c>
      <c r="C3227" s="28">
        <v>53.4897422426342</v>
      </c>
      <c r="D3227" s="28">
        <v>9.99580563286133</v>
      </c>
      <c r="E3227" s="28" t="s">
        <v>25</v>
      </c>
      <c r="F3227" s="28" t="s">
        <v>14</v>
      </c>
      <c r="G3227" s="38"/>
      <c r="H3227" s="38"/>
      <c r="J3227" s="31">
        <f t="shared" si="9"/>
        <v>0</v>
      </c>
    </row>
    <row r="3228">
      <c r="A3228" s="28">
        <v>54.0</v>
      </c>
      <c r="B3228" s="28">
        <v>31.0</v>
      </c>
      <c r="C3228" s="28">
        <v>53.4897297154588</v>
      </c>
      <c r="D3228" s="28">
        <v>9.99604629081261</v>
      </c>
      <c r="E3228" s="28" t="s">
        <v>25</v>
      </c>
      <c r="F3228" s="28" t="s">
        <v>14</v>
      </c>
      <c r="G3228" s="38"/>
      <c r="H3228" s="38"/>
      <c r="J3228" s="31">
        <f t="shared" si="9"/>
        <v>0</v>
      </c>
    </row>
    <row r="3229">
      <c r="A3229" s="28">
        <v>54.0</v>
      </c>
      <c r="B3229" s="28">
        <v>32.0</v>
      </c>
      <c r="C3229" s="28">
        <v>53.4897171882834</v>
      </c>
      <c r="D3229" s="28">
        <v>9.99628694869284</v>
      </c>
      <c r="E3229" s="28" t="s">
        <v>15</v>
      </c>
      <c r="F3229" s="28" t="s">
        <v>168</v>
      </c>
      <c r="G3229" s="38"/>
      <c r="H3229" s="38"/>
      <c r="J3229" s="31">
        <f t="shared" si="9"/>
        <v>0</v>
      </c>
    </row>
    <row r="3230">
      <c r="A3230" s="28">
        <v>54.0</v>
      </c>
      <c r="B3230" s="28">
        <v>33.0</v>
      </c>
      <c r="C3230" s="28">
        <v>53.4897046611079</v>
      </c>
      <c r="D3230" s="28">
        <v>9.99652760650201</v>
      </c>
      <c r="E3230" s="28" t="s">
        <v>15</v>
      </c>
      <c r="F3230" s="28" t="s">
        <v>168</v>
      </c>
      <c r="G3230" s="38"/>
      <c r="H3230" s="38"/>
      <c r="J3230" s="31">
        <f t="shared" si="9"/>
        <v>0</v>
      </c>
    </row>
    <row r="3231">
      <c r="A3231" s="28">
        <v>54.0</v>
      </c>
      <c r="B3231" s="28">
        <v>34.0</v>
      </c>
      <c r="C3231" s="28">
        <v>53.4896921339325</v>
      </c>
      <c r="D3231" s="28">
        <v>9.99676826424001</v>
      </c>
      <c r="E3231" s="28" t="s">
        <v>15</v>
      </c>
      <c r="F3231" s="28" t="s">
        <v>168</v>
      </c>
      <c r="G3231" s="29" t="s">
        <v>1021</v>
      </c>
      <c r="H3231" s="30" t="str">
        <f>HYPERLINK("https://www.munzee.com/m/BennyKjeldEgon/147", "BennyKjeldEgon/147")</f>
        <v>BennyKjeldEgon/147</v>
      </c>
      <c r="J3231" s="31">
        <f t="shared" si="9"/>
        <v>4</v>
      </c>
    </row>
    <row r="3232">
      <c r="A3232" s="28">
        <v>54.0</v>
      </c>
      <c r="B3232" s="28">
        <v>35.0</v>
      </c>
      <c r="C3232" s="28">
        <v>53.4896796067571</v>
      </c>
      <c r="D3232" s="28">
        <v>9.99700892190696</v>
      </c>
      <c r="E3232" s="28" t="s">
        <v>25</v>
      </c>
      <c r="F3232" s="28" t="s">
        <v>14</v>
      </c>
      <c r="G3232" s="38"/>
      <c r="H3232" s="38"/>
      <c r="J3232" s="31">
        <f t="shared" si="9"/>
        <v>0</v>
      </c>
    </row>
    <row r="3233">
      <c r="A3233" s="28">
        <v>54.0</v>
      </c>
      <c r="B3233" s="28">
        <v>36.0</v>
      </c>
      <c r="C3233" s="28">
        <v>53.4896670795817</v>
      </c>
      <c r="D3233" s="28">
        <v>9.99724957950286</v>
      </c>
      <c r="E3233" s="28" t="s">
        <v>25</v>
      </c>
      <c r="F3233" s="28" t="s">
        <v>14</v>
      </c>
      <c r="G3233" s="38"/>
      <c r="H3233" s="38"/>
      <c r="J3233" s="31">
        <f t="shared" si="9"/>
        <v>0</v>
      </c>
    </row>
    <row r="3234">
      <c r="A3234" s="28">
        <v>54.0</v>
      </c>
      <c r="B3234" s="28">
        <v>37.0</v>
      </c>
      <c r="C3234" s="28">
        <v>53.4896545524063</v>
      </c>
      <c r="D3234" s="28">
        <v>9.9974902370277</v>
      </c>
      <c r="E3234" s="28" t="s">
        <v>15</v>
      </c>
      <c r="F3234" s="28" t="s">
        <v>168</v>
      </c>
      <c r="G3234" s="29" t="s">
        <v>614</v>
      </c>
      <c r="H3234" s="30" t="s">
        <v>1060</v>
      </c>
      <c r="J3234" s="31">
        <f t="shared" si="9"/>
        <v>20</v>
      </c>
    </row>
    <row r="3235">
      <c r="A3235" s="28">
        <v>54.0</v>
      </c>
      <c r="B3235" s="28">
        <v>38.0</v>
      </c>
      <c r="C3235" s="28">
        <v>53.4896420252309</v>
      </c>
      <c r="D3235" s="28">
        <v>9.99773089448149</v>
      </c>
      <c r="E3235" s="28" t="s">
        <v>15</v>
      </c>
      <c r="F3235" s="28" t="s">
        <v>168</v>
      </c>
      <c r="G3235" s="38"/>
      <c r="H3235" s="38"/>
      <c r="J3235" s="31">
        <f t="shared" si="9"/>
        <v>0</v>
      </c>
    </row>
    <row r="3236">
      <c r="A3236" s="28">
        <v>54.0</v>
      </c>
      <c r="B3236" s="28">
        <v>39.0</v>
      </c>
      <c r="C3236" s="28">
        <v>53.4896294980554</v>
      </c>
      <c r="D3236" s="28">
        <v>9.99797155186411</v>
      </c>
      <c r="E3236" s="28" t="s">
        <v>15</v>
      </c>
      <c r="F3236" s="28" t="s">
        <v>168</v>
      </c>
      <c r="G3236" s="38"/>
      <c r="H3236" s="38"/>
      <c r="J3236" s="31">
        <f t="shared" si="9"/>
        <v>0</v>
      </c>
    </row>
    <row r="3237">
      <c r="A3237" s="28">
        <v>54.0</v>
      </c>
      <c r="B3237" s="28">
        <v>40.0</v>
      </c>
      <c r="C3237" s="28">
        <v>53.48961697088</v>
      </c>
      <c r="D3237" s="28">
        <v>9.99821220917567</v>
      </c>
      <c r="E3237" s="28" t="s">
        <v>15</v>
      </c>
      <c r="F3237" s="28" t="s">
        <v>168</v>
      </c>
      <c r="G3237" s="29" t="s">
        <v>614</v>
      </c>
      <c r="H3237" s="30" t="s">
        <v>1061</v>
      </c>
      <c r="J3237" s="31">
        <f t="shared" si="9"/>
        <v>20</v>
      </c>
    </row>
    <row r="3238">
      <c r="A3238" s="28">
        <v>54.0</v>
      </c>
      <c r="B3238" s="28">
        <v>41.0</v>
      </c>
      <c r="C3238" s="28">
        <v>53.4896044437046</v>
      </c>
      <c r="D3238" s="28">
        <v>9.99845286641618</v>
      </c>
      <c r="E3238" s="28" t="s">
        <v>25</v>
      </c>
      <c r="F3238" s="28" t="s">
        <v>14</v>
      </c>
      <c r="G3238" s="38"/>
      <c r="H3238" s="38"/>
      <c r="J3238" s="31">
        <f t="shared" si="9"/>
        <v>0</v>
      </c>
    </row>
    <row r="3239">
      <c r="A3239" s="28">
        <v>54.0</v>
      </c>
      <c r="B3239" s="28">
        <v>42.0</v>
      </c>
      <c r="C3239" s="28">
        <v>53.4895919165292</v>
      </c>
      <c r="D3239" s="28">
        <v>9.99869352358564</v>
      </c>
      <c r="E3239" s="28" t="s">
        <v>25</v>
      </c>
      <c r="F3239" s="28" t="s">
        <v>14</v>
      </c>
      <c r="G3239" s="38"/>
      <c r="H3239" s="38"/>
      <c r="J3239" s="31">
        <f t="shared" si="9"/>
        <v>0</v>
      </c>
    </row>
    <row r="3240">
      <c r="A3240" s="28">
        <v>54.0</v>
      </c>
      <c r="B3240" s="28">
        <v>43.0</v>
      </c>
      <c r="C3240" s="28">
        <v>53.4895793893538</v>
      </c>
      <c r="D3240" s="28">
        <v>9.99893418068393</v>
      </c>
      <c r="E3240" s="28" t="s">
        <v>15</v>
      </c>
      <c r="F3240" s="28" t="s">
        <v>168</v>
      </c>
      <c r="G3240" s="38"/>
      <c r="H3240" s="38"/>
      <c r="J3240" s="31">
        <f t="shared" si="9"/>
        <v>0</v>
      </c>
    </row>
    <row r="3241">
      <c r="A3241" s="28">
        <v>54.0</v>
      </c>
      <c r="B3241" s="28">
        <v>44.0</v>
      </c>
      <c r="C3241" s="28">
        <v>53.4895668621783</v>
      </c>
      <c r="D3241" s="28">
        <v>9.99917483771116</v>
      </c>
      <c r="E3241" s="28" t="s">
        <v>15</v>
      </c>
      <c r="F3241" s="28" t="s">
        <v>168</v>
      </c>
      <c r="G3241" s="38"/>
      <c r="H3241" s="38"/>
      <c r="J3241" s="31">
        <f t="shared" si="9"/>
        <v>0</v>
      </c>
    </row>
    <row r="3242">
      <c r="A3242" s="28">
        <v>54.0</v>
      </c>
      <c r="B3242" s="28">
        <v>45.0</v>
      </c>
      <c r="C3242" s="28">
        <v>53.4895543350029</v>
      </c>
      <c r="D3242" s="28">
        <v>9.99941549466734</v>
      </c>
      <c r="E3242" s="28" t="s">
        <v>15</v>
      </c>
      <c r="F3242" s="28" t="s">
        <v>168</v>
      </c>
      <c r="G3242" s="29" t="s">
        <v>614</v>
      </c>
      <c r="H3242" s="33" t="s">
        <v>1062</v>
      </c>
      <c r="J3242" s="31">
        <f t="shared" si="9"/>
        <v>20</v>
      </c>
    </row>
    <row r="3243">
      <c r="A3243" s="28">
        <v>54.0</v>
      </c>
      <c r="B3243" s="28">
        <v>46.0</v>
      </c>
      <c r="C3243" s="28">
        <v>53.4895418078275</v>
      </c>
      <c r="D3243" s="28">
        <v>9.99965615155247</v>
      </c>
      <c r="E3243" s="28" t="s">
        <v>15</v>
      </c>
      <c r="F3243" s="28" t="s">
        <v>168</v>
      </c>
      <c r="G3243" s="38"/>
      <c r="H3243" s="38"/>
      <c r="J3243" s="31">
        <f t="shared" si="9"/>
        <v>0</v>
      </c>
    </row>
    <row r="3244">
      <c r="A3244" s="28">
        <v>54.0</v>
      </c>
      <c r="B3244" s="28">
        <v>47.0</v>
      </c>
      <c r="C3244" s="28">
        <v>53.4895292806521</v>
      </c>
      <c r="D3244" s="28">
        <v>9.99989680836643</v>
      </c>
      <c r="E3244" s="28" t="s">
        <v>25</v>
      </c>
      <c r="F3244" s="28" t="s">
        <v>14</v>
      </c>
      <c r="G3244" s="38"/>
      <c r="H3244" s="38"/>
      <c r="J3244" s="31">
        <f t="shared" si="9"/>
        <v>0</v>
      </c>
    </row>
    <row r="3245">
      <c r="A3245" s="28">
        <v>54.0</v>
      </c>
      <c r="B3245" s="28">
        <v>48.0</v>
      </c>
      <c r="C3245" s="28">
        <v>53.4895167534766</v>
      </c>
      <c r="D3245" s="28">
        <v>10.0001374651093</v>
      </c>
      <c r="E3245" s="28" t="s">
        <v>25</v>
      </c>
      <c r="F3245" s="28" t="s">
        <v>14</v>
      </c>
      <c r="G3245" s="38"/>
      <c r="H3245" s="38"/>
      <c r="J3245" s="31">
        <f t="shared" si="9"/>
        <v>0</v>
      </c>
    </row>
    <row r="3246">
      <c r="A3246" s="28">
        <v>54.0</v>
      </c>
      <c r="B3246" s="28">
        <v>49.0</v>
      </c>
      <c r="C3246" s="28">
        <v>53.4895042263012</v>
      </c>
      <c r="D3246" s="28">
        <v>10.0003781217811</v>
      </c>
      <c r="E3246" s="28" t="s">
        <v>25</v>
      </c>
      <c r="F3246" s="28" t="s">
        <v>14</v>
      </c>
      <c r="G3246" s="38"/>
      <c r="H3246" s="38"/>
      <c r="J3246" s="31">
        <f t="shared" si="9"/>
        <v>0</v>
      </c>
    </row>
    <row r="3247">
      <c r="A3247" s="28">
        <v>54.0</v>
      </c>
      <c r="B3247" s="28">
        <v>50.0</v>
      </c>
      <c r="C3247" s="28">
        <v>53.4894916991258</v>
      </c>
      <c r="D3247" s="28">
        <v>10.0006187783819</v>
      </c>
      <c r="E3247" s="28" t="s">
        <v>25</v>
      </c>
      <c r="F3247" s="28" t="s">
        <v>14</v>
      </c>
      <c r="G3247" s="38"/>
      <c r="H3247" s="38"/>
      <c r="J3247" s="31">
        <f t="shared" si="9"/>
        <v>0</v>
      </c>
    </row>
    <row r="3248">
      <c r="A3248" s="28">
        <v>54.0</v>
      </c>
      <c r="B3248" s="28">
        <v>51.0</v>
      </c>
      <c r="C3248" s="28">
        <v>53.4894791719504</v>
      </c>
      <c r="D3248" s="28">
        <v>10.0008594349116</v>
      </c>
      <c r="E3248" s="28" t="s">
        <v>15</v>
      </c>
      <c r="F3248" s="28" t="s">
        <v>168</v>
      </c>
      <c r="G3248" s="29" t="s">
        <v>614</v>
      </c>
      <c r="H3248" s="33" t="s">
        <v>1063</v>
      </c>
      <c r="J3248" s="31">
        <f t="shared" si="9"/>
        <v>20</v>
      </c>
    </row>
    <row r="3249">
      <c r="A3249" s="28">
        <v>54.0</v>
      </c>
      <c r="B3249" s="28">
        <v>52.0</v>
      </c>
      <c r="C3249" s="28">
        <v>53.489466644775</v>
      </c>
      <c r="D3249" s="28">
        <v>10.0011000913701</v>
      </c>
      <c r="E3249" s="28" t="s">
        <v>25</v>
      </c>
      <c r="F3249" s="28" t="s">
        <v>14</v>
      </c>
      <c r="G3249" s="38"/>
      <c r="H3249" s="38"/>
      <c r="J3249" s="31">
        <f t="shared" si="9"/>
        <v>0</v>
      </c>
    </row>
    <row r="3250">
      <c r="A3250" s="28">
        <v>54.0</v>
      </c>
      <c r="B3250" s="28">
        <v>53.0</v>
      </c>
      <c r="C3250" s="28">
        <v>53.4894541175996</v>
      </c>
      <c r="D3250" s="28">
        <v>10.0013407477576</v>
      </c>
      <c r="E3250" s="28" t="s">
        <v>25</v>
      </c>
      <c r="F3250" s="28" t="s">
        <v>14</v>
      </c>
      <c r="G3250" s="38"/>
      <c r="H3250" s="38"/>
      <c r="J3250" s="31">
        <f t="shared" si="9"/>
        <v>0</v>
      </c>
    </row>
    <row r="3251">
      <c r="A3251" s="28">
        <v>54.0</v>
      </c>
      <c r="B3251" s="28">
        <v>54.0</v>
      </c>
      <c r="C3251" s="28">
        <v>53.4894415904241</v>
      </c>
      <c r="D3251" s="28">
        <v>10.0015814040741</v>
      </c>
      <c r="E3251" s="28" t="s">
        <v>15</v>
      </c>
      <c r="F3251" s="28" t="s">
        <v>168</v>
      </c>
      <c r="G3251" s="29" t="s">
        <v>614</v>
      </c>
      <c r="H3251" s="33" t="s">
        <v>1064</v>
      </c>
      <c r="J3251" s="31">
        <f t="shared" si="9"/>
        <v>20</v>
      </c>
    </row>
    <row r="3252">
      <c r="A3252" s="28">
        <v>54.0</v>
      </c>
      <c r="B3252" s="28">
        <v>55.0</v>
      </c>
      <c r="C3252" s="28">
        <v>53.4894290632487</v>
      </c>
      <c r="D3252" s="28">
        <v>10.0018220603194</v>
      </c>
      <c r="E3252" s="28" t="s">
        <v>15</v>
      </c>
      <c r="F3252" s="28" t="s">
        <v>168</v>
      </c>
      <c r="G3252" s="38"/>
      <c r="H3252" s="38"/>
      <c r="J3252" s="31">
        <f t="shared" si="9"/>
        <v>0</v>
      </c>
    </row>
    <row r="3253">
      <c r="A3253" s="28">
        <v>54.0</v>
      </c>
      <c r="B3253" s="28">
        <v>56.0</v>
      </c>
      <c r="C3253" s="28">
        <v>53.4894165360733</v>
      </c>
      <c r="D3253" s="28">
        <v>10.0020627164936</v>
      </c>
      <c r="E3253" s="28" t="s">
        <v>15</v>
      </c>
      <c r="F3253" s="28" t="s">
        <v>168</v>
      </c>
      <c r="G3253" s="38"/>
      <c r="H3253" s="38"/>
      <c r="J3253" s="31">
        <f t="shared" si="9"/>
        <v>0</v>
      </c>
    </row>
    <row r="3254">
      <c r="A3254" s="28">
        <v>54.0</v>
      </c>
      <c r="B3254" s="28">
        <v>57.0</v>
      </c>
      <c r="C3254" s="28">
        <v>53.4894040088979</v>
      </c>
      <c r="D3254" s="28">
        <v>10.0023033725968</v>
      </c>
      <c r="E3254" s="28" t="s">
        <v>15</v>
      </c>
      <c r="F3254" s="28" t="s">
        <v>168</v>
      </c>
      <c r="G3254" s="29" t="s">
        <v>614</v>
      </c>
      <c r="H3254" s="33" t="s">
        <v>1065</v>
      </c>
      <c r="J3254" s="31">
        <f t="shared" si="9"/>
        <v>20</v>
      </c>
    </row>
    <row r="3255">
      <c r="A3255" s="28">
        <v>54.0</v>
      </c>
      <c r="B3255" s="28">
        <v>58.0</v>
      </c>
      <c r="C3255" s="28">
        <v>53.4893914817224</v>
      </c>
      <c r="D3255" s="28">
        <v>10.002544028629</v>
      </c>
      <c r="E3255" s="28" t="s">
        <v>15</v>
      </c>
      <c r="F3255" s="28" t="s">
        <v>168</v>
      </c>
      <c r="G3255" s="29" t="s">
        <v>26</v>
      </c>
      <c r="H3255" s="30" t="str">
        <f>HYPERLINK("https://www.munzee.com/m/Elli/6239/", "Elli/6239")</f>
        <v>Elli/6239</v>
      </c>
      <c r="J3255" s="31">
        <f t="shared" si="9"/>
        <v>143</v>
      </c>
    </row>
    <row r="3256">
      <c r="A3256" s="28">
        <v>54.0</v>
      </c>
      <c r="B3256" s="28">
        <v>59.0</v>
      </c>
      <c r="C3256" s="28">
        <v>53.489378954547</v>
      </c>
      <c r="D3256" s="28">
        <v>10.00278468459</v>
      </c>
      <c r="E3256" s="28" t="s">
        <v>15</v>
      </c>
      <c r="F3256" s="28" t="s">
        <v>168</v>
      </c>
      <c r="G3256" s="29" t="s">
        <v>1005</v>
      </c>
      <c r="H3256" s="30" t="str">
        <f>HYPERLINK("https://www.munzee.com/m/destolkjes4ever/1655/", "destolkjes4ever/1655")</f>
        <v>destolkjes4ever/1655</v>
      </c>
      <c r="J3256" s="31">
        <f t="shared" si="9"/>
        <v>6</v>
      </c>
    </row>
    <row r="3257">
      <c r="A3257" s="28">
        <v>54.0</v>
      </c>
      <c r="B3257" s="28">
        <v>60.0</v>
      </c>
      <c r="C3257" s="28">
        <v>53.4893664273716</v>
      </c>
      <c r="D3257" s="28">
        <v>10.00302534048</v>
      </c>
      <c r="E3257" s="28" t="s">
        <v>25</v>
      </c>
      <c r="F3257" s="28" t="s">
        <v>14</v>
      </c>
      <c r="G3257" s="29" t="s">
        <v>47</v>
      </c>
      <c r="H3257" s="33" t="s">
        <v>1066</v>
      </c>
      <c r="J3257" s="31">
        <f t="shared" si="9"/>
        <v>44</v>
      </c>
    </row>
    <row r="3258">
      <c r="A3258" s="28">
        <v>55.0</v>
      </c>
      <c r="B3258" s="28">
        <v>1.0</v>
      </c>
      <c r="C3258" s="28">
        <v>53.4899623472119</v>
      </c>
      <c r="D3258" s="28">
        <v>9.98880546639486</v>
      </c>
      <c r="E3258" s="28" t="s">
        <v>25</v>
      </c>
      <c r="F3258" s="28" t="s">
        <v>14</v>
      </c>
      <c r="G3258" s="29" t="s">
        <v>27</v>
      </c>
      <c r="H3258" s="30" t="str">
        <f>HYPERLINK("https://www.munzee.com/m/DarkHaribo/12349", "DarkHaribo/12349")</f>
        <v>DarkHaribo/12349</v>
      </c>
      <c r="J3258" s="31">
        <f t="shared" si="9"/>
        <v>103</v>
      </c>
    </row>
    <row r="3259">
      <c r="A3259" s="28">
        <v>55.0</v>
      </c>
      <c r="B3259" s="28">
        <v>2.0</v>
      </c>
      <c r="C3259" s="28">
        <v>53.4899498200365</v>
      </c>
      <c r="D3259" s="28">
        <v>9.98904612559511</v>
      </c>
      <c r="E3259" s="28" t="s">
        <v>15</v>
      </c>
      <c r="F3259" s="28" t="s">
        <v>168</v>
      </c>
      <c r="G3259" s="29" t="s">
        <v>47</v>
      </c>
      <c r="H3259" s="33" t="s">
        <v>1067</v>
      </c>
      <c r="J3259" s="31">
        <f t="shared" si="9"/>
        <v>44</v>
      </c>
    </row>
    <row r="3260">
      <c r="A3260" s="28">
        <v>55.0</v>
      </c>
      <c r="B3260" s="28">
        <v>3.0</v>
      </c>
      <c r="C3260" s="28">
        <v>53.4899372928611</v>
      </c>
      <c r="D3260" s="28">
        <v>9.9892867847243</v>
      </c>
      <c r="E3260" s="28" t="s">
        <v>15</v>
      </c>
      <c r="F3260" s="28" t="s">
        <v>168</v>
      </c>
      <c r="G3260" s="38"/>
      <c r="H3260" s="38"/>
      <c r="J3260" s="31">
        <f t="shared" si="9"/>
        <v>0</v>
      </c>
    </row>
    <row r="3261">
      <c r="A3261" s="28">
        <v>55.0</v>
      </c>
      <c r="B3261" s="28">
        <v>4.0</v>
      </c>
      <c r="C3261" s="28">
        <v>53.4899247656857</v>
      </c>
      <c r="D3261" s="28">
        <v>9.98952744378232</v>
      </c>
      <c r="E3261" s="28" t="s">
        <v>15</v>
      </c>
      <c r="F3261" s="28" t="s">
        <v>168</v>
      </c>
      <c r="G3261" s="38"/>
      <c r="H3261" s="38"/>
      <c r="J3261" s="31">
        <f t="shared" si="9"/>
        <v>0</v>
      </c>
    </row>
    <row r="3262">
      <c r="A3262" s="28">
        <v>55.0</v>
      </c>
      <c r="B3262" s="28">
        <v>5.0</v>
      </c>
      <c r="C3262" s="28">
        <v>53.4899122385102</v>
      </c>
      <c r="D3262" s="28">
        <v>9.98976810276929</v>
      </c>
      <c r="E3262" s="28" t="s">
        <v>15</v>
      </c>
      <c r="F3262" s="28" t="s">
        <v>168</v>
      </c>
      <c r="G3262" s="29" t="s">
        <v>164</v>
      </c>
      <c r="H3262" s="35" t="s">
        <v>1068</v>
      </c>
      <c r="J3262" s="31">
        <f t="shared" si="9"/>
        <v>133</v>
      </c>
    </row>
    <row r="3263">
      <c r="A3263" s="28">
        <v>55.0</v>
      </c>
      <c r="B3263" s="28">
        <v>6.0</v>
      </c>
      <c r="C3263" s="28">
        <v>53.4898997113348</v>
      </c>
      <c r="D3263" s="28">
        <v>9.9900087616852</v>
      </c>
      <c r="E3263" s="28" t="s">
        <v>15</v>
      </c>
      <c r="F3263" s="28" t="s">
        <v>168</v>
      </c>
      <c r="G3263" s="38"/>
      <c r="H3263" s="38"/>
      <c r="J3263" s="31">
        <f t="shared" si="9"/>
        <v>0</v>
      </c>
    </row>
    <row r="3264">
      <c r="A3264" s="28">
        <v>55.0</v>
      </c>
      <c r="B3264" s="28">
        <v>7.0</v>
      </c>
      <c r="C3264" s="28">
        <v>53.4898871841594</v>
      </c>
      <c r="D3264" s="28">
        <v>9.99024942053006</v>
      </c>
      <c r="E3264" s="28" t="s">
        <v>15</v>
      </c>
      <c r="F3264" s="28" t="s">
        <v>168</v>
      </c>
      <c r="G3264" s="38"/>
      <c r="H3264" s="38"/>
      <c r="J3264" s="31">
        <f t="shared" si="9"/>
        <v>0</v>
      </c>
    </row>
    <row r="3265">
      <c r="A3265" s="28">
        <v>55.0</v>
      </c>
      <c r="B3265" s="28">
        <v>8.0</v>
      </c>
      <c r="C3265" s="28">
        <v>53.489874656984</v>
      </c>
      <c r="D3265" s="28">
        <v>9.99049007930375</v>
      </c>
      <c r="E3265" s="28" t="s">
        <v>15</v>
      </c>
      <c r="F3265" s="28" t="s">
        <v>168</v>
      </c>
      <c r="G3265" s="29" t="s">
        <v>164</v>
      </c>
      <c r="H3265" s="35" t="s">
        <v>1069</v>
      </c>
      <c r="J3265" s="31">
        <f t="shared" si="9"/>
        <v>133</v>
      </c>
    </row>
    <row r="3266">
      <c r="A3266" s="28">
        <v>55.0</v>
      </c>
      <c r="B3266" s="28">
        <v>9.0</v>
      </c>
      <c r="C3266" s="28">
        <v>53.4898621298085</v>
      </c>
      <c r="D3266" s="28">
        <v>9.99073073800639</v>
      </c>
      <c r="E3266" s="28" t="s">
        <v>15</v>
      </c>
      <c r="F3266" s="28" t="s">
        <v>168</v>
      </c>
      <c r="G3266" s="38"/>
      <c r="H3266" s="38"/>
      <c r="J3266" s="31">
        <f t="shared" si="9"/>
        <v>0</v>
      </c>
    </row>
    <row r="3267">
      <c r="A3267" s="28">
        <v>55.0</v>
      </c>
      <c r="B3267" s="28">
        <v>10.0</v>
      </c>
      <c r="C3267" s="28">
        <v>53.4898496026331</v>
      </c>
      <c r="D3267" s="28">
        <v>9.99097139663797</v>
      </c>
      <c r="E3267" s="28" t="s">
        <v>15</v>
      </c>
      <c r="F3267" s="28" t="s">
        <v>168</v>
      </c>
      <c r="G3267" s="38"/>
      <c r="H3267" s="38"/>
      <c r="J3267" s="31">
        <f t="shared" si="9"/>
        <v>0</v>
      </c>
    </row>
    <row r="3268">
      <c r="A3268" s="28">
        <v>55.0</v>
      </c>
      <c r="B3268" s="28">
        <v>11.0</v>
      </c>
      <c r="C3268" s="28">
        <v>53.4898370754577</v>
      </c>
      <c r="D3268" s="28">
        <v>9.9912120551985</v>
      </c>
      <c r="E3268" s="28" t="s">
        <v>15</v>
      </c>
      <c r="F3268" s="28" t="s">
        <v>168</v>
      </c>
      <c r="G3268" s="29" t="s">
        <v>164</v>
      </c>
      <c r="H3268" s="35" t="s">
        <v>1070</v>
      </c>
      <c r="J3268" s="31">
        <f t="shared" si="9"/>
        <v>133</v>
      </c>
    </row>
    <row r="3269">
      <c r="A3269" s="28">
        <v>55.0</v>
      </c>
      <c r="B3269" s="28">
        <v>12.0</v>
      </c>
      <c r="C3269" s="28">
        <v>53.4898245482823</v>
      </c>
      <c r="D3269" s="28">
        <v>9.99145271368786</v>
      </c>
      <c r="E3269" s="28" t="s">
        <v>15</v>
      </c>
      <c r="F3269" s="28" t="s">
        <v>168</v>
      </c>
      <c r="G3269" s="38"/>
      <c r="H3269" s="38"/>
      <c r="J3269" s="31">
        <f t="shared" si="9"/>
        <v>0</v>
      </c>
    </row>
    <row r="3270">
      <c r="A3270" s="28">
        <v>55.0</v>
      </c>
      <c r="B3270" s="28">
        <v>13.0</v>
      </c>
      <c r="C3270" s="28">
        <v>53.4898120211068</v>
      </c>
      <c r="D3270" s="28">
        <v>9.99169337210617</v>
      </c>
      <c r="E3270" s="28" t="s">
        <v>15</v>
      </c>
      <c r="F3270" s="28" t="s">
        <v>168</v>
      </c>
      <c r="G3270" s="38"/>
      <c r="H3270" s="38"/>
      <c r="J3270" s="31">
        <f t="shared" si="9"/>
        <v>0</v>
      </c>
    </row>
    <row r="3271">
      <c r="A3271" s="28">
        <v>55.0</v>
      </c>
      <c r="B3271" s="28">
        <v>14.0</v>
      </c>
      <c r="C3271" s="28">
        <v>53.4897994939314</v>
      </c>
      <c r="D3271" s="28">
        <v>9.99193403045342</v>
      </c>
      <c r="E3271" s="28" t="s">
        <v>15</v>
      </c>
      <c r="F3271" s="28" t="s">
        <v>168</v>
      </c>
      <c r="G3271" s="29" t="s">
        <v>164</v>
      </c>
      <c r="H3271" s="35" t="s">
        <v>1071</v>
      </c>
      <c r="J3271" s="31">
        <f t="shared" si="9"/>
        <v>133</v>
      </c>
    </row>
    <row r="3272">
      <c r="A3272" s="28">
        <v>55.0</v>
      </c>
      <c r="B3272" s="28">
        <v>15.0</v>
      </c>
      <c r="C3272" s="28">
        <v>53.489786966756</v>
      </c>
      <c r="D3272" s="28">
        <v>9.99217468872962</v>
      </c>
      <c r="E3272" s="28" t="s">
        <v>15</v>
      </c>
      <c r="F3272" s="28" t="s">
        <v>168</v>
      </c>
      <c r="G3272" s="38"/>
      <c r="H3272" s="38"/>
      <c r="J3272" s="31">
        <f t="shared" si="9"/>
        <v>0</v>
      </c>
    </row>
    <row r="3273">
      <c r="A3273" s="28">
        <v>55.0</v>
      </c>
      <c r="B3273" s="28">
        <v>16.0</v>
      </c>
      <c r="C3273" s="28">
        <v>53.4897744395806</v>
      </c>
      <c r="D3273" s="28">
        <v>9.99241534693465</v>
      </c>
      <c r="E3273" s="28" t="s">
        <v>15</v>
      </c>
      <c r="F3273" s="28" t="s">
        <v>168</v>
      </c>
      <c r="G3273" s="38"/>
      <c r="H3273" s="38"/>
      <c r="J3273" s="31">
        <f t="shared" si="9"/>
        <v>0</v>
      </c>
    </row>
    <row r="3274">
      <c r="A3274" s="28">
        <v>55.0</v>
      </c>
      <c r="B3274" s="28">
        <v>17.0</v>
      </c>
      <c r="C3274" s="28">
        <v>53.4897619124052</v>
      </c>
      <c r="D3274" s="28">
        <v>9.99265600506862</v>
      </c>
      <c r="E3274" s="28" t="s">
        <v>15</v>
      </c>
      <c r="F3274" s="28" t="s">
        <v>168</v>
      </c>
      <c r="G3274" s="29" t="s">
        <v>164</v>
      </c>
      <c r="H3274" s="35" t="s">
        <v>1072</v>
      </c>
      <c r="J3274" s="31">
        <f t="shared" si="9"/>
        <v>133</v>
      </c>
    </row>
    <row r="3275">
      <c r="A3275" s="28">
        <v>55.0</v>
      </c>
      <c r="B3275" s="28">
        <v>18.0</v>
      </c>
      <c r="C3275" s="28">
        <v>53.4897493852298</v>
      </c>
      <c r="D3275" s="28">
        <v>9.99289666313154</v>
      </c>
      <c r="E3275" s="28" t="s">
        <v>15</v>
      </c>
      <c r="F3275" s="28" t="s">
        <v>168</v>
      </c>
      <c r="G3275" s="29" t="s">
        <v>1073</v>
      </c>
      <c r="H3275" s="33" t="s">
        <v>1074</v>
      </c>
      <c r="J3275" s="31">
        <f t="shared" si="9"/>
        <v>2</v>
      </c>
    </row>
    <row r="3276">
      <c r="A3276" s="28">
        <v>55.0</v>
      </c>
      <c r="B3276" s="28">
        <v>19.0</v>
      </c>
      <c r="C3276" s="28">
        <v>53.4897368580543</v>
      </c>
      <c r="D3276" s="28">
        <v>9.99313732112341</v>
      </c>
      <c r="E3276" s="28" t="s">
        <v>15</v>
      </c>
      <c r="F3276" s="28" t="s">
        <v>168</v>
      </c>
      <c r="G3276" s="38"/>
      <c r="H3276" s="38"/>
      <c r="J3276" s="31">
        <f t="shared" si="9"/>
        <v>0</v>
      </c>
    </row>
    <row r="3277">
      <c r="A3277" s="28">
        <v>55.0</v>
      </c>
      <c r="B3277" s="28">
        <v>20.0</v>
      </c>
      <c r="C3277" s="28">
        <v>53.4897243308789</v>
      </c>
      <c r="D3277" s="28">
        <v>9.99337797904411</v>
      </c>
      <c r="E3277" s="28" t="s">
        <v>15</v>
      </c>
      <c r="F3277" s="28" t="s">
        <v>168</v>
      </c>
      <c r="G3277" s="38"/>
      <c r="H3277" s="38"/>
      <c r="J3277" s="31">
        <f t="shared" si="9"/>
        <v>0</v>
      </c>
    </row>
    <row r="3278">
      <c r="A3278" s="28">
        <v>55.0</v>
      </c>
      <c r="B3278" s="28">
        <v>21.0</v>
      </c>
      <c r="C3278" s="28">
        <v>53.4897118037035</v>
      </c>
      <c r="D3278" s="28">
        <v>9.99361863689375</v>
      </c>
      <c r="E3278" s="28" t="s">
        <v>15</v>
      </c>
      <c r="F3278" s="28" t="s">
        <v>168</v>
      </c>
      <c r="G3278" s="29" t="s">
        <v>164</v>
      </c>
      <c r="H3278" s="35" t="s">
        <v>1075</v>
      </c>
      <c r="J3278" s="31">
        <f t="shared" si="9"/>
        <v>133</v>
      </c>
    </row>
    <row r="3279">
      <c r="A3279" s="28">
        <v>55.0</v>
      </c>
      <c r="B3279" s="28">
        <v>22.0</v>
      </c>
      <c r="C3279" s="28">
        <v>53.4896992765281</v>
      </c>
      <c r="D3279" s="28">
        <v>9.99385929467234</v>
      </c>
      <c r="E3279" s="28" t="s">
        <v>15</v>
      </c>
      <c r="F3279" s="28" t="s">
        <v>168</v>
      </c>
      <c r="G3279" s="38"/>
      <c r="H3279" s="38"/>
      <c r="J3279" s="31">
        <f t="shared" si="9"/>
        <v>0</v>
      </c>
    </row>
    <row r="3280">
      <c r="A3280" s="28">
        <v>55.0</v>
      </c>
      <c r="B3280" s="28">
        <v>23.0</v>
      </c>
      <c r="C3280" s="28">
        <v>53.4896867493526</v>
      </c>
      <c r="D3280" s="28">
        <v>9.99409995237988</v>
      </c>
      <c r="E3280" s="28" t="s">
        <v>15</v>
      </c>
      <c r="F3280" s="28" t="s">
        <v>168</v>
      </c>
      <c r="G3280" s="29" t="s">
        <v>1076</v>
      </c>
      <c r="H3280" s="30" t="s">
        <v>1077</v>
      </c>
      <c r="J3280" s="31">
        <f t="shared" si="9"/>
        <v>1</v>
      </c>
    </row>
    <row r="3281">
      <c r="A3281" s="28">
        <v>55.0</v>
      </c>
      <c r="B3281" s="28">
        <v>24.0</v>
      </c>
      <c r="C3281" s="28">
        <v>53.4896742221772</v>
      </c>
      <c r="D3281" s="28">
        <v>9.99434061001625</v>
      </c>
      <c r="E3281" s="28" t="s">
        <v>15</v>
      </c>
      <c r="F3281" s="28" t="s">
        <v>168</v>
      </c>
      <c r="G3281" s="29" t="s">
        <v>164</v>
      </c>
      <c r="H3281" s="30" t="s">
        <v>1078</v>
      </c>
      <c r="J3281" s="31">
        <f t="shared" si="9"/>
        <v>133</v>
      </c>
    </row>
    <row r="3282">
      <c r="A3282" s="28">
        <v>55.0</v>
      </c>
      <c r="B3282" s="28">
        <v>25.0</v>
      </c>
      <c r="C3282" s="28">
        <v>53.4896616950018</v>
      </c>
      <c r="D3282" s="28">
        <v>9.99458126758156</v>
      </c>
      <c r="E3282" s="28" t="s">
        <v>15</v>
      </c>
      <c r="F3282" s="28" t="s">
        <v>168</v>
      </c>
      <c r="G3282" s="29" t="s">
        <v>1079</v>
      </c>
      <c r="H3282" s="33" t="s">
        <v>1080</v>
      </c>
      <c r="J3282" s="31">
        <f t="shared" si="9"/>
        <v>2</v>
      </c>
    </row>
    <row r="3283">
      <c r="A3283" s="28">
        <v>55.0</v>
      </c>
      <c r="B3283" s="28">
        <v>26.0</v>
      </c>
      <c r="C3283" s="28">
        <v>53.4896491678264</v>
      </c>
      <c r="D3283" s="28">
        <v>9.99482192507582</v>
      </c>
      <c r="E3283" s="28" t="s">
        <v>15</v>
      </c>
      <c r="F3283" s="28" t="s">
        <v>168</v>
      </c>
      <c r="G3283" s="38"/>
      <c r="H3283" s="38"/>
      <c r="J3283" s="31">
        <f t="shared" si="9"/>
        <v>0</v>
      </c>
    </row>
    <row r="3284">
      <c r="A3284" s="28">
        <v>55.0</v>
      </c>
      <c r="B3284" s="28">
        <v>27.0</v>
      </c>
      <c r="C3284" s="28">
        <v>53.4896366406509</v>
      </c>
      <c r="D3284" s="28">
        <v>9.99506258249903</v>
      </c>
      <c r="E3284" s="28" t="s">
        <v>15</v>
      </c>
      <c r="F3284" s="28" t="s">
        <v>168</v>
      </c>
      <c r="G3284" s="38"/>
      <c r="H3284" s="38"/>
      <c r="J3284" s="31">
        <f t="shared" si="9"/>
        <v>0</v>
      </c>
    </row>
    <row r="3285">
      <c r="A3285" s="28">
        <v>55.0</v>
      </c>
      <c r="B3285" s="28">
        <v>28.0</v>
      </c>
      <c r="C3285" s="28">
        <v>53.4896241134755</v>
      </c>
      <c r="D3285" s="28">
        <v>9.99530323985118</v>
      </c>
      <c r="E3285" s="28" t="s">
        <v>15</v>
      </c>
      <c r="F3285" s="28" t="s">
        <v>168</v>
      </c>
      <c r="G3285" s="29" t="s">
        <v>164</v>
      </c>
      <c r="H3285" s="35" t="s">
        <v>1081</v>
      </c>
      <c r="J3285" s="31">
        <f t="shared" si="9"/>
        <v>133</v>
      </c>
    </row>
    <row r="3286">
      <c r="A3286" s="28">
        <v>55.0</v>
      </c>
      <c r="B3286" s="28">
        <v>29.0</v>
      </c>
      <c r="C3286" s="28">
        <v>53.4896115863001</v>
      </c>
      <c r="D3286" s="28">
        <v>9.99554389713216</v>
      </c>
      <c r="E3286" s="28" t="s">
        <v>15</v>
      </c>
      <c r="F3286" s="28" t="s">
        <v>168</v>
      </c>
      <c r="G3286" s="38"/>
      <c r="H3286" s="38"/>
      <c r="J3286" s="31">
        <f t="shared" si="9"/>
        <v>0</v>
      </c>
    </row>
    <row r="3287">
      <c r="A3287" s="28">
        <v>55.0</v>
      </c>
      <c r="B3287" s="28">
        <v>30.0</v>
      </c>
      <c r="C3287" s="28">
        <v>53.4895990591247</v>
      </c>
      <c r="D3287" s="28">
        <v>9.99578455434209</v>
      </c>
      <c r="E3287" s="28" t="s">
        <v>15</v>
      </c>
      <c r="F3287" s="28" t="s">
        <v>168</v>
      </c>
      <c r="G3287" s="38"/>
      <c r="H3287" s="38"/>
      <c r="J3287" s="31">
        <f t="shared" si="9"/>
        <v>0</v>
      </c>
    </row>
    <row r="3288">
      <c r="A3288" s="28">
        <v>55.0</v>
      </c>
      <c r="B3288" s="28">
        <v>31.0</v>
      </c>
      <c r="C3288" s="28">
        <v>53.4895865319493</v>
      </c>
      <c r="D3288" s="28">
        <v>9.99602521148097</v>
      </c>
      <c r="E3288" s="28" t="s">
        <v>15</v>
      </c>
      <c r="F3288" s="28" t="s">
        <v>168</v>
      </c>
      <c r="G3288" s="29" t="s">
        <v>164</v>
      </c>
      <c r="H3288" s="35" t="s">
        <v>1082</v>
      </c>
      <c r="J3288" s="31">
        <f t="shared" si="9"/>
        <v>133</v>
      </c>
    </row>
    <row r="3289">
      <c r="A3289" s="28">
        <v>55.0</v>
      </c>
      <c r="B3289" s="28">
        <v>32.0</v>
      </c>
      <c r="C3289" s="28">
        <v>53.4895740047739</v>
      </c>
      <c r="D3289" s="28">
        <v>9.99626586854879</v>
      </c>
      <c r="E3289" s="28" t="s">
        <v>15</v>
      </c>
      <c r="F3289" s="28" t="s">
        <v>168</v>
      </c>
      <c r="G3289" s="38"/>
      <c r="H3289" s="38"/>
      <c r="J3289" s="31">
        <f t="shared" si="9"/>
        <v>0</v>
      </c>
    </row>
    <row r="3290">
      <c r="A3290" s="28">
        <v>55.0</v>
      </c>
      <c r="B3290" s="28">
        <v>33.0</v>
      </c>
      <c r="C3290" s="28">
        <v>53.4895614775984</v>
      </c>
      <c r="D3290" s="28">
        <v>9.99650652554544</v>
      </c>
      <c r="E3290" s="28" t="s">
        <v>15</v>
      </c>
      <c r="F3290" s="28" t="s">
        <v>168</v>
      </c>
      <c r="G3290" s="38"/>
      <c r="H3290" s="38"/>
      <c r="J3290" s="31">
        <f t="shared" si="9"/>
        <v>0</v>
      </c>
    </row>
    <row r="3291">
      <c r="A3291" s="28">
        <v>55.0</v>
      </c>
      <c r="B3291" s="28">
        <v>34.0</v>
      </c>
      <c r="C3291" s="28">
        <v>53.489548950423</v>
      </c>
      <c r="D3291" s="28">
        <v>9.99674718247104</v>
      </c>
      <c r="E3291" s="28" t="s">
        <v>15</v>
      </c>
      <c r="F3291" s="28" t="s">
        <v>168</v>
      </c>
      <c r="G3291" s="29" t="s">
        <v>164</v>
      </c>
      <c r="H3291" s="35" t="s">
        <v>1083</v>
      </c>
      <c r="J3291" s="31">
        <f t="shared" si="9"/>
        <v>133</v>
      </c>
    </row>
    <row r="3292">
      <c r="A3292" s="28">
        <v>55.0</v>
      </c>
      <c r="B3292" s="28">
        <v>35.0</v>
      </c>
      <c r="C3292" s="28">
        <v>53.4895364232476</v>
      </c>
      <c r="D3292" s="28">
        <v>9.99698783932558</v>
      </c>
      <c r="E3292" s="28" t="s">
        <v>15</v>
      </c>
      <c r="F3292" s="28" t="s">
        <v>168</v>
      </c>
      <c r="G3292" s="29" t="s">
        <v>1084</v>
      </c>
      <c r="H3292" s="30" t="str">
        <f>HYPERLINK("https://www.munzee.com/m/thorkel/5760/", "thorkel/5760")</f>
        <v>thorkel/5760</v>
      </c>
      <c r="J3292" s="31">
        <f t="shared" si="9"/>
        <v>1</v>
      </c>
    </row>
    <row r="3293">
      <c r="A3293" s="28">
        <v>55.0</v>
      </c>
      <c r="B3293" s="28">
        <v>36.0</v>
      </c>
      <c r="C3293" s="28">
        <v>53.4895238960722</v>
      </c>
      <c r="D3293" s="28">
        <v>9.99722849610907</v>
      </c>
      <c r="E3293" s="28" t="s">
        <v>15</v>
      </c>
      <c r="F3293" s="28" t="s">
        <v>168</v>
      </c>
      <c r="G3293" s="38"/>
      <c r="H3293" s="38"/>
      <c r="J3293" s="31">
        <f t="shared" si="9"/>
        <v>0</v>
      </c>
    </row>
    <row r="3294">
      <c r="A3294" s="28">
        <v>55.0</v>
      </c>
      <c r="B3294" s="28">
        <v>37.0</v>
      </c>
      <c r="C3294" s="28">
        <v>53.4895113688968</v>
      </c>
      <c r="D3294" s="28">
        <v>9.99746915282139</v>
      </c>
      <c r="E3294" s="28" t="s">
        <v>15</v>
      </c>
      <c r="F3294" s="28" t="s">
        <v>168</v>
      </c>
      <c r="G3294" s="38"/>
      <c r="H3294" s="38"/>
      <c r="J3294" s="31">
        <f t="shared" si="9"/>
        <v>0</v>
      </c>
    </row>
    <row r="3295">
      <c r="A3295" s="28">
        <v>55.0</v>
      </c>
      <c r="B3295" s="28">
        <v>38.0</v>
      </c>
      <c r="C3295" s="28">
        <v>53.4894988417213</v>
      </c>
      <c r="D3295" s="28">
        <v>9.99770980946266</v>
      </c>
      <c r="E3295" s="28" t="s">
        <v>15</v>
      </c>
      <c r="F3295" s="28" t="s">
        <v>168</v>
      </c>
      <c r="G3295" s="29" t="s">
        <v>164</v>
      </c>
      <c r="H3295" s="35" t="s">
        <v>1085</v>
      </c>
      <c r="J3295" s="31">
        <f t="shared" si="9"/>
        <v>133</v>
      </c>
    </row>
    <row r="3296">
      <c r="A3296" s="28">
        <v>55.0</v>
      </c>
      <c r="B3296" s="28">
        <v>39.0</v>
      </c>
      <c r="C3296" s="28">
        <v>53.4894863145459</v>
      </c>
      <c r="D3296" s="28">
        <v>9.99795046603287</v>
      </c>
      <c r="E3296" s="28" t="s">
        <v>15</v>
      </c>
      <c r="F3296" s="28" t="s">
        <v>168</v>
      </c>
      <c r="G3296" s="38"/>
      <c r="H3296" s="38"/>
      <c r="J3296" s="31">
        <f t="shared" si="9"/>
        <v>0</v>
      </c>
    </row>
    <row r="3297">
      <c r="A3297" s="28">
        <v>55.0</v>
      </c>
      <c r="B3297" s="28">
        <v>40.0</v>
      </c>
      <c r="C3297" s="28">
        <v>53.4894737873705</v>
      </c>
      <c r="D3297" s="28">
        <v>9.99819112253203</v>
      </c>
      <c r="E3297" s="28" t="s">
        <v>15</v>
      </c>
      <c r="F3297" s="28" t="s">
        <v>168</v>
      </c>
      <c r="G3297" s="38"/>
      <c r="H3297" s="38"/>
      <c r="J3297" s="31">
        <f t="shared" si="9"/>
        <v>0</v>
      </c>
    </row>
    <row r="3298">
      <c r="A3298" s="28">
        <v>55.0</v>
      </c>
      <c r="B3298" s="28">
        <v>41.0</v>
      </c>
      <c r="C3298" s="28">
        <v>53.4894612601951</v>
      </c>
      <c r="D3298" s="28">
        <v>9.99843177896002</v>
      </c>
      <c r="E3298" s="28" t="s">
        <v>15</v>
      </c>
      <c r="F3298" s="28" t="s">
        <v>168</v>
      </c>
      <c r="G3298" s="29" t="s">
        <v>164</v>
      </c>
      <c r="H3298" s="35" t="s">
        <v>1086</v>
      </c>
      <c r="J3298" s="31">
        <f t="shared" si="9"/>
        <v>133</v>
      </c>
    </row>
    <row r="3299">
      <c r="A3299" s="28">
        <v>55.0</v>
      </c>
      <c r="B3299" s="28">
        <v>42.0</v>
      </c>
      <c r="C3299" s="28">
        <v>53.4894487330197</v>
      </c>
      <c r="D3299" s="28">
        <v>9.99867243531696</v>
      </c>
      <c r="E3299" s="28" t="s">
        <v>15</v>
      </c>
      <c r="F3299" s="28" t="s">
        <v>168</v>
      </c>
      <c r="G3299" s="38"/>
      <c r="H3299" s="38"/>
      <c r="J3299" s="31">
        <f t="shared" si="9"/>
        <v>0</v>
      </c>
    </row>
    <row r="3300">
      <c r="A3300" s="28">
        <v>55.0</v>
      </c>
      <c r="B3300" s="28">
        <v>43.0</v>
      </c>
      <c r="C3300" s="28">
        <v>53.4894362058443</v>
      </c>
      <c r="D3300" s="28">
        <v>9.99891309160284</v>
      </c>
      <c r="E3300" s="28" t="s">
        <v>15</v>
      </c>
      <c r="F3300" s="28" t="s">
        <v>168</v>
      </c>
      <c r="G3300" s="38"/>
      <c r="H3300" s="38"/>
      <c r="J3300" s="31">
        <f t="shared" si="9"/>
        <v>0</v>
      </c>
    </row>
    <row r="3301">
      <c r="A3301" s="28">
        <v>55.0</v>
      </c>
      <c r="B3301" s="28">
        <v>44.0</v>
      </c>
      <c r="C3301" s="28">
        <v>53.4894236786688</v>
      </c>
      <c r="D3301" s="28">
        <v>9.99915374781767</v>
      </c>
      <c r="E3301" s="28" t="s">
        <v>15</v>
      </c>
      <c r="F3301" s="28" t="s">
        <v>168</v>
      </c>
      <c r="G3301" s="29" t="s">
        <v>164</v>
      </c>
      <c r="H3301" s="35" t="s">
        <v>1087</v>
      </c>
      <c r="J3301" s="31">
        <f t="shared" si="9"/>
        <v>133</v>
      </c>
    </row>
    <row r="3302">
      <c r="A3302" s="28">
        <v>55.0</v>
      </c>
      <c r="B3302" s="28">
        <v>45.0</v>
      </c>
      <c r="C3302" s="28">
        <v>53.4894111514934</v>
      </c>
      <c r="D3302" s="28">
        <v>9.99939440396133</v>
      </c>
      <c r="E3302" s="28" t="s">
        <v>15</v>
      </c>
      <c r="F3302" s="28" t="s">
        <v>168</v>
      </c>
      <c r="G3302" s="38"/>
      <c r="H3302" s="38"/>
      <c r="J3302" s="31">
        <f t="shared" si="9"/>
        <v>0</v>
      </c>
    </row>
    <row r="3303">
      <c r="A3303" s="28">
        <v>55.0</v>
      </c>
      <c r="B3303" s="28">
        <v>46.0</v>
      </c>
      <c r="C3303" s="28">
        <v>53.489398624318</v>
      </c>
      <c r="D3303" s="28">
        <v>9.99963506003393</v>
      </c>
      <c r="E3303" s="28" t="s">
        <v>15</v>
      </c>
      <c r="F3303" s="28" t="s">
        <v>168</v>
      </c>
      <c r="G3303" s="38"/>
      <c r="H3303" s="38"/>
      <c r="J3303" s="31">
        <f t="shared" si="9"/>
        <v>0</v>
      </c>
    </row>
    <row r="3304">
      <c r="A3304" s="28">
        <v>55.0</v>
      </c>
      <c r="B3304" s="28">
        <v>47.0</v>
      </c>
      <c r="C3304" s="28">
        <v>53.4893860971426</v>
      </c>
      <c r="D3304" s="28">
        <v>9.99987571603549</v>
      </c>
      <c r="E3304" s="28" t="s">
        <v>15</v>
      </c>
      <c r="F3304" s="28" t="s">
        <v>168</v>
      </c>
      <c r="G3304" s="29" t="s">
        <v>164</v>
      </c>
      <c r="H3304" s="35" t="s">
        <v>1088</v>
      </c>
      <c r="J3304" s="31">
        <f t="shared" si="9"/>
        <v>133</v>
      </c>
    </row>
    <row r="3305">
      <c r="A3305" s="28">
        <v>55.0</v>
      </c>
      <c r="B3305" s="28">
        <v>48.0</v>
      </c>
      <c r="C3305" s="28">
        <v>53.4893735699672</v>
      </c>
      <c r="D3305" s="28">
        <v>10.0001163719659</v>
      </c>
      <c r="E3305" s="28" t="s">
        <v>15</v>
      </c>
      <c r="F3305" s="28" t="s">
        <v>168</v>
      </c>
      <c r="G3305" s="38"/>
      <c r="H3305" s="38"/>
      <c r="J3305" s="31">
        <f t="shared" si="9"/>
        <v>0</v>
      </c>
    </row>
    <row r="3306">
      <c r="A3306" s="28">
        <v>55.0</v>
      </c>
      <c r="B3306" s="28">
        <v>49.0</v>
      </c>
      <c r="C3306" s="28">
        <v>53.4893610427918</v>
      </c>
      <c r="D3306" s="28">
        <v>10.0003570278254</v>
      </c>
      <c r="E3306" s="28" t="s">
        <v>15</v>
      </c>
      <c r="F3306" s="28" t="s">
        <v>168</v>
      </c>
      <c r="G3306" s="38"/>
      <c r="H3306" s="38"/>
      <c r="J3306" s="31">
        <f t="shared" si="9"/>
        <v>0</v>
      </c>
    </row>
    <row r="3307">
      <c r="A3307" s="28">
        <v>55.0</v>
      </c>
      <c r="B3307" s="28">
        <v>50.0</v>
      </c>
      <c r="C3307" s="28">
        <v>53.4893485156163</v>
      </c>
      <c r="D3307" s="28">
        <v>10.0005976836137</v>
      </c>
      <c r="E3307" s="28" t="s">
        <v>15</v>
      </c>
      <c r="F3307" s="28" t="s">
        <v>168</v>
      </c>
      <c r="G3307" s="29" t="s">
        <v>164</v>
      </c>
      <c r="H3307" s="35" t="s">
        <v>1089</v>
      </c>
      <c r="J3307" s="31">
        <f t="shared" si="9"/>
        <v>133</v>
      </c>
    </row>
    <row r="3308">
      <c r="A3308" s="28">
        <v>55.0</v>
      </c>
      <c r="B3308" s="28">
        <v>51.0</v>
      </c>
      <c r="C3308" s="28">
        <v>53.4893359884409</v>
      </c>
      <c r="D3308" s="28">
        <v>10.0008383393309</v>
      </c>
      <c r="E3308" s="28" t="s">
        <v>15</v>
      </c>
      <c r="F3308" s="28" t="s">
        <v>168</v>
      </c>
      <c r="G3308" s="38"/>
      <c r="H3308" s="38"/>
      <c r="J3308" s="31">
        <f t="shared" si="9"/>
        <v>0</v>
      </c>
    </row>
    <row r="3309">
      <c r="A3309" s="28">
        <v>55.0</v>
      </c>
      <c r="B3309" s="28">
        <v>52.0</v>
      </c>
      <c r="C3309" s="28">
        <v>53.4893234612655</v>
      </c>
      <c r="D3309" s="28">
        <v>10.001078994977</v>
      </c>
      <c r="E3309" s="28" t="s">
        <v>15</v>
      </c>
      <c r="F3309" s="28" t="s">
        <v>168</v>
      </c>
      <c r="G3309" s="38"/>
      <c r="H3309" s="38"/>
      <c r="J3309" s="31">
        <f t="shared" si="9"/>
        <v>0</v>
      </c>
    </row>
    <row r="3310">
      <c r="A3310" s="28">
        <v>55.0</v>
      </c>
      <c r="B3310" s="28">
        <v>53.0</v>
      </c>
      <c r="C3310" s="28">
        <v>53.4893109340901</v>
      </c>
      <c r="D3310" s="28">
        <v>10.0013196505522</v>
      </c>
      <c r="E3310" s="28" t="s">
        <v>15</v>
      </c>
      <c r="F3310" s="28" t="s">
        <v>168</v>
      </c>
      <c r="G3310" s="29" t="s">
        <v>164</v>
      </c>
      <c r="H3310" s="35" t="s">
        <v>1090</v>
      </c>
      <c r="J3310" s="31">
        <f t="shared" si="9"/>
        <v>133</v>
      </c>
    </row>
    <row r="3311">
      <c r="A3311" s="28">
        <v>55.0</v>
      </c>
      <c r="B3311" s="28">
        <v>54.0</v>
      </c>
      <c r="C3311" s="28">
        <v>53.4892984069146</v>
      </c>
      <c r="D3311" s="28">
        <v>10.0015603060561</v>
      </c>
      <c r="E3311" s="28" t="s">
        <v>15</v>
      </c>
      <c r="F3311" s="28" t="s">
        <v>168</v>
      </c>
      <c r="G3311" s="38"/>
      <c r="H3311" s="38"/>
      <c r="J3311" s="31">
        <f t="shared" si="9"/>
        <v>0</v>
      </c>
    </row>
    <row r="3312">
      <c r="A3312" s="28">
        <v>55.0</v>
      </c>
      <c r="B3312" s="28">
        <v>55.0</v>
      </c>
      <c r="C3312" s="28">
        <v>53.4892858797392</v>
      </c>
      <c r="D3312" s="28">
        <v>10.001800961489</v>
      </c>
      <c r="E3312" s="28" t="s">
        <v>15</v>
      </c>
      <c r="F3312" s="28" t="s">
        <v>168</v>
      </c>
      <c r="G3312" s="38"/>
      <c r="H3312" s="38"/>
      <c r="J3312" s="31">
        <f t="shared" si="9"/>
        <v>0</v>
      </c>
    </row>
    <row r="3313">
      <c r="A3313" s="28">
        <v>55.0</v>
      </c>
      <c r="B3313" s="28">
        <v>56.0</v>
      </c>
      <c r="C3313" s="28">
        <v>53.4892733525638</v>
      </c>
      <c r="D3313" s="28">
        <v>10.0020416168508</v>
      </c>
      <c r="E3313" s="28" t="s">
        <v>15</v>
      </c>
      <c r="F3313" s="28" t="s">
        <v>168</v>
      </c>
      <c r="G3313" s="29" t="s">
        <v>164</v>
      </c>
      <c r="H3313" s="35" t="s">
        <v>1091</v>
      </c>
      <c r="J3313" s="31">
        <f t="shared" si="9"/>
        <v>133</v>
      </c>
    </row>
    <row r="3314">
      <c r="A3314" s="28">
        <v>55.0</v>
      </c>
      <c r="B3314" s="28">
        <v>57.0</v>
      </c>
      <c r="C3314" s="28">
        <v>53.4892608253884</v>
      </c>
      <c r="D3314" s="28">
        <v>10.0022822721416</v>
      </c>
      <c r="E3314" s="28" t="s">
        <v>15</v>
      </c>
      <c r="F3314" s="28" t="s">
        <v>168</v>
      </c>
      <c r="G3314" s="29" t="s">
        <v>170</v>
      </c>
      <c r="H3314" s="36" t="s">
        <v>1092</v>
      </c>
      <c r="J3314" s="31">
        <f t="shared" si="9"/>
        <v>5</v>
      </c>
    </row>
    <row r="3315">
      <c r="A3315" s="28">
        <v>55.0</v>
      </c>
      <c r="B3315" s="28">
        <v>58.0</v>
      </c>
      <c r="C3315" s="28">
        <v>53.489248298213</v>
      </c>
      <c r="D3315" s="28">
        <v>10.0025229273612</v>
      </c>
      <c r="E3315" s="28" t="s">
        <v>15</v>
      </c>
      <c r="F3315" s="28" t="s">
        <v>168</v>
      </c>
      <c r="G3315" s="29" t="s">
        <v>1093</v>
      </c>
      <c r="H3315" s="30" t="s">
        <v>1094</v>
      </c>
      <c r="J3315" s="31">
        <f t="shared" si="9"/>
        <v>1</v>
      </c>
    </row>
    <row r="3316">
      <c r="A3316" s="28">
        <v>55.0</v>
      </c>
      <c r="B3316" s="28">
        <v>59.0</v>
      </c>
      <c r="C3316" s="28">
        <v>53.4892357710375</v>
      </c>
      <c r="D3316" s="28">
        <v>10.0027635825098</v>
      </c>
      <c r="E3316" s="28" t="s">
        <v>15</v>
      </c>
      <c r="F3316" s="28" t="s">
        <v>168</v>
      </c>
      <c r="G3316" s="29" t="s">
        <v>317</v>
      </c>
      <c r="H3316" s="30" t="str">
        <f>HYPERLINK("https://www.munzee.com/m/ivwarrior/4270/", "ivwarrior/4270")</f>
        <v>ivwarrior/4270</v>
      </c>
      <c r="J3316" s="31">
        <f t="shared" si="9"/>
        <v>6</v>
      </c>
    </row>
    <row r="3317">
      <c r="A3317" s="28">
        <v>55.0</v>
      </c>
      <c r="B3317" s="28">
        <v>60.0</v>
      </c>
      <c r="C3317" s="28">
        <v>53.4892232438621</v>
      </c>
      <c r="D3317" s="28">
        <v>10.0030042375873</v>
      </c>
      <c r="E3317" s="28" t="s">
        <v>25</v>
      </c>
      <c r="F3317" s="28" t="s">
        <v>14</v>
      </c>
      <c r="G3317" s="29" t="s">
        <v>27</v>
      </c>
      <c r="H3317" s="30" t="str">
        <f>HYPERLINK("https://www.munzee.com/m/DarkHaribo/12369", "DarkHaribo/12369")</f>
        <v>DarkHaribo/12369</v>
      </c>
      <c r="J3317" s="31">
        <f t="shared" si="9"/>
        <v>103</v>
      </c>
    </row>
    <row r="3318">
      <c r="A3318" s="28">
        <v>56.0</v>
      </c>
      <c r="B3318" s="28">
        <v>1.0</v>
      </c>
      <c r="C3318" s="28">
        <v>53.4898191637024</v>
      </c>
      <c r="D3318" s="28">
        <v>9.98878441150793</v>
      </c>
      <c r="E3318" s="28" t="s">
        <v>25</v>
      </c>
      <c r="F3318" s="28" t="s">
        <v>14</v>
      </c>
      <c r="G3318" s="37" t="s">
        <v>1050</v>
      </c>
      <c r="H3318" s="35" t="s">
        <v>1095</v>
      </c>
      <c r="J3318" s="31">
        <f t="shared" si="9"/>
        <v>2</v>
      </c>
    </row>
    <row r="3319">
      <c r="A3319" s="28">
        <v>56.0</v>
      </c>
      <c r="B3319" s="28">
        <v>2.0</v>
      </c>
      <c r="C3319" s="28">
        <v>53.4898066365269</v>
      </c>
      <c r="D3319" s="28">
        <v>9.98902506989566</v>
      </c>
      <c r="E3319" s="28" t="s">
        <v>15</v>
      </c>
      <c r="F3319" s="28" t="s">
        <v>168</v>
      </c>
      <c r="G3319" s="29" t="s">
        <v>722</v>
      </c>
      <c r="H3319" s="30" t="s">
        <v>1096</v>
      </c>
      <c r="J3319" s="31">
        <f t="shared" si="9"/>
        <v>48</v>
      </c>
    </row>
    <row r="3320">
      <c r="A3320" s="28">
        <v>56.0</v>
      </c>
      <c r="B3320" s="28">
        <v>3.0</v>
      </c>
      <c r="C3320" s="28">
        <v>53.4897941093515</v>
      </c>
      <c r="D3320" s="28">
        <v>9.98926572821233</v>
      </c>
      <c r="E3320" s="28" t="s">
        <v>15</v>
      </c>
      <c r="F3320" s="28" t="s">
        <v>168</v>
      </c>
      <c r="G3320" s="29" t="s">
        <v>317</v>
      </c>
      <c r="H3320" s="38"/>
      <c r="J3320" s="31">
        <f t="shared" si="9"/>
        <v>6</v>
      </c>
    </row>
    <row r="3321">
      <c r="A3321" s="28">
        <v>56.0</v>
      </c>
      <c r="B3321" s="28">
        <v>4.0</v>
      </c>
      <c r="C3321" s="28">
        <v>53.4897815821761</v>
      </c>
      <c r="D3321" s="28">
        <v>9.98950638645794</v>
      </c>
      <c r="E3321" s="28" t="s">
        <v>15</v>
      </c>
      <c r="F3321" s="28" t="s">
        <v>168</v>
      </c>
      <c r="G3321" s="38"/>
      <c r="H3321" s="38"/>
      <c r="J3321" s="31">
        <f t="shared" si="9"/>
        <v>0</v>
      </c>
    </row>
    <row r="3322">
      <c r="A3322" s="28">
        <v>56.0</v>
      </c>
      <c r="B3322" s="28">
        <v>5.0</v>
      </c>
      <c r="C3322" s="28">
        <v>53.4897690550007</v>
      </c>
      <c r="D3322" s="28">
        <v>9.98974704463239</v>
      </c>
      <c r="E3322" s="28" t="s">
        <v>15</v>
      </c>
      <c r="F3322" s="28" t="s">
        <v>168</v>
      </c>
      <c r="G3322" s="29" t="s">
        <v>722</v>
      </c>
      <c r="H3322" s="30" t="s">
        <v>1097</v>
      </c>
      <c r="J3322" s="31">
        <f t="shared" si="9"/>
        <v>48</v>
      </c>
    </row>
    <row r="3323">
      <c r="A3323" s="28">
        <v>56.0</v>
      </c>
      <c r="B3323" s="28">
        <v>6.0</v>
      </c>
      <c r="C3323" s="28">
        <v>53.4897565278252</v>
      </c>
      <c r="D3323" s="28">
        <v>9.98998770273578</v>
      </c>
      <c r="E3323" s="28" t="s">
        <v>15</v>
      </c>
      <c r="F3323" s="28" t="s">
        <v>168</v>
      </c>
      <c r="G3323" s="38"/>
      <c r="H3323" s="38"/>
      <c r="J3323" s="31">
        <f t="shared" si="9"/>
        <v>0</v>
      </c>
    </row>
    <row r="3324">
      <c r="A3324" s="28">
        <v>56.0</v>
      </c>
      <c r="B3324" s="28">
        <v>7.0</v>
      </c>
      <c r="C3324" s="28">
        <v>53.4897440006498</v>
      </c>
      <c r="D3324" s="28">
        <v>9.99022836076812</v>
      </c>
      <c r="E3324" s="28" t="s">
        <v>15</v>
      </c>
      <c r="F3324" s="28" t="s">
        <v>168</v>
      </c>
      <c r="G3324" s="38"/>
      <c r="H3324" s="38"/>
      <c r="J3324" s="31">
        <f t="shared" si="9"/>
        <v>0</v>
      </c>
    </row>
    <row r="3325">
      <c r="A3325" s="28">
        <v>56.0</v>
      </c>
      <c r="B3325" s="28">
        <v>8.0</v>
      </c>
      <c r="C3325" s="28">
        <v>53.4897314734744</v>
      </c>
      <c r="D3325" s="28">
        <v>9.99046901872941</v>
      </c>
      <c r="E3325" s="28" t="s">
        <v>15</v>
      </c>
      <c r="F3325" s="28" t="s">
        <v>168</v>
      </c>
      <c r="G3325" s="29" t="s">
        <v>722</v>
      </c>
      <c r="H3325" s="30" t="s">
        <v>1098</v>
      </c>
      <c r="J3325" s="31">
        <f t="shared" si="9"/>
        <v>48</v>
      </c>
    </row>
    <row r="3326">
      <c r="A3326" s="28">
        <v>56.0</v>
      </c>
      <c r="B3326" s="28">
        <v>9.0</v>
      </c>
      <c r="C3326" s="28">
        <v>53.489718946299</v>
      </c>
      <c r="D3326" s="28">
        <v>9.99070967661964</v>
      </c>
      <c r="E3326" s="28" t="s">
        <v>15</v>
      </c>
      <c r="F3326" s="28" t="s">
        <v>168</v>
      </c>
      <c r="G3326" s="38"/>
      <c r="H3326" s="38"/>
      <c r="J3326" s="31">
        <f t="shared" si="9"/>
        <v>0</v>
      </c>
    </row>
    <row r="3327">
      <c r="A3327" s="28">
        <v>56.0</v>
      </c>
      <c r="B3327" s="28">
        <v>10.0</v>
      </c>
      <c r="C3327" s="28">
        <v>53.4897064191236</v>
      </c>
      <c r="D3327" s="28">
        <v>9.9909503344387</v>
      </c>
      <c r="E3327" s="28" t="s">
        <v>15</v>
      </c>
      <c r="F3327" s="28" t="s">
        <v>168</v>
      </c>
      <c r="G3327" s="38"/>
      <c r="H3327" s="38"/>
      <c r="J3327" s="31">
        <f t="shared" si="9"/>
        <v>0</v>
      </c>
    </row>
    <row r="3328">
      <c r="A3328" s="28">
        <v>56.0</v>
      </c>
      <c r="B3328" s="28">
        <v>11.0</v>
      </c>
      <c r="C3328" s="28">
        <v>53.4896938919482</v>
      </c>
      <c r="D3328" s="28">
        <v>9.99119099218671</v>
      </c>
      <c r="E3328" s="28" t="s">
        <v>15</v>
      </c>
      <c r="F3328" s="28" t="s">
        <v>168</v>
      </c>
      <c r="G3328" s="29" t="s">
        <v>722</v>
      </c>
      <c r="H3328" s="30" t="s">
        <v>1099</v>
      </c>
      <c r="J3328" s="31">
        <f t="shared" si="9"/>
        <v>48</v>
      </c>
    </row>
    <row r="3329">
      <c r="A3329" s="28">
        <v>56.0</v>
      </c>
      <c r="B3329" s="28">
        <v>12.0</v>
      </c>
      <c r="C3329" s="28">
        <v>53.4896813647727</v>
      </c>
      <c r="D3329" s="28">
        <v>9.99143164986367</v>
      </c>
      <c r="E3329" s="28" t="s">
        <v>15</v>
      </c>
      <c r="F3329" s="28" t="s">
        <v>168</v>
      </c>
      <c r="G3329" s="38"/>
      <c r="H3329" s="38"/>
      <c r="J3329" s="31">
        <f t="shared" si="9"/>
        <v>0</v>
      </c>
    </row>
    <row r="3330">
      <c r="A3330" s="28">
        <v>56.0</v>
      </c>
      <c r="B3330" s="28">
        <v>13.0</v>
      </c>
      <c r="C3330" s="28">
        <v>53.4896688375973</v>
      </c>
      <c r="D3330" s="28">
        <v>9.99167230746957</v>
      </c>
      <c r="E3330" s="28" t="s">
        <v>15</v>
      </c>
      <c r="F3330" s="28" t="s">
        <v>168</v>
      </c>
      <c r="G3330" s="38"/>
      <c r="H3330" s="38"/>
      <c r="J3330" s="31">
        <f t="shared" si="9"/>
        <v>0</v>
      </c>
    </row>
    <row r="3331">
      <c r="A3331" s="28">
        <v>56.0</v>
      </c>
      <c r="B3331" s="28">
        <v>14.0</v>
      </c>
      <c r="C3331" s="28">
        <v>53.4896563104219</v>
      </c>
      <c r="D3331" s="28">
        <v>9.9919129650043</v>
      </c>
      <c r="E3331" s="28" t="s">
        <v>15</v>
      </c>
      <c r="F3331" s="28" t="s">
        <v>168</v>
      </c>
      <c r="G3331" s="29" t="s">
        <v>722</v>
      </c>
      <c r="H3331" s="30" t="s">
        <v>1100</v>
      </c>
      <c r="J3331" s="31">
        <f t="shared" si="9"/>
        <v>48</v>
      </c>
    </row>
    <row r="3332">
      <c r="A3332" s="28">
        <v>56.0</v>
      </c>
      <c r="B3332" s="28">
        <v>15.0</v>
      </c>
      <c r="C3332" s="28">
        <v>53.4896437832465</v>
      </c>
      <c r="D3332" s="28">
        <v>9.99215362246798</v>
      </c>
      <c r="E3332" s="28" t="s">
        <v>15</v>
      </c>
      <c r="F3332" s="28" t="s">
        <v>168</v>
      </c>
      <c r="G3332" s="38"/>
      <c r="H3332" s="38"/>
      <c r="J3332" s="31">
        <f t="shared" si="9"/>
        <v>0</v>
      </c>
    </row>
    <row r="3333">
      <c r="A3333" s="28">
        <v>56.0</v>
      </c>
      <c r="B3333" s="28">
        <v>16.0</v>
      </c>
      <c r="C3333" s="28">
        <v>53.489631256071</v>
      </c>
      <c r="D3333" s="28">
        <v>9.9923942798606</v>
      </c>
      <c r="E3333" s="28" t="s">
        <v>15</v>
      </c>
      <c r="F3333" s="28" t="s">
        <v>168</v>
      </c>
      <c r="G3333" s="38"/>
      <c r="H3333" s="38"/>
      <c r="J3333" s="31">
        <f t="shared" si="9"/>
        <v>0</v>
      </c>
    </row>
    <row r="3334">
      <c r="A3334" s="28">
        <v>56.0</v>
      </c>
      <c r="B3334" s="28">
        <v>17.0</v>
      </c>
      <c r="C3334" s="28">
        <v>53.4896187288956</v>
      </c>
      <c r="D3334" s="28">
        <v>9.99263493718217</v>
      </c>
      <c r="E3334" s="28" t="s">
        <v>15</v>
      </c>
      <c r="F3334" s="28" t="s">
        <v>168</v>
      </c>
      <c r="G3334" s="29" t="s">
        <v>722</v>
      </c>
      <c r="H3334" s="30" t="s">
        <v>1101</v>
      </c>
      <c r="J3334" s="31">
        <f t="shared" si="9"/>
        <v>48</v>
      </c>
    </row>
    <row r="3335">
      <c r="A3335" s="28">
        <v>56.0</v>
      </c>
      <c r="B3335" s="28">
        <v>18.0</v>
      </c>
      <c r="C3335" s="28">
        <v>53.4896062017202</v>
      </c>
      <c r="D3335" s="28">
        <v>9.99287559443269</v>
      </c>
      <c r="E3335" s="28" t="s">
        <v>15</v>
      </c>
      <c r="F3335" s="28" t="s">
        <v>168</v>
      </c>
      <c r="G3335" s="38"/>
      <c r="H3335" s="38"/>
      <c r="J3335" s="31">
        <f t="shared" si="9"/>
        <v>0</v>
      </c>
    </row>
    <row r="3336">
      <c r="A3336" s="28">
        <v>56.0</v>
      </c>
      <c r="B3336" s="28">
        <v>19.0</v>
      </c>
      <c r="C3336" s="28">
        <v>53.4895936745448</v>
      </c>
      <c r="D3336" s="28">
        <v>9.99311625161203</v>
      </c>
      <c r="E3336" s="28" t="s">
        <v>15</v>
      </c>
      <c r="F3336" s="28" t="s">
        <v>168</v>
      </c>
      <c r="G3336" s="38"/>
      <c r="H3336" s="38"/>
      <c r="J3336" s="31">
        <f t="shared" si="9"/>
        <v>0</v>
      </c>
    </row>
    <row r="3337">
      <c r="A3337" s="28">
        <v>56.0</v>
      </c>
      <c r="B3337" s="28">
        <v>20.0</v>
      </c>
      <c r="C3337" s="28">
        <v>53.4895811473694</v>
      </c>
      <c r="D3337" s="28">
        <v>9.99335690872033</v>
      </c>
      <c r="E3337" s="28" t="s">
        <v>15</v>
      </c>
      <c r="F3337" s="28" t="s">
        <v>168</v>
      </c>
      <c r="G3337" s="29" t="s">
        <v>722</v>
      </c>
      <c r="H3337" s="30" t="s">
        <v>1102</v>
      </c>
      <c r="J3337" s="31">
        <f t="shared" si="9"/>
        <v>48</v>
      </c>
    </row>
    <row r="3338">
      <c r="A3338" s="28">
        <v>56.0</v>
      </c>
      <c r="B3338" s="28">
        <v>21.0</v>
      </c>
      <c r="C3338" s="28">
        <v>53.489568620194</v>
      </c>
      <c r="D3338" s="28">
        <v>9.99359756575756</v>
      </c>
      <c r="E3338" s="28" t="s">
        <v>15</v>
      </c>
      <c r="F3338" s="28" t="s">
        <v>168</v>
      </c>
      <c r="G3338" s="38"/>
      <c r="H3338" s="38"/>
      <c r="J3338" s="31">
        <f t="shared" si="9"/>
        <v>0</v>
      </c>
    </row>
    <row r="3339">
      <c r="A3339" s="28">
        <v>56.0</v>
      </c>
      <c r="B3339" s="28">
        <v>22.0</v>
      </c>
      <c r="C3339" s="28">
        <v>53.4895560930185</v>
      </c>
      <c r="D3339" s="28">
        <v>9.99383822272375</v>
      </c>
      <c r="E3339" s="28" t="s">
        <v>15</v>
      </c>
      <c r="F3339" s="28" t="s">
        <v>168</v>
      </c>
      <c r="G3339" s="38"/>
      <c r="H3339" s="38"/>
      <c r="J3339" s="31">
        <f t="shared" si="9"/>
        <v>0</v>
      </c>
    </row>
    <row r="3340">
      <c r="A3340" s="28">
        <v>56.0</v>
      </c>
      <c r="B3340" s="28">
        <v>23.0</v>
      </c>
      <c r="C3340" s="28">
        <v>53.4895435658431</v>
      </c>
      <c r="D3340" s="28">
        <v>9.99407887961876</v>
      </c>
      <c r="E3340" s="28" t="s">
        <v>15</v>
      </c>
      <c r="F3340" s="28" t="s">
        <v>168</v>
      </c>
      <c r="G3340" s="38"/>
      <c r="H3340" s="38"/>
      <c r="J3340" s="31">
        <f t="shared" si="9"/>
        <v>0</v>
      </c>
    </row>
    <row r="3341">
      <c r="A3341" s="28">
        <v>56.0</v>
      </c>
      <c r="B3341" s="28">
        <v>24.0</v>
      </c>
      <c r="C3341" s="28">
        <v>53.4895310386677</v>
      </c>
      <c r="D3341" s="28">
        <v>9.99431953644273</v>
      </c>
      <c r="E3341" s="28" t="s">
        <v>15</v>
      </c>
      <c r="F3341" s="28" t="s">
        <v>168</v>
      </c>
      <c r="G3341" s="38"/>
      <c r="H3341" s="38"/>
      <c r="J3341" s="31">
        <f t="shared" si="9"/>
        <v>0</v>
      </c>
    </row>
    <row r="3342">
      <c r="A3342" s="28">
        <v>56.0</v>
      </c>
      <c r="B3342" s="28">
        <v>25.0</v>
      </c>
      <c r="C3342" s="28">
        <v>53.4895185114923</v>
      </c>
      <c r="D3342" s="28">
        <v>9.99456019319563</v>
      </c>
      <c r="E3342" s="28" t="s">
        <v>15</v>
      </c>
      <c r="F3342" s="28" t="s">
        <v>168</v>
      </c>
      <c r="G3342" s="38"/>
      <c r="H3342" s="38"/>
      <c r="J3342" s="31">
        <f t="shared" si="9"/>
        <v>0</v>
      </c>
    </row>
    <row r="3343">
      <c r="A3343" s="28">
        <v>56.0</v>
      </c>
      <c r="B3343" s="28">
        <v>26.0</v>
      </c>
      <c r="C3343" s="28">
        <v>53.4895059843168</v>
      </c>
      <c r="D3343" s="28">
        <v>9.99480084987749</v>
      </c>
      <c r="E3343" s="28" t="s">
        <v>15</v>
      </c>
      <c r="F3343" s="28" t="s">
        <v>168</v>
      </c>
      <c r="G3343" s="38"/>
      <c r="H3343" s="38"/>
      <c r="J3343" s="31">
        <f t="shared" si="9"/>
        <v>0</v>
      </c>
    </row>
    <row r="3344">
      <c r="A3344" s="28">
        <v>56.0</v>
      </c>
      <c r="B3344" s="28">
        <v>27.0</v>
      </c>
      <c r="C3344" s="28">
        <v>53.4894934571414</v>
      </c>
      <c r="D3344" s="28">
        <v>9.99504150648817</v>
      </c>
      <c r="E3344" s="28" t="s">
        <v>15</v>
      </c>
      <c r="F3344" s="28" t="s">
        <v>168</v>
      </c>
      <c r="G3344" s="38"/>
      <c r="H3344" s="38"/>
      <c r="J3344" s="31">
        <f t="shared" si="9"/>
        <v>0</v>
      </c>
    </row>
    <row r="3345">
      <c r="A3345" s="28">
        <v>56.0</v>
      </c>
      <c r="B3345" s="28">
        <v>28.0</v>
      </c>
      <c r="C3345" s="28">
        <v>53.489480929966</v>
      </c>
      <c r="D3345" s="28">
        <v>9.99528216302781</v>
      </c>
      <c r="E3345" s="28" t="s">
        <v>15</v>
      </c>
      <c r="F3345" s="28" t="s">
        <v>168</v>
      </c>
      <c r="G3345" s="38"/>
      <c r="H3345" s="38"/>
      <c r="J3345" s="31">
        <f t="shared" si="9"/>
        <v>0</v>
      </c>
    </row>
    <row r="3346">
      <c r="A3346" s="28">
        <v>56.0</v>
      </c>
      <c r="B3346" s="28">
        <v>29.0</v>
      </c>
      <c r="C3346" s="28">
        <v>53.4894684027906</v>
      </c>
      <c r="D3346" s="28">
        <v>9.99552281949638</v>
      </c>
      <c r="E3346" s="28" t="s">
        <v>15</v>
      </c>
      <c r="F3346" s="28" t="s">
        <v>168</v>
      </c>
      <c r="G3346" s="38"/>
      <c r="H3346" s="38"/>
      <c r="J3346" s="31">
        <f t="shared" si="9"/>
        <v>0</v>
      </c>
    </row>
    <row r="3347">
      <c r="A3347" s="28">
        <v>56.0</v>
      </c>
      <c r="B3347" s="28">
        <v>30.0</v>
      </c>
      <c r="C3347" s="28">
        <v>53.4894558756151</v>
      </c>
      <c r="D3347" s="28">
        <v>9.99576347589391</v>
      </c>
      <c r="E3347" s="28" t="s">
        <v>15</v>
      </c>
      <c r="F3347" s="28" t="s">
        <v>168</v>
      </c>
      <c r="G3347" s="38"/>
      <c r="H3347" s="38"/>
      <c r="J3347" s="31">
        <f t="shared" si="9"/>
        <v>0</v>
      </c>
    </row>
    <row r="3348">
      <c r="A3348" s="28">
        <v>56.0</v>
      </c>
      <c r="B3348" s="28">
        <v>31.0</v>
      </c>
      <c r="C3348" s="28">
        <v>53.4894433484397</v>
      </c>
      <c r="D3348" s="28">
        <v>9.99600413222026</v>
      </c>
      <c r="E3348" s="28" t="s">
        <v>15</v>
      </c>
      <c r="F3348" s="28" t="s">
        <v>168</v>
      </c>
      <c r="G3348" s="38"/>
      <c r="H3348" s="38"/>
      <c r="J3348" s="31">
        <f t="shared" si="9"/>
        <v>0</v>
      </c>
    </row>
    <row r="3349">
      <c r="A3349" s="28">
        <v>56.0</v>
      </c>
      <c r="B3349" s="28">
        <v>32.0</v>
      </c>
      <c r="C3349" s="28">
        <v>53.4894308212643</v>
      </c>
      <c r="D3349" s="28">
        <v>9.99624478847556</v>
      </c>
      <c r="E3349" s="28" t="s">
        <v>15</v>
      </c>
      <c r="F3349" s="28" t="s">
        <v>168</v>
      </c>
      <c r="G3349" s="38"/>
      <c r="H3349" s="38"/>
      <c r="J3349" s="31">
        <f t="shared" si="9"/>
        <v>0</v>
      </c>
    </row>
    <row r="3350">
      <c r="A3350" s="28">
        <v>56.0</v>
      </c>
      <c r="B3350" s="28">
        <v>33.0</v>
      </c>
      <c r="C3350" s="28">
        <v>53.4894182940889</v>
      </c>
      <c r="D3350" s="28">
        <v>9.99648544465981</v>
      </c>
      <c r="E3350" s="28" t="s">
        <v>15</v>
      </c>
      <c r="F3350" s="28" t="s">
        <v>168</v>
      </c>
      <c r="G3350" s="29" t="s">
        <v>57</v>
      </c>
      <c r="H3350" s="38"/>
      <c r="J3350" s="31">
        <f t="shared" si="9"/>
        <v>20</v>
      </c>
    </row>
    <row r="3351">
      <c r="A3351" s="28">
        <v>56.0</v>
      </c>
      <c r="B3351" s="28">
        <v>34.0</v>
      </c>
      <c r="C3351" s="28">
        <v>53.4894057669135</v>
      </c>
      <c r="D3351" s="28">
        <v>9.996726100773</v>
      </c>
      <c r="E3351" s="28" t="s">
        <v>15</v>
      </c>
      <c r="F3351" s="28" t="s">
        <v>168</v>
      </c>
      <c r="G3351" s="38"/>
      <c r="H3351" s="38"/>
      <c r="J3351" s="31">
        <f t="shared" si="9"/>
        <v>0</v>
      </c>
    </row>
    <row r="3352">
      <c r="A3352" s="28">
        <v>56.0</v>
      </c>
      <c r="B3352" s="28">
        <v>35.0</v>
      </c>
      <c r="C3352" s="28">
        <v>53.489393239738</v>
      </c>
      <c r="D3352" s="28">
        <v>9.99696675681502</v>
      </c>
      <c r="E3352" s="28" t="s">
        <v>15</v>
      </c>
      <c r="F3352" s="28" t="s">
        <v>168</v>
      </c>
      <c r="G3352" s="38"/>
      <c r="H3352" s="38"/>
      <c r="J3352" s="31">
        <f t="shared" si="9"/>
        <v>0</v>
      </c>
    </row>
    <row r="3353">
      <c r="A3353" s="28">
        <v>56.0</v>
      </c>
      <c r="B3353" s="28">
        <v>36.0</v>
      </c>
      <c r="C3353" s="28">
        <v>53.4893807125626</v>
      </c>
      <c r="D3353" s="28">
        <v>9.99720741278599</v>
      </c>
      <c r="E3353" s="28" t="s">
        <v>15</v>
      </c>
      <c r="F3353" s="28" t="s">
        <v>168</v>
      </c>
      <c r="G3353" s="29" t="s">
        <v>57</v>
      </c>
      <c r="H3353" s="30" t="str">
        <f>HYPERLINK("https://www.munzee.com/m/Steerzer/6829/", "Steerzer/6829")</f>
        <v>Steerzer/6829</v>
      </c>
      <c r="J3353" s="31">
        <f t="shared" si="9"/>
        <v>20</v>
      </c>
    </row>
    <row r="3354">
      <c r="A3354" s="28">
        <v>56.0</v>
      </c>
      <c r="B3354" s="28">
        <v>37.0</v>
      </c>
      <c r="C3354" s="28">
        <v>53.4893681853872</v>
      </c>
      <c r="D3354" s="28">
        <v>9.99744806868591</v>
      </c>
      <c r="E3354" s="28" t="s">
        <v>15</v>
      </c>
      <c r="F3354" s="28" t="s">
        <v>168</v>
      </c>
      <c r="G3354" s="38"/>
      <c r="H3354" s="38"/>
      <c r="J3354" s="31">
        <f t="shared" si="9"/>
        <v>0</v>
      </c>
    </row>
    <row r="3355">
      <c r="A3355" s="28">
        <v>56.0</v>
      </c>
      <c r="B3355" s="28">
        <v>38.0</v>
      </c>
      <c r="C3355" s="28">
        <v>53.4893556582118</v>
      </c>
      <c r="D3355" s="28">
        <v>9.99768872451477</v>
      </c>
      <c r="E3355" s="28" t="s">
        <v>15</v>
      </c>
      <c r="F3355" s="28" t="s">
        <v>168</v>
      </c>
      <c r="G3355" s="38"/>
      <c r="H3355" s="38"/>
      <c r="J3355" s="31">
        <f t="shared" si="9"/>
        <v>0</v>
      </c>
    </row>
    <row r="3356">
      <c r="A3356" s="28">
        <v>56.0</v>
      </c>
      <c r="B3356" s="28">
        <v>39.0</v>
      </c>
      <c r="C3356" s="28">
        <v>53.4893431310364</v>
      </c>
      <c r="D3356" s="28">
        <v>9.99792938027258</v>
      </c>
      <c r="E3356" s="28" t="s">
        <v>15</v>
      </c>
      <c r="F3356" s="28" t="s">
        <v>168</v>
      </c>
      <c r="G3356" s="38"/>
      <c r="H3356" s="38"/>
      <c r="J3356" s="31">
        <f t="shared" si="9"/>
        <v>0</v>
      </c>
    </row>
    <row r="3357">
      <c r="A3357" s="28">
        <v>56.0</v>
      </c>
      <c r="B3357" s="28">
        <v>40.0</v>
      </c>
      <c r="C3357" s="28">
        <v>53.489330603861</v>
      </c>
      <c r="D3357" s="28">
        <v>9.99817003595922</v>
      </c>
      <c r="E3357" s="28" t="s">
        <v>15</v>
      </c>
      <c r="F3357" s="28" t="s">
        <v>168</v>
      </c>
      <c r="G3357" s="38"/>
      <c r="H3357" s="38"/>
      <c r="J3357" s="31">
        <f t="shared" si="9"/>
        <v>0</v>
      </c>
    </row>
    <row r="3358">
      <c r="A3358" s="28">
        <v>56.0</v>
      </c>
      <c r="B3358" s="28">
        <v>41.0</v>
      </c>
      <c r="C3358" s="28">
        <v>53.4893180766856</v>
      </c>
      <c r="D3358" s="28">
        <v>9.9984106915748</v>
      </c>
      <c r="E3358" s="28" t="s">
        <v>15</v>
      </c>
      <c r="F3358" s="28" t="s">
        <v>168</v>
      </c>
      <c r="G3358" s="38"/>
      <c r="H3358" s="38"/>
      <c r="J3358" s="31">
        <f t="shared" si="9"/>
        <v>0</v>
      </c>
    </row>
    <row r="3359">
      <c r="A3359" s="28">
        <v>56.0</v>
      </c>
      <c r="B3359" s="28">
        <v>42.0</v>
      </c>
      <c r="C3359" s="28">
        <v>53.4893055495101</v>
      </c>
      <c r="D3359" s="28">
        <v>9.99865134711933</v>
      </c>
      <c r="E3359" s="28" t="s">
        <v>15</v>
      </c>
      <c r="F3359" s="28" t="s">
        <v>168</v>
      </c>
      <c r="G3359" s="38"/>
      <c r="H3359" s="38"/>
      <c r="J3359" s="31">
        <f t="shared" si="9"/>
        <v>0</v>
      </c>
    </row>
    <row r="3360">
      <c r="A3360" s="28">
        <v>56.0</v>
      </c>
      <c r="B3360" s="28">
        <v>43.0</v>
      </c>
      <c r="C3360" s="28">
        <v>53.4892930223347</v>
      </c>
      <c r="D3360" s="28">
        <v>9.99889200259281</v>
      </c>
      <c r="E3360" s="28" t="s">
        <v>15</v>
      </c>
      <c r="F3360" s="28" t="s">
        <v>168</v>
      </c>
      <c r="G3360" s="38"/>
      <c r="H3360" s="38"/>
      <c r="J3360" s="31">
        <f t="shared" si="9"/>
        <v>0</v>
      </c>
    </row>
    <row r="3361">
      <c r="A3361" s="28">
        <v>56.0</v>
      </c>
      <c r="B3361" s="28">
        <v>44.0</v>
      </c>
      <c r="C3361" s="28">
        <v>53.4892804951593</v>
      </c>
      <c r="D3361" s="28">
        <v>9.99913265799523</v>
      </c>
      <c r="E3361" s="28" t="s">
        <v>15</v>
      </c>
      <c r="F3361" s="28" t="s">
        <v>168</v>
      </c>
      <c r="G3361" s="38"/>
      <c r="H3361" s="38"/>
      <c r="J3361" s="31">
        <f t="shared" si="9"/>
        <v>0</v>
      </c>
    </row>
    <row r="3362">
      <c r="A3362" s="28">
        <v>56.0</v>
      </c>
      <c r="B3362" s="28">
        <v>45.0</v>
      </c>
      <c r="C3362" s="28">
        <v>53.4892679679839</v>
      </c>
      <c r="D3362" s="28">
        <v>9.99937331332648</v>
      </c>
      <c r="E3362" s="28" t="s">
        <v>15</v>
      </c>
      <c r="F3362" s="28" t="s">
        <v>168</v>
      </c>
      <c r="G3362" s="38"/>
      <c r="H3362" s="38"/>
      <c r="J3362" s="31">
        <f t="shared" si="9"/>
        <v>0</v>
      </c>
    </row>
    <row r="3363">
      <c r="A3363" s="28">
        <v>56.0</v>
      </c>
      <c r="B3363" s="28">
        <v>46.0</v>
      </c>
      <c r="C3363" s="28">
        <v>53.4892554408085</v>
      </c>
      <c r="D3363" s="28">
        <v>9.99961396858668</v>
      </c>
      <c r="E3363" s="28" t="s">
        <v>15</v>
      </c>
      <c r="F3363" s="28" t="s">
        <v>168</v>
      </c>
      <c r="G3363" s="38"/>
      <c r="H3363" s="38"/>
      <c r="J3363" s="31">
        <f t="shared" si="9"/>
        <v>0</v>
      </c>
    </row>
    <row r="3364">
      <c r="A3364" s="28">
        <v>56.0</v>
      </c>
      <c r="B3364" s="28">
        <v>47.0</v>
      </c>
      <c r="C3364" s="28">
        <v>53.489242913633</v>
      </c>
      <c r="D3364" s="28">
        <v>9.99985462377583</v>
      </c>
      <c r="E3364" s="28" t="s">
        <v>15</v>
      </c>
      <c r="F3364" s="28" t="s">
        <v>168</v>
      </c>
      <c r="G3364" s="38"/>
      <c r="H3364" s="38"/>
      <c r="J3364" s="31">
        <f t="shared" si="9"/>
        <v>0</v>
      </c>
    </row>
    <row r="3365">
      <c r="A3365" s="28">
        <v>56.0</v>
      </c>
      <c r="B3365" s="28">
        <v>48.0</v>
      </c>
      <c r="C3365" s="28">
        <v>53.4892303864576</v>
      </c>
      <c r="D3365" s="28">
        <v>10.0000952788939</v>
      </c>
      <c r="E3365" s="28" t="s">
        <v>15</v>
      </c>
      <c r="F3365" s="28" t="s">
        <v>168</v>
      </c>
      <c r="G3365" s="38"/>
      <c r="H3365" s="38"/>
      <c r="J3365" s="31">
        <f t="shared" si="9"/>
        <v>0</v>
      </c>
    </row>
    <row r="3366">
      <c r="A3366" s="28">
        <v>56.0</v>
      </c>
      <c r="B3366" s="28">
        <v>49.0</v>
      </c>
      <c r="C3366" s="28">
        <v>53.4892178592822</v>
      </c>
      <c r="D3366" s="28">
        <v>10.0003359339408</v>
      </c>
      <c r="E3366" s="28" t="s">
        <v>15</v>
      </c>
      <c r="F3366" s="28" t="s">
        <v>168</v>
      </c>
      <c r="G3366" s="38"/>
      <c r="H3366" s="38"/>
      <c r="J3366" s="31">
        <f t="shared" si="9"/>
        <v>0</v>
      </c>
    </row>
    <row r="3367">
      <c r="A3367" s="28">
        <v>56.0</v>
      </c>
      <c r="B3367" s="28">
        <v>50.0</v>
      </c>
      <c r="C3367" s="28">
        <v>53.4892053321068</v>
      </c>
      <c r="D3367" s="28">
        <v>10.0005765889167</v>
      </c>
      <c r="E3367" s="28" t="s">
        <v>15</v>
      </c>
      <c r="F3367" s="28" t="s">
        <v>168</v>
      </c>
      <c r="G3367" s="38"/>
      <c r="H3367" s="38"/>
      <c r="J3367" s="31">
        <f t="shared" si="9"/>
        <v>0</v>
      </c>
    </row>
    <row r="3368">
      <c r="A3368" s="28">
        <v>56.0</v>
      </c>
      <c r="B3368" s="28">
        <v>51.0</v>
      </c>
      <c r="C3368" s="28">
        <v>53.4891928049314</v>
      </c>
      <c r="D3368" s="28">
        <v>10.0008172438215</v>
      </c>
      <c r="E3368" s="28" t="s">
        <v>15</v>
      </c>
      <c r="F3368" s="28" t="s">
        <v>168</v>
      </c>
      <c r="G3368" s="38"/>
      <c r="H3368" s="38"/>
      <c r="J3368" s="31">
        <f t="shared" si="9"/>
        <v>0</v>
      </c>
    </row>
    <row r="3369">
      <c r="A3369" s="28">
        <v>56.0</v>
      </c>
      <c r="B3369" s="28">
        <v>52.0</v>
      </c>
      <c r="C3369" s="28">
        <v>53.489180277756</v>
      </c>
      <c r="D3369" s="28">
        <v>10.0010578986552</v>
      </c>
      <c r="E3369" s="28" t="s">
        <v>15</v>
      </c>
      <c r="F3369" s="28" t="s">
        <v>168</v>
      </c>
      <c r="G3369" s="38"/>
      <c r="H3369" s="38"/>
      <c r="J3369" s="31">
        <f t="shared" si="9"/>
        <v>0</v>
      </c>
    </row>
    <row r="3370">
      <c r="A3370" s="28">
        <v>56.0</v>
      </c>
      <c r="B3370" s="28">
        <v>53.0</v>
      </c>
      <c r="C3370" s="28">
        <v>53.4891677505805</v>
      </c>
      <c r="D3370" s="28">
        <v>10.0012985534178</v>
      </c>
      <c r="E3370" s="28" t="s">
        <v>15</v>
      </c>
      <c r="F3370" s="28" t="s">
        <v>168</v>
      </c>
      <c r="G3370" s="38"/>
      <c r="H3370" s="38"/>
      <c r="J3370" s="31">
        <f t="shared" si="9"/>
        <v>0</v>
      </c>
    </row>
    <row r="3371">
      <c r="A3371" s="28">
        <v>56.0</v>
      </c>
      <c r="B3371" s="28">
        <v>54.0</v>
      </c>
      <c r="C3371" s="28">
        <v>53.4891552234051</v>
      </c>
      <c r="D3371" s="28">
        <v>10.0015392081094</v>
      </c>
      <c r="E3371" s="28" t="s">
        <v>15</v>
      </c>
      <c r="F3371" s="28" t="s">
        <v>168</v>
      </c>
      <c r="G3371" s="38"/>
      <c r="H3371" s="38"/>
      <c r="J3371" s="31">
        <f t="shared" si="9"/>
        <v>0</v>
      </c>
    </row>
    <row r="3372">
      <c r="A3372" s="28">
        <v>56.0</v>
      </c>
      <c r="B3372" s="28">
        <v>55.0</v>
      </c>
      <c r="C3372" s="28">
        <v>53.4891426962297</v>
      </c>
      <c r="D3372" s="28">
        <v>10.0017798627299</v>
      </c>
      <c r="E3372" s="28" t="s">
        <v>15</v>
      </c>
      <c r="F3372" s="28" t="s">
        <v>168</v>
      </c>
      <c r="G3372" s="38"/>
      <c r="H3372" s="38"/>
      <c r="J3372" s="31">
        <f t="shared" si="9"/>
        <v>0</v>
      </c>
    </row>
    <row r="3373">
      <c r="A3373" s="28">
        <v>56.0</v>
      </c>
      <c r="B3373" s="28">
        <v>56.0</v>
      </c>
      <c r="C3373" s="28">
        <v>53.4891301690543</v>
      </c>
      <c r="D3373" s="28">
        <v>10.0020205172793</v>
      </c>
      <c r="E3373" s="28" t="s">
        <v>15</v>
      </c>
      <c r="F3373" s="28" t="s">
        <v>168</v>
      </c>
      <c r="G3373" s="38"/>
      <c r="H3373" s="38"/>
      <c r="J3373" s="31">
        <f t="shared" si="9"/>
        <v>0</v>
      </c>
    </row>
    <row r="3374">
      <c r="A3374" s="28">
        <v>56.0</v>
      </c>
      <c r="B3374" s="28">
        <v>57.0</v>
      </c>
      <c r="C3374" s="28">
        <v>53.4891176418789</v>
      </c>
      <c r="D3374" s="28">
        <v>10.0022611717577</v>
      </c>
      <c r="E3374" s="28" t="s">
        <v>15</v>
      </c>
      <c r="F3374" s="28" t="s">
        <v>168</v>
      </c>
      <c r="G3374" s="38"/>
      <c r="H3374" s="38"/>
      <c r="J3374" s="31">
        <f t="shared" si="9"/>
        <v>0</v>
      </c>
    </row>
    <row r="3375">
      <c r="A3375" s="28">
        <v>56.0</v>
      </c>
      <c r="B3375" s="28">
        <v>58.0</v>
      </c>
      <c r="C3375" s="28">
        <v>53.4891051147034</v>
      </c>
      <c r="D3375" s="28">
        <v>10.0025018261649</v>
      </c>
      <c r="E3375" s="28" t="s">
        <v>15</v>
      </c>
      <c r="F3375" s="28" t="s">
        <v>168</v>
      </c>
      <c r="G3375" s="29" t="s">
        <v>1018</v>
      </c>
      <c r="H3375" s="30" t="str">
        <f>HYPERLINK("https://www.munzee.com/m/TheLabGuys/6597/", "TheLabGuys/6597")</f>
        <v>TheLabGuys/6597</v>
      </c>
      <c r="J3375" s="31">
        <f t="shared" si="9"/>
        <v>5</v>
      </c>
    </row>
    <row r="3376">
      <c r="A3376" s="28">
        <v>56.0</v>
      </c>
      <c r="B3376" s="28">
        <v>59.0</v>
      </c>
      <c r="C3376" s="28">
        <v>53.489092587528</v>
      </c>
      <c r="D3376" s="28">
        <v>10.002742480501</v>
      </c>
      <c r="E3376" s="28" t="s">
        <v>15</v>
      </c>
      <c r="F3376" s="28" t="s">
        <v>168</v>
      </c>
      <c r="G3376" s="50" t="s">
        <v>1103</v>
      </c>
      <c r="H3376" s="30" t="str">
        <f>HYPERLINK("https://www.munzee.com/m/Alzarius/2256/", "Alzarius/2256")</f>
        <v>Alzarius/2256</v>
      </c>
      <c r="J3376" s="31">
        <f t="shared" si="9"/>
        <v>1</v>
      </c>
    </row>
    <row r="3377">
      <c r="A3377" s="28">
        <v>56.0</v>
      </c>
      <c r="B3377" s="28">
        <v>60.0</v>
      </c>
      <c r="C3377" s="28">
        <v>53.4890800603526</v>
      </c>
      <c r="D3377" s="28">
        <v>10.0029831347661</v>
      </c>
      <c r="E3377" s="28" t="s">
        <v>25</v>
      </c>
      <c r="F3377" s="28" t="s">
        <v>14</v>
      </c>
      <c r="G3377" s="29" t="s">
        <v>164</v>
      </c>
      <c r="H3377" s="35" t="s">
        <v>1104</v>
      </c>
      <c r="J3377" s="31">
        <f t="shared" si="9"/>
        <v>133</v>
      </c>
    </row>
    <row r="3378">
      <c r="A3378" s="28">
        <v>57.0</v>
      </c>
      <c r="B3378" s="28">
        <v>1.0</v>
      </c>
      <c r="C3378" s="28">
        <v>53.4896759801928</v>
      </c>
      <c r="D3378" s="28">
        <v>9.98876335669206</v>
      </c>
      <c r="E3378" s="28" t="s">
        <v>25</v>
      </c>
      <c r="F3378" s="28" t="s">
        <v>14</v>
      </c>
      <c r="G3378" s="29" t="s">
        <v>164</v>
      </c>
      <c r="H3378" s="35" t="s">
        <v>1105</v>
      </c>
      <c r="J3378" s="31">
        <f t="shared" si="9"/>
        <v>133</v>
      </c>
    </row>
    <row r="3379">
      <c r="A3379" s="28">
        <v>57.0</v>
      </c>
      <c r="B3379" s="28">
        <v>2.0</v>
      </c>
      <c r="C3379" s="28">
        <v>53.4896634530174</v>
      </c>
      <c r="D3379" s="28">
        <v>9.98900401426738</v>
      </c>
      <c r="E3379" s="28" t="s">
        <v>15</v>
      </c>
      <c r="F3379" s="28" t="s">
        <v>168</v>
      </c>
      <c r="G3379" s="29" t="s">
        <v>1106</v>
      </c>
      <c r="H3379" s="30" t="str">
        <f>HYPERLINK("https://www.munzee.com/m/ichbinderneue/1726/", "ichbinderneue/1726")</f>
        <v>ichbinderneue/1726</v>
      </c>
      <c r="J3379" s="31">
        <f t="shared" si="9"/>
        <v>10</v>
      </c>
    </row>
    <row r="3380">
      <c r="A3380" s="28">
        <v>57.0</v>
      </c>
      <c r="B3380" s="28">
        <v>3.0</v>
      </c>
      <c r="C3380" s="28">
        <v>53.4896509258419</v>
      </c>
      <c r="D3380" s="28">
        <v>9.98924467177153</v>
      </c>
      <c r="E3380" s="28" t="s">
        <v>15</v>
      </c>
      <c r="F3380" s="28" t="s">
        <v>168</v>
      </c>
      <c r="G3380" s="29" t="s">
        <v>614</v>
      </c>
      <c r="H3380" s="30" t="s">
        <v>1107</v>
      </c>
      <c r="J3380" s="31">
        <f t="shared" si="9"/>
        <v>20</v>
      </c>
    </row>
    <row r="3381">
      <c r="A3381" s="28">
        <v>57.0</v>
      </c>
      <c r="B3381" s="28">
        <v>4.0</v>
      </c>
      <c r="C3381" s="28">
        <v>53.4896383986665</v>
      </c>
      <c r="D3381" s="28">
        <v>9.98948532920462</v>
      </c>
      <c r="E3381" s="28" t="s">
        <v>15</v>
      </c>
      <c r="F3381" s="28" t="s">
        <v>168</v>
      </c>
      <c r="G3381" s="29" t="s">
        <v>26</v>
      </c>
      <c r="H3381" s="30" t="str">
        <f>HYPERLINK("https://www.munzee.com/m/Elli/6637/", "Elli/6637")</f>
        <v>Elli/6637</v>
      </c>
      <c r="J3381" s="31">
        <f t="shared" si="9"/>
        <v>143</v>
      </c>
    </row>
    <row r="3382">
      <c r="A3382" s="28">
        <v>57.0</v>
      </c>
      <c r="B3382" s="28">
        <v>5.0</v>
      </c>
      <c r="C3382" s="28">
        <v>53.4896258714911</v>
      </c>
      <c r="D3382" s="28">
        <v>9.98972598656666</v>
      </c>
      <c r="E3382" s="28" t="s">
        <v>15</v>
      </c>
      <c r="F3382" s="28" t="s">
        <v>168</v>
      </c>
      <c r="G3382" s="29" t="s">
        <v>1106</v>
      </c>
      <c r="H3382" s="30" t="str">
        <f>HYPERLINK("https://www.munzee.com/m/ichbinderneue/1728/", "ichbinderneue/1728")</f>
        <v>ichbinderneue/1728</v>
      </c>
      <c r="J3382" s="31">
        <f t="shared" si="9"/>
        <v>10</v>
      </c>
    </row>
    <row r="3383">
      <c r="A3383" s="28">
        <v>57.0</v>
      </c>
      <c r="B3383" s="28">
        <v>6.0</v>
      </c>
      <c r="C3383" s="28">
        <v>53.4896133443157</v>
      </c>
      <c r="D3383" s="28">
        <v>9.98996664385765</v>
      </c>
      <c r="E3383" s="28" t="s">
        <v>15</v>
      </c>
      <c r="F3383" s="28" t="s">
        <v>168</v>
      </c>
      <c r="G3383" s="29" t="s">
        <v>40</v>
      </c>
      <c r="H3383" s="30" t="str">
        <f>HYPERLINK("https://www.munzee.com/m/csThanner/1940/", "csThanner/1940")</f>
        <v>csThanner/1940</v>
      </c>
      <c r="J3383" s="31">
        <f t="shared" si="9"/>
        <v>88</v>
      </c>
    </row>
    <row r="3384">
      <c r="A3384" s="28">
        <v>57.0</v>
      </c>
      <c r="B3384" s="28">
        <v>7.0</v>
      </c>
      <c r="C3384" s="28">
        <v>53.4896008171403</v>
      </c>
      <c r="D3384" s="28">
        <v>9.99020730107759</v>
      </c>
      <c r="E3384" s="28" t="s">
        <v>15</v>
      </c>
      <c r="F3384" s="28" t="s">
        <v>168</v>
      </c>
      <c r="G3384" s="29" t="s">
        <v>26</v>
      </c>
      <c r="H3384" s="30" t="str">
        <f>HYPERLINK("https://www.munzee.com/m/Elli/6559/", "Elli/6559")</f>
        <v>Elli/6559</v>
      </c>
      <c r="J3384" s="31">
        <f t="shared" si="9"/>
        <v>143</v>
      </c>
    </row>
    <row r="3385">
      <c r="A3385" s="28">
        <v>57.0</v>
      </c>
      <c r="B3385" s="28">
        <v>8.0</v>
      </c>
      <c r="C3385" s="28">
        <v>53.4895882899648</v>
      </c>
      <c r="D3385" s="28">
        <v>9.99044795822646</v>
      </c>
      <c r="E3385" s="28" t="s">
        <v>15</v>
      </c>
      <c r="F3385" s="28" t="s">
        <v>168</v>
      </c>
      <c r="G3385" s="29" t="s">
        <v>1106</v>
      </c>
      <c r="H3385" s="30" t="str">
        <f>HYPERLINK("https://www.munzee.com/m/ichbinderneue/1740/", "ichbinderneue/1740")</f>
        <v>ichbinderneue/1740</v>
      </c>
      <c r="J3385" s="31">
        <f t="shared" si="9"/>
        <v>10</v>
      </c>
    </row>
    <row r="3386">
      <c r="A3386" s="28">
        <v>57.0</v>
      </c>
      <c r="B3386" s="28">
        <v>9.0</v>
      </c>
      <c r="C3386" s="28">
        <v>53.4895757627894</v>
      </c>
      <c r="D3386" s="28">
        <v>9.99068861530418</v>
      </c>
      <c r="E3386" s="28" t="s">
        <v>15</v>
      </c>
      <c r="F3386" s="28" t="s">
        <v>168</v>
      </c>
      <c r="G3386" s="29" t="s">
        <v>40</v>
      </c>
      <c r="H3386" s="30" t="str">
        <f>HYPERLINK("https://www.munzee.com/m/csThanner/1946/", "csThanner/1946")</f>
        <v>csThanner/1946</v>
      </c>
      <c r="J3386" s="31">
        <f t="shared" si="9"/>
        <v>88</v>
      </c>
    </row>
    <row r="3387">
      <c r="A3387" s="28">
        <v>57.0</v>
      </c>
      <c r="B3387" s="28">
        <v>10.0</v>
      </c>
      <c r="C3387" s="28">
        <v>53.489563235614</v>
      </c>
      <c r="D3387" s="28">
        <v>9.99092927231083</v>
      </c>
      <c r="E3387" s="28" t="s">
        <v>15</v>
      </c>
      <c r="F3387" s="28" t="s">
        <v>168</v>
      </c>
      <c r="G3387" s="29" t="s">
        <v>26</v>
      </c>
      <c r="H3387" s="30" t="str">
        <f>HYPERLINK("https://www.munzee.com/m/Elli/6560/", "Elli/6560")</f>
        <v>Elli/6560</v>
      </c>
      <c r="J3387" s="31">
        <f t="shared" si="9"/>
        <v>143</v>
      </c>
    </row>
    <row r="3388">
      <c r="A3388" s="28">
        <v>57.0</v>
      </c>
      <c r="B3388" s="28">
        <v>11.0</v>
      </c>
      <c r="C3388" s="28">
        <v>53.4895507084386</v>
      </c>
      <c r="D3388" s="28">
        <v>9.99116992924643</v>
      </c>
      <c r="E3388" s="28" t="s">
        <v>15</v>
      </c>
      <c r="F3388" s="28" t="s">
        <v>168</v>
      </c>
      <c r="G3388" s="29" t="s">
        <v>1106</v>
      </c>
      <c r="H3388" s="30" t="str">
        <f>HYPERLINK("https://www.munzee.com/m/ichbinderneue/1741/", "ichbinderneue/1741")</f>
        <v>ichbinderneue/1741</v>
      </c>
      <c r="J3388" s="31">
        <f t="shared" si="9"/>
        <v>10</v>
      </c>
    </row>
    <row r="3389">
      <c r="A3389" s="28">
        <v>57.0</v>
      </c>
      <c r="B3389" s="28">
        <v>12.0</v>
      </c>
      <c r="C3389" s="28">
        <v>53.4895381812632</v>
      </c>
      <c r="D3389" s="28">
        <v>9.99141058611098</v>
      </c>
      <c r="E3389" s="28" t="s">
        <v>15</v>
      </c>
      <c r="F3389" s="28" t="s">
        <v>168</v>
      </c>
      <c r="G3389" s="29" t="s">
        <v>40</v>
      </c>
      <c r="H3389" s="30" t="str">
        <f>HYPERLINK("https://www.munzee.com/m/csThanner/1947/", "csThanner/1947")</f>
        <v>csThanner/1947</v>
      </c>
      <c r="J3389" s="31">
        <f t="shared" si="9"/>
        <v>88</v>
      </c>
    </row>
    <row r="3390">
      <c r="A3390" s="28">
        <v>57.0</v>
      </c>
      <c r="B3390" s="28">
        <v>13.0</v>
      </c>
      <c r="C3390" s="28">
        <v>53.4895256540877</v>
      </c>
      <c r="D3390" s="28">
        <v>9.99165124290436</v>
      </c>
      <c r="E3390" s="28" t="s">
        <v>15</v>
      </c>
      <c r="F3390" s="28" t="s">
        <v>168</v>
      </c>
      <c r="G3390" s="29" t="s">
        <v>26</v>
      </c>
      <c r="H3390" s="30" t="str">
        <f>HYPERLINK("https://www.munzee.com/m/Elli/6561/", "Elli/6561")</f>
        <v>Elli/6561</v>
      </c>
      <c r="J3390" s="31">
        <f t="shared" si="9"/>
        <v>143</v>
      </c>
    </row>
    <row r="3391">
      <c r="A3391" s="28">
        <v>57.0</v>
      </c>
      <c r="B3391" s="28">
        <v>14.0</v>
      </c>
      <c r="C3391" s="28">
        <v>53.4895131269123</v>
      </c>
      <c r="D3391" s="28">
        <v>9.99189189962669</v>
      </c>
      <c r="E3391" s="28" t="s">
        <v>15</v>
      </c>
      <c r="F3391" s="28" t="s">
        <v>168</v>
      </c>
      <c r="G3391" s="29" t="s">
        <v>1106</v>
      </c>
      <c r="H3391" s="30" t="str">
        <f>HYPERLINK("https://www.munzee.com/m/ichbinderneue/1796/", "ichbinderneue/1796")</f>
        <v>ichbinderneue/1796</v>
      </c>
      <c r="J3391" s="31">
        <f t="shared" si="9"/>
        <v>10</v>
      </c>
    </row>
    <row r="3392">
      <c r="A3392" s="28">
        <v>57.0</v>
      </c>
      <c r="B3392" s="28">
        <v>15.0</v>
      </c>
      <c r="C3392" s="28">
        <v>53.4895005997369</v>
      </c>
      <c r="D3392" s="28">
        <v>9.99213255627796</v>
      </c>
      <c r="E3392" s="28" t="s">
        <v>15</v>
      </c>
      <c r="F3392" s="28" t="s">
        <v>168</v>
      </c>
      <c r="G3392" s="29" t="s">
        <v>614</v>
      </c>
      <c r="H3392" s="30" t="s">
        <v>1108</v>
      </c>
      <c r="J3392" s="31">
        <f t="shared" si="9"/>
        <v>20</v>
      </c>
    </row>
    <row r="3393">
      <c r="A3393" s="28">
        <v>57.0</v>
      </c>
      <c r="B3393" s="28">
        <v>16.0</v>
      </c>
      <c r="C3393" s="28">
        <v>53.4894880725615</v>
      </c>
      <c r="D3393" s="28">
        <v>9.99237321285818</v>
      </c>
      <c r="E3393" s="28" t="s">
        <v>15</v>
      </c>
      <c r="F3393" s="28" t="s">
        <v>168</v>
      </c>
      <c r="G3393" s="29" t="s">
        <v>26</v>
      </c>
      <c r="H3393" s="30" t="str">
        <f>HYPERLINK("https://www.munzee.com/m/Elli/6566/", "Elli/6566")</f>
        <v>Elli/6566</v>
      </c>
      <c r="J3393" s="31">
        <f t="shared" si="9"/>
        <v>143</v>
      </c>
    </row>
    <row r="3394">
      <c r="A3394" s="28">
        <v>57.0</v>
      </c>
      <c r="B3394" s="28">
        <v>17.0</v>
      </c>
      <c r="C3394" s="28">
        <v>53.4894755453861</v>
      </c>
      <c r="D3394" s="28">
        <v>9.99261386936723</v>
      </c>
      <c r="E3394" s="28" t="s">
        <v>15</v>
      </c>
      <c r="F3394" s="28" t="s">
        <v>168</v>
      </c>
      <c r="G3394" s="29" t="s">
        <v>1106</v>
      </c>
      <c r="H3394" s="30" t="str">
        <f>HYPERLINK("https://www.munzee.com/m/ichbinderneue/1797/", "ichbinderneue/1797")</f>
        <v>ichbinderneue/1797</v>
      </c>
      <c r="J3394" s="31">
        <f t="shared" si="9"/>
        <v>10</v>
      </c>
    </row>
    <row r="3395">
      <c r="A3395" s="28">
        <v>57.0</v>
      </c>
      <c r="B3395" s="28">
        <v>18.0</v>
      </c>
      <c r="C3395" s="28">
        <v>53.4894630182107</v>
      </c>
      <c r="D3395" s="28">
        <v>9.99285452580522</v>
      </c>
      <c r="E3395" s="28" t="s">
        <v>15</v>
      </c>
      <c r="F3395" s="28" t="s">
        <v>168</v>
      </c>
      <c r="G3395" s="29" t="s">
        <v>614</v>
      </c>
      <c r="H3395" s="30" t="s">
        <v>1109</v>
      </c>
      <c r="J3395" s="31">
        <f t="shared" si="9"/>
        <v>20</v>
      </c>
    </row>
    <row r="3396">
      <c r="A3396" s="28">
        <v>57.0</v>
      </c>
      <c r="B3396" s="28">
        <v>19.0</v>
      </c>
      <c r="C3396" s="28">
        <v>53.4894504910352</v>
      </c>
      <c r="D3396" s="28">
        <v>9.99309518217217</v>
      </c>
      <c r="E3396" s="28" t="s">
        <v>15</v>
      </c>
      <c r="F3396" s="28" t="s">
        <v>168</v>
      </c>
      <c r="G3396" s="29" t="s">
        <v>26</v>
      </c>
      <c r="H3396" s="30" t="str">
        <f>HYPERLINK("https://www.munzee.com/m/Elli/6571/", "Elli/6571")</f>
        <v>Elli/6571</v>
      </c>
      <c r="J3396" s="31">
        <f t="shared" si="9"/>
        <v>143</v>
      </c>
    </row>
    <row r="3397">
      <c r="A3397" s="28">
        <v>57.0</v>
      </c>
      <c r="B3397" s="28">
        <v>20.0</v>
      </c>
      <c r="C3397" s="28">
        <v>53.4894379638598</v>
      </c>
      <c r="D3397" s="28">
        <v>9.99333583846805</v>
      </c>
      <c r="E3397" s="28" t="s">
        <v>15</v>
      </c>
      <c r="F3397" s="28" t="s">
        <v>168</v>
      </c>
      <c r="G3397" s="29" t="s">
        <v>1106</v>
      </c>
      <c r="H3397" s="30" t="str">
        <f>HYPERLINK("https://www.munzee.com/m/ichbinderneue/1799/", "ichbinderneue/1799")</f>
        <v>ichbinderneue/1799</v>
      </c>
      <c r="J3397" s="31">
        <f t="shared" si="9"/>
        <v>10</v>
      </c>
    </row>
    <row r="3398">
      <c r="A3398" s="28">
        <v>57.0</v>
      </c>
      <c r="B3398" s="28">
        <v>21.0</v>
      </c>
      <c r="C3398" s="28">
        <v>53.4894254366844</v>
      </c>
      <c r="D3398" s="28">
        <v>9.99357649469288</v>
      </c>
      <c r="E3398" s="28" t="s">
        <v>15</v>
      </c>
      <c r="F3398" s="28" t="s">
        <v>168</v>
      </c>
      <c r="G3398" s="29" t="s">
        <v>614</v>
      </c>
      <c r="H3398" s="30" t="s">
        <v>1110</v>
      </c>
      <c r="J3398" s="31">
        <f t="shared" si="9"/>
        <v>20</v>
      </c>
    </row>
    <row r="3399">
      <c r="A3399" s="28">
        <v>57.0</v>
      </c>
      <c r="B3399" s="28">
        <v>22.0</v>
      </c>
      <c r="C3399" s="28">
        <v>53.489412909509</v>
      </c>
      <c r="D3399" s="28">
        <v>9.99381715084655</v>
      </c>
      <c r="E3399" s="28" t="s">
        <v>15</v>
      </c>
      <c r="F3399" s="28" t="s">
        <v>168</v>
      </c>
      <c r="G3399" s="29" t="s">
        <v>26</v>
      </c>
      <c r="H3399" s="30" t="str">
        <f>HYPERLINK("https://www.munzee.com/m/Elli/6384/", "Elli/6384")</f>
        <v>Elli/6384</v>
      </c>
      <c r="J3399" s="31">
        <f t="shared" si="9"/>
        <v>143</v>
      </c>
    </row>
    <row r="3400">
      <c r="A3400" s="28">
        <v>57.0</v>
      </c>
      <c r="B3400" s="28">
        <v>23.0</v>
      </c>
      <c r="C3400" s="28">
        <v>53.4894003823335</v>
      </c>
      <c r="D3400" s="28">
        <v>9.99405780692916</v>
      </c>
      <c r="E3400" s="28" t="s">
        <v>15</v>
      </c>
      <c r="F3400" s="28" t="s">
        <v>168</v>
      </c>
      <c r="G3400" s="29" t="s">
        <v>1106</v>
      </c>
      <c r="H3400" s="30" t="str">
        <f>HYPERLINK("https://www.munzee.com/m/ichbinderneue/1800/", "ichbinderneue/1800")</f>
        <v>ichbinderneue/1800</v>
      </c>
      <c r="J3400" s="31">
        <f t="shared" si="9"/>
        <v>10</v>
      </c>
    </row>
    <row r="3401">
      <c r="A3401" s="28">
        <v>57.0</v>
      </c>
      <c r="B3401" s="28">
        <v>24.0</v>
      </c>
      <c r="C3401" s="28">
        <v>53.4893878551581</v>
      </c>
      <c r="D3401" s="28">
        <v>9.99429846294072</v>
      </c>
      <c r="E3401" s="28" t="s">
        <v>15</v>
      </c>
      <c r="F3401" s="28" t="s">
        <v>168</v>
      </c>
      <c r="G3401" s="29" t="s">
        <v>614</v>
      </c>
      <c r="H3401" s="30" t="s">
        <v>1111</v>
      </c>
      <c r="J3401" s="31">
        <f t="shared" si="9"/>
        <v>20</v>
      </c>
    </row>
    <row r="3402">
      <c r="A3402" s="28">
        <v>57.0</v>
      </c>
      <c r="B3402" s="28">
        <v>25.0</v>
      </c>
      <c r="C3402" s="28">
        <v>53.4893753279827</v>
      </c>
      <c r="D3402" s="28">
        <v>9.99453911888122</v>
      </c>
      <c r="E3402" s="28" t="s">
        <v>15</v>
      </c>
      <c r="F3402" s="28" t="s">
        <v>168</v>
      </c>
      <c r="G3402" s="29" t="s">
        <v>26</v>
      </c>
      <c r="H3402" s="30" t="str">
        <f>HYPERLINK("https://www.munzee.com/m/Elli/6507/", "Elli/6507")</f>
        <v>Elli/6507</v>
      </c>
      <c r="J3402" s="31">
        <f t="shared" si="9"/>
        <v>143</v>
      </c>
    </row>
    <row r="3403">
      <c r="A3403" s="28">
        <v>57.0</v>
      </c>
      <c r="B3403" s="28">
        <v>26.0</v>
      </c>
      <c r="C3403" s="28">
        <v>53.4893628008073</v>
      </c>
      <c r="D3403" s="28">
        <v>9.99477977475055</v>
      </c>
      <c r="E3403" s="28" t="s">
        <v>15</v>
      </c>
      <c r="F3403" s="28" t="s">
        <v>168</v>
      </c>
      <c r="G3403" s="29" t="s">
        <v>1106</v>
      </c>
      <c r="H3403" s="30" t="str">
        <f>HYPERLINK("https://www.munzee.com/m/ichbinderneue/1801/", "ichbinderneue/1801")</f>
        <v>ichbinderneue/1801</v>
      </c>
      <c r="J3403" s="31">
        <f t="shared" si="9"/>
        <v>10</v>
      </c>
    </row>
    <row r="3404">
      <c r="A3404" s="28">
        <v>57.0</v>
      </c>
      <c r="B3404" s="28">
        <v>27.0</v>
      </c>
      <c r="C3404" s="28">
        <v>53.4893502736319</v>
      </c>
      <c r="D3404" s="28">
        <v>9.99502043054883</v>
      </c>
      <c r="E3404" s="28" t="s">
        <v>15</v>
      </c>
      <c r="F3404" s="28" t="s">
        <v>168</v>
      </c>
      <c r="G3404" s="38"/>
      <c r="H3404" s="30" t="s">
        <v>1112</v>
      </c>
      <c r="J3404" s="31">
        <f t="shared" si="9"/>
        <v>0</v>
      </c>
    </row>
    <row r="3405">
      <c r="A3405" s="28">
        <v>57.0</v>
      </c>
      <c r="B3405" s="28">
        <v>28.0</v>
      </c>
      <c r="C3405" s="28">
        <v>53.4893377464565</v>
      </c>
      <c r="D3405" s="28">
        <v>9.99526108627606</v>
      </c>
      <c r="E3405" s="28" t="s">
        <v>15</v>
      </c>
      <c r="F3405" s="28" t="s">
        <v>168</v>
      </c>
      <c r="G3405" s="29" t="s">
        <v>26</v>
      </c>
      <c r="H3405" s="30" t="str">
        <f>HYPERLINK("https://www.munzee.com/m/Elli/6520/", "Elli/6520")</f>
        <v>Elli/6520</v>
      </c>
      <c r="J3405" s="31">
        <f t="shared" si="9"/>
        <v>143</v>
      </c>
    </row>
    <row r="3406">
      <c r="A3406" s="28">
        <v>57.0</v>
      </c>
      <c r="B3406" s="28">
        <v>29.0</v>
      </c>
      <c r="C3406" s="28">
        <v>53.489325219281</v>
      </c>
      <c r="D3406" s="28">
        <v>9.99550174193223</v>
      </c>
      <c r="E3406" s="28" t="s">
        <v>15</v>
      </c>
      <c r="F3406" s="28" t="s">
        <v>168</v>
      </c>
      <c r="G3406" s="29" t="s">
        <v>1106</v>
      </c>
      <c r="H3406" s="30" t="str">
        <f>HYPERLINK("https://www.munzee.com/m/ichbinderneue/1804/", "ichbinderneue/1804")</f>
        <v>ichbinderneue/1804</v>
      </c>
      <c r="J3406" s="31">
        <f t="shared" si="9"/>
        <v>10</v>
      </c>
    </row>
    <row r="3407">
      <c r="A3407" s="28">
        <v>57.0</v>
      </c>
      <c r="B3407" s="28">
        <v>30.0</v>
      </c>
      <c r="C3407" s="28">
        <v>53.4893126921056</v>
      </c>
      <c r="D3407" s="28">
        <v>9.99574239751723</v>
      </c>
      <c r="E3407" s="28" t="s">
        <v>15</v>
      </c>
      <c r="F3407" s="28" t="s">
        <v>168</v>
      </c>
      <c r="G3407" s="29" t="s">
        <v>722</v>
      </c>
      <c r="H3407" s="35" t="s">
        <v>1113</v>
      </c>
      <c r="J3407" s="31">
        <f t="shared" si="9"/>
        <v>48</v>
      </c>
    </row>
    <row r="3408">
      <c r="A3408" s="28">
        <v>57.0</v>
      </c>
      <c r="B3408" s="28">
        <v>31.0</v>
      </c>
      <c r="C3408" s="28">
        <v>53.4893001649302</v>
      </c>
      <c r="D3408" s="28">
        <v>9.99598305303118</v>
      </c>
      <c r="E3408" s="28" t="s">
        <v>15</v>
      </c>
      <c r="F3408" s="28" t="s">
        <v>168</v>
      </c>
      <c r="G3408" s="29" t="s">
        <v>26</v>
      </c>
      <c r="H3408" s="30" t="str">
        <f>HYPERLINK("https://www.munzee.com/m/Elli/6522/", "Elli/6522")</f>
        <v>Elli/6522</v>
      </c>
      <c r="J3408" s="31">
        <f t="shared" si="9"/>
        <v>143</v>
      </c>
    </row>
    <row r="3409">
      <c r="A3409" s="28">
        <v>57.0</v>
      </c>
      <c r="B3409" s="28">
        <v>32.0</v>
      </c>
      <c r="C3409" s="28">
        <v>53.4892876377548</v>
      </c>
      <c r="D3409" s="28">
        <v>9.99622370847407</v>
      </c>
      <c r="E3409" s="28" t="s">
        <v>15</v>
      </c>
      <c r="F3409" s="28" t="s">
        <v>168</v>
      </c>
      <c r="G3409" s="29" t="s">
        <v>614</v>
      </c>
      <c r="H3409" s="30" t="str">
        <f>HYPERLINK("https://www.munzee.com/m/MrIVV/2565/", "MrIVV/2565")</f>
        <v>MrIVV/2565</v>
      </c>
      <c r="J3409" s="31">
        <f t="shared" si="9"/>
        <v>20</v>
      </c>
    </row>
    <row r="3410">
      <c r="A3410" s="28">
        <v>57.0</v>
      </c>
      <c r="B3410" s="28">
        <v>33.0</v>
      </c>
      <c r="C3410" s="28">
        <v>53.4892751105794</v>
      </c>
      <c r="D3410" s="28">
        <v>9.99646436384591</v>
      </c>
      <c r="E3410" s="28" t="s">
        <v>15</v>
      </c>
      <c r="F3410" s="28" t="s">
        <v>168</v>
      </c>
      <c r="G3410" s="29" t="s">
        <v>722</v>
      </c>
      <c r="H3410" s="30" t="s">
        <v>1114</v>
      </c>
      <c r="J3410" s="31">
        <f>COUNTIF($G$18:$G$3617,G3412)</f>
        <v>4</v>
      </c>
    </row>
    <row r="3411">
      <c r="A3411" s="28">
        <v>57.0</v>
      </c>
      <c r="B3411" s="28">
        <v>34.0</v>
      </c>
      <c r="C3411" s="28">
        <v>53.489262583404</v>
      </c>
      <c r="D3411" s="28">
        <v>9.9967050191467</v>
      </c>
      <c r="E3411" s="28" t="s">
        <v>15</v>
      </c>
      <c r="F3411" s="28" t="s">
        <v>168</v>
      </c>
      <c r="G3411" s="29" t="s">
        <v>26</v>
      </c>
      <c r="H3411" s="30" t="str">
        <f>HYPERLINK("https://www.munzee.com/m/Elli/6528/", "Elli/6528")</f>
        <v>Elli/6528</v>
      </c>
      <c r="J3411" s="31">
        <f>COUNTIF($G$18:$G$3617,G3411)</f>
        <v>143</v>
      </c>
    </row>
    <row r="3412">
      <c r="A3412" s="28">
        <v>57.0</v>
      </c>
      <c r="B3412" s="28">
        <v>35.0</v>
      </c>
      <c r="C3412" s="28">
        <v>53.4892500562285</v>
      </c>
      <c r="D3412" s="28">
        <v>9.99694567437632</v>
      </c>
      <c r="E3412" s="28" t="s">
        <v>15</v>
      </c>
      <c r="F3412" s="28" t="s">
        <v>168</v>
      </c>
      <c r="G3412" s="29" t="s">
        <v>1021</v>
      </c>
      <c r="H3412" s="30" t="str">
        <f>HYPERLINK("https://www.munzee.com/m/BennyKjeldEgon/142", "BennyKjeldEgon/142")</f>
        <v>BennyKjeldEgon/142</v>
      </c>
      <c r="J3412" s="31">
        <f>COUNTIF($G$18:$G$3617,#REF!)</f>
        <v>0</v>
      </c>
    </row>
    <row r="3413">
      <c r="A3413" s="28">
        <v>57.0</v>
      </c>
      <c r="B3413" s="28">
        <v>36.0</v>
      </c>
      <c r="C3413" s="28">
        <v>53.4892375290531</v>
      </c>
      <c r="D3413" s="28">
        <v>9.99718632953488</v>
      </c>
      <c r="E3413" s="28" t="s">
        <v>15</v>
      </c>
      <c r="F3413" s="28" t="s">
        <v>168</v>
      </c>
      <c r="G3413" s="29" t="s">
        <v>722</v>
      </c>
      <c r="H3413" s="30" t="s">
        <v>1115</v>
      </c>
      <c r="J3413" s="31">
        <f t="shared" ref="J3413:J3617" si="10">COUNTIF($G$18:$G$3617,G3413)</f>
        <v>48</v>
      </c>
    </row>
    <row r="3414">
      <c r="A3414" s="28">
        <v>57.0</v>
      </c>
      <c r="B3414" s="28">
        <v>37.0</v>
      </c>
      <c r="C3414" s="28">
        <v>53.4892250018777</v>
      </c>
      <c r="D3414" s="28">
        <v>9.99742698462239</v>
      </c>
      <c r="E3414" s="28" t="s">
        <v>15</v>
      </c>
      <c r="F3414" s="28" t="s">
        <v>168</v>
      </c>
      <c r="G3414" s="29" t="s">
        <v>26</v>
      </c>
      <c r="H3414" s="30" t="str">
        <f>HYPERLINK("https://www.munzee.com/m/Elli/6534/", "Elli/6534")</f>
        <v>Elli/6534</v>
      </c>
      <c r="J3414" s="31">
        <f t="shared" si="10"/>
        <v>143</v>
      </c>
    </row>
    <row r="3415">
      <c r="A3415" s="28">
        <v>57.0</v>
      </c>
      <c r="B3415" s="28">
        <v>38.0</v>
      </c>
      <c r="C3415" s="28">
        <v>53.4892124747023</v>
      </c>
      <c r="D3415" s="28">
        <v>9.99766763963884</v>
      </c>
      <c r="E3415" s="28" t="s">
        <v>15</v>
      </c>
      <c r="F3415" s="28" t="s">
        <v>168</v>
      </c>
      <c r="G3415" s="29" t="s">
        <v>614</v>
      </c>
      <c r="H3415" s="30" t="str">
        <f>HYPERLINK("https://www.munzee.com/m/MrIVV/2564/", "MrIVV/2564")</f>
        <v>MrIVV/2564</v>
      </c>
      <c r="J3415" s="31">
        <f t="shared" si="10"/>
        <v>20</v>
      </c>
    </row>
    <row r="3416">
      <c r="A3416" s="28">
        <v>57.0</v>
      </c>
      <c r="B3416" s="28">
        <v>39.0</v>
      </c>
      <c r="C3416" s="28">
        <v>53.4891999475269</v>
      </c>
      <c r="D3416" s="28">
        <v>9.99790829458413</v>
      </c>
      <c r="E3416" s="28" t="s">
        <v>15</v>
      </c>
      <c r="F3416" s="28" t="s">
        <v>168</v>
      </c>
      <c r="G3416" s="29" t="s">
        <v>309</v>
      </c>
      <c r="H3416" s="33" t="s">
        <v>1116</v>
      </c>
      <c r="J3416" s="31">
        <f t="shared" si="10"/>
        <v>2</v>
      </c>
    </row>
    <row r="3417">
      <c r="A3417" s="28">
        <v>57.0</v>
      </c>
      <c r="B3417" s="28">
        <v>40.0</v>
      </c>
      <c r="C3417" s="28">
        <v>53.4891874203514</v>
      </c>
      <c r="D3417" s="28">
        <v>9.99814894945836</v>
      </c>
      <c r="E3417" s="28" t="s">
        <v>15</v>
      </c>
      <c r="F3417" s="28" t="s">
        <v>168</v>
      </c>
      <c r="G3417" s="29" t="s">
        <v>26</v>
      </c>
      <c r="H3417" s="30" t="str">
        <f>HYPERLINK("https://www.munzee.com/m/Elli/6530/", "Elli/6530")</f>
        <v>Elli/6530</v>
      </c>
      <c r="J3417" s="31">
        <f t="shared" si="10"/>
        <v>143</v>
      </c>
    </row>
    <row r="3418">
      <c r="A3418" s="28">
        <v>57.0</v>
      </c>
      <c r="B3418" s="28">
        <v>41.0</v>
      </c>
      <c r="C3418" s="28">
        <v>53.489174893176</v>
      </c>
      <c r="D3418" s="28">
        <v>9.99838960426154</v>
      </c>
      <c r="E3418" s="28" t="s">
        <v>15</v>
      </c>
      <c r="F3418" s="28" t="s">
        <v>168</v>
      </c>
      <c r="G3418" s="29" t="s">
        <v>614</v>
      </c>
      <c r="H3418" s="30" t="str">
        <f>HYPERLINK("https://www.munzee.com/m/MrIVV/2413/", "MrIVV/2413")</f>
        <v>MrIVV/2413</v>
      </c>
      <c r="J3418" s="31">
        <f t="shared" si="10"/>
        <v>20</v>
      </c>
    </row>
    <row r="3419">
      <c r="A3419" s="28">
        <v>57.0</v>
      </c>
      <c r="B3419" s="28">
        <v>42.0</v>
      </c>
      <c r="C3419" s="28">
        <v>53.4891623660006</v>
      </c>
      <c r="D3419" s="28">
        <v>9.99863025899367</v>
      </c>
      <c r="E3419" s="28" t="s">
        <v>15</v>
      </c>
      <c r="F3419" s="28" t="s">
        <v>168</v>
      </c>
      <c r="G3419" s="29" t="s">
        <v>214</v>
      </c>
      <c r="H3419" s="30" t="str">
        <f>HYPERLINK("https://www.munzee.com/m/90mile/640/", "90mile/640")</f>
        <v>90mile/640</v>
      </c>
      <c r="J3419" s="31">
        <f t="shared" si="10"/>
        <v>25</v>
      </c>
    </row>
    <row r="3420">
      <c r="A3420" s="28">
        <v>57.0</v>
      </c>
      <c r="B3420" s="28">
        <v>43.0</v>
      </c>
      <c r="C3420" s="28">
        <v>53.4891498388252</v>
      </c>
      <c r="D3420" s="28">
        <v>9.99887091365462</v>
      </c>
      <c r="E3420" s="28" t="s">
        <v>15</v>
      </c>
      <c r="F3420" s="28" t="s">
        <v>168</v>
      </c>
      <c r="G3420" s="29" t="s">
        <v>26</v>
      </c>
      <c r="H3420" s="30" t="str">
        <f>HYPERLINK("https://www.munzee.com/m/Elli/6535/", "Elli/6535")</f>
        <v>Elli/6535</v>
      </c>
      <c r="J3420" s="31">
        <f t="shared" si="10"/>
        <v>143</v>
      </c>
    </row>
    <row r="3421">
      <c r="A3421" s="28">
        <v>57.0</v>
      </c>
      <c r="B3421" s="28">
        <v>44.0</v>
      </c>
      <c r="C3421" s="28">
        <v>53.4891373116498</v>
      </c>
      <c r="D3421" s="28">
        <v>9.99911156824453</v>
      </c>
      <c r="E3421" s="28" t="s">
        <v>15</v>
      </c>
      <c r="F3421" s="28" t="s">
        <v>168</v>
      </c>
      <c r="G3421" s="29" t="s">
        <v>614</v>
      </c>
      <c r="H3421" s="30" t="str">
        <f>HYPERLINK("https://www.munzee.com/m/MrIVV/2395/", "MrIVV/2395")</f>
        <v>MrIVV/2395</v>
      </c>
      <c r="J3421" s="31">
        <f t="shared" si="10"/>
        <v>20</v>
      </c>
    </row>
    <row r="3422">
      <c r="A3422" s="28">
        <v>57.0</v>
      </c>
      <c r="B3422" s="28">
        <v>45.0</v>
      </c>
      <c r="C3422" s="28">
        <v>53.4891247844744</v>
      </c>
      <c r="D3422" s="28">
        <v>9.99935222276337</v>
      </c>
      <c r="E3422" s="28" t="s">
        <v>15</v>
      </c>
      <c r="F3422" s="28" t="s">
        <v>168</v>
      </c>
      <c r="G3422" s="29" t="s">
        <v>214</v>
      </c>
      <c r="H3422" s="30" t="str">
        <f>HYPERLINK("https://www.munzee.com/m/90mile/876/", "90mile/876")</f>
        <v>90mile/876</v>
      </c>
      <c r="J3422" s="31">
        <f t="shared" si="10"/>
        <v>25</v>
      </c>
    </row>
    <row r="3423">
      <c r="A3423" s="28">
        <v>57.0</v>
      </c>
      <c r="B3423" s="28">
        <v>46.0</v>
      </c>
      <c r="C3423" s="28">
        <v>53.4891122572989</v>
      </c>
      <c r="D3423" s="28">
        <v>9.99959287721117</v>
      </c>
      <c r="E3423" s="28" t="s">
        <v>15</v>
      </c>
      <c r="F3423" s="28" t="s">
        <v>168</v>
      </c>
      <c r="G3423" s="29" t="s">
        <v>26</v>
      </c>
      <c r="H3423" s="30" t="str">
        <f>HYPERLINK("https://www.munzee.com/m/Elli/6539/", "Elli/6539")</f>
        <v>Elli/6539</v>
      </c>
      <c r="J3423" s="31">
        <f t="shared" si="10"/>
        <v>143</v>
      </c>
    </row>
    <row r="3424">
      <c r="A3424" s="28">
        <v>57.0</v>
      </c>
      <c r="B3424" s="28">
        <v>47.0</v>
      </c>
      <c r="C3424" s="28">
        <v>53.4890997301235</v>
      </c>
      <c r="D3424" s="28">
        <v>9.99983353158791</v>
      </c>
      <c r="E3424" s="28" t="s">
        <v>15</v>
      </c>
      <c r="F3424" s="28" t="s">
        <v>168</v>
      </c>
      <c r="G3424" s="29" t="s">
        <v>614</v>
      </c>
      <c r="H3424" s="30" t="str">
        <f>HYPERLINK("https://www.munzee.com/m/MrIVV/2394/", "MrIVV/2394")</f>
        <v>MrIVV/2394</v>
      </c>
      <c r="J3424" s="31">
        <f t="shared" si="10"/>
        <v>20</v>
      </c>
    </row>
    <row r="3425">
      <c r="A3425" s="28">
        <v>57.0</v>
      </c>
      <c r="B3425" s="28">
        <v>48.0</v>
      </c>
      <c r="C3425" s="28">
        <v>53.4890872029481</v>
      </c>
      <c r="D3425" s="28">
        <v>10.0000741858934</v>
      </c>
      <c r="E3425" s="28" t="s">
        <v>15</v>
      </c>
      <c r="F3425" s="28" t="s">
        <v>168</v>
      </c>
      <c r="G3425" s="29" t="s">
        <v>214</v>
      </c>
      <c r="H3425" s="30" t="str">
        <f>HYPERLINK("https://www.munzee.com/m/90mile/878/", "90mile/878")</f>
        <v>90mile/878</v>
      </c>
      <c r="J3425" s="31">
        <f t="shared" si="10"/>
        <v>25</v>
      </c>
    </row>
    <row r="3426">
      <c r="A3426" s="28">
        <v>57.0</v>
      </c>
      <c r="B3426" s="28">
        <v>49.0</v>
      </c>
      <c r="C3426" s="28">
        <v>53.4890746757727</v>
      </c>
      <c r="D3426" s="28">
        <v>10.0003148401279</v>
      </c>
      <c r="E3426" s="28" t="s">
        <v>15</v>
      </c>
      <c r="F3426" s="28" t="s">
        <v>168</v>
      </c>
      <c r="G3426" s="29" t="s">
        <v>26</v>
      </c>
      <c r="H3426" s="30" t="str">
        <f>HYPERLINK("https://www.munzee.com/m/Elli/6546/", "Elli/6546")</f>
        <v>Elli/6546</v>
      </c>
      <c r="J3426" s="31">
        <f t="shared" si="10"/>
        <v>143</v>
      </c>
    </row>
    <row r="3427">
      <c r="A3427" s="28">
        <v>57.0</v>
      </c>
      <c r="B3427" s="28">
        <v>50.0</v>
      </c>
      <c r="C3427" s="28">
        <v>53.4890621485973</v>
      </c>
      <c r="D3427" s="28">
        <v>10.0005554942914</v>
      </c>
      <c r="E3427" s="28" t="s">
        <v>15</v>
      </c>
      <c r="F3427" s="28" t="s">
        <v>168</v>
      </c>
      <c r="G3427" s="29" t="s">
        <v>614</v>
      </c>
      <c r="H3427" s="30" t="str">
        <f>HYPERLINK("https://www.munzee.com/m/MrIVV/2390/", "MrIVV/2390")</f>
        <v>MrIVV/2390</v>
      </c>
      <c r="J3427" s="31">
        <f t="shared" si="10"/>
        <v>20</v>
      </c>
    </row>
    <row r="3428">
      <c r="A3428" s="28">
        <v>57.0</v>
      </c>
      <c r="B3428" s="28">
        <v>51.0</v>
      </c>
      <c r="C3428" s="28">
        <v>53.4890496214218</v>
      </c>
      <c r="D3428" s="28">
        <v>10.0007961483838</v>
      </c>
      <c r="E3428" s="28" t="s">
        <v>15</v>
      </c>
      <c r="F3428" s="28" t="s">
        <v>168</v>
      </c>
      <c r="G3428" s="29" t="s">
        <v>1117</v>
      </c>
      <c r="H3428" s="30" t="str">
        <f>HYPERLINK("https://www.munzee.com/m/cuttingcrew/2846/", "cuttingcrew/2846")</f>
        <v>cuttingcrew/2846</v>
      </c>
      <c r="J3428" s="31">
        <f t="shared" si="10"/>
        <v>3</v>
      </c>
    </row>
    <row r="3429">
      <c r="A3429" s="28">
        <v>57.0</v>
      </c>
      <c r="B3429" s="28">
        <v>52.0</v>
      </c>
      <c r="C3429" s="28">
        <v>53.4890370942464</v>
      </c>
      <c r="D3429" s="28">
        <v>10.0010368024052</v>
      </c>
      <c r="E3429" s="28" t="s">
        <v>15</v>
      </c>
      <c r="F3429" s="28" t="s">
        <v>168</v>
      </c>
      <c r="G3429" s="29" t="s">
        <v>26</v>
      </c>
      <c r="H3429" s="30" t="str">
        <f>HYPERLINK("https://www.munzee.com/m/Elli/6548/", "Elli/6548")</f>
        <v>Elli/6548</v>
      </c>
      <c r="J3429" s="31">
        <f t="shared" si="10"/>
        <v>143</v>
      </c>
    </row>
    <row r="3430">
      <c r="A3430" s="28">
        <v>57.0</v>
      </c>
      <c r="B3430" s="28">
        <v>53.0</v>
      </c>
      <c r="C3430" s="28">
        <v>53.489024567071</v>
      </c>
      <c r="D3430" s="28">
        <v>10.0012774563554</v>
      </c>
      <c r="E3430" s="28" t="s">
        <v>15</v>
      </c>
      <c r="F3430" s="28" t="s">
        <v>168</v>
      </c>
      <c r="G3430" s="29" t="s">
        <v>614</v>
      </c>
      <c r="H3430" s="30" t="str">
        <f>HYPERLINK("https://www.munzee.com/m/MrIVV/2389/", "MrIVV/2389")</f>
        <v>MrIVV/2389</v>
      </c>
      <c r="J3430" s="31">
        <f t="shared" si="10"/>
        <v>20</v>
      </c>
    </row>
    <row r="3431">
      <c r="A3431" s="28">
        <v>57.0</v>
      </c>
      <c r="B3431" s="28">
        <v>54.0</v>
      </c>
      <c r="C3431" s="28">
        <v>53.4890120398956</v>
      </c>
      <c r="D3431" s="28">
        <v>10.0015181102345</v>
      </c>
      <c r="E3431" s="28" t="s">
        <v>15</v>
      </c>
      <c r="F3431" s="28" t="s">
        <v>168</v>
      </c>
      <c r="G3431" s="29" t="s">
        <v>1117</v>
      </c>
      <c r="H3431" s="30" t="str">
        <f>HYPERLINK("https://www.munzee.com/m/cuttingcrew/2848", "cuttingcrew/2848")</f>
        <v>cuttingcrew/2848</v>
      </c>
      <c r="J3431" s="31">
        <f t="shared" si="10"/>
        <v>3</v>
      </c>
    </row>
    <row r="3432">
      <c r="A3432" s="28">
        <v>57.0</v>
      </c>
      <c r="B3432" s="28">
        <v>55.0</v>
      </c>
      <c r="C3432" s="28">
        <v>53.4889995127202</v>
      </c>
      <c r="D3432" s="28">
        <v>10.0017587640426</v>
      </c>
      <c r="E3432" s="28" t="s">
        <v>15</v>
      </c>
      <c r="F3432" s="28" t="s">
        <v>168</v>
      </c>
      <c r="G3432" s="29" t="s">
        <v>26</v>
      </c>
      <c r="H3432" s="30" t="str">
        <f>HYPERLINK("https://www.munzee.com/m/Elli/6241/", "Elli/6241")</f>
        <v>Elli/6241</v>
      </c>
      <c r="J3432" s="31">
        <f t="shared" si="10"/>
        <v>143</v>
      </c>
    </row>
    <row r="3433">
      <c r="A3433" s="28">
        <v>57.0</v>
      </c>
      <c r="B3433" s="28">
        <v>56.0</v>
      </c>
      <c r="C3433" s="28">
        <v>53.4889869855448</v>
      </c>
      <c r="D3433" s="28">
        <v>10.0019994177796</v>
      </c>
      <c r="E3433" s="28" t="s">
        <v>15</v>
      </c>
      <c r="F3433" s="28" t="s">
        <v>168</v>
      </c>
      <c r="G3433" s="29" t="s">
        <v>614</v>
      </c>
      <c r="H3433" s="30" t="str">
        <f>HYPERLINK("https://www.munzee.com/m/MrIVV/2388/", "MrIVV/2388")</f>
        <v>MrIVV/2388</v>
      </c>
      <c r="J3433" s="31">
        <f t="shared" si="10"/>
        <v>20</v>
      </c>
    </row>
    <row r="3434">
      <c r="A3434" s="28">
        <v>57.0</v>
      </c>
      <c r="B3434" s="28">
        <v>57.0</v>
      </c>
      <c r="C3434" s="28">
        <v>53.4889744583693</v>
      </c>
      <c r="D3434" s="28">
        <v>10.0022400714454</v>
      </c>
      <c r="E3434" s="28" t="s">
        <v>15</v>
      </c>
      <c r="F3434" s="28" t="s">
        <v>168</v>
      </c>
      <c r="G3434" s="29" t="s">
        <v>1117</v>
      </c>
      <c r="H3434" s="30" t="str">
        <f>HYPERLINK("https://www.munzee.com/m/cuttingcrew/2810", "cuttingcrew/2810")</f>
        <v>cuttingcrew/2810</v>
      </c>
      <c r="J3434" s="31">
        <f t="shared" si="10"/>
        <v>3</v>
      </c>
    </row>
    <row r="3435">
      <c r="A3435" s="28">
        <v>57.0</v>
      </c>
      <c r="B3435" s="28">
        <v>58.0</v>
      </c>
      <c r="C3435" s="28">
        <v>53.4889619311939</v>
      </c>
      <c r="D3435" s="28">
        <v>10.0024807250403</v>
      </c>
      <c r="E3435" s="28" t="s">
        <v>15</v>
      </c>
      <c r="F3435" s="28" t="s">
        <v>168</v>
      </c>
      <c r="G3435" s="29" t="s">
        <v>26</v>
      </c>
      <c r="H3435" s="30" t="str">
        <f>HYPERLINK("https://www.munzee.com/m/Elli/6227/", "Elli/6227")</f>
        <v>Elli/6227</v>
      </c>
      <c r="J3435" s="31">
        <f t="shared" si="10"/>
        <v>143</v>
      </c>
    </row>
    <row r="3436">
      <c r="A3436" s="28">
        <v>57.0</v>
      </c>
      <c r="B3436" s="28">
        <v>59.0</v>
      </c>
      <c r="C3436" s="28">
        <v>53.4889494040185</v>
      </c>
      <c r="D3436" s="28">
        <v>10.002721378564</v>
      </c>
      <c r="E3436" s="28" t="s">
        <v>15</v>
      </c>
      <c r="F3436" s="28" t="s">
        <v>168</v>
      </c>
      <c r="G3436" s="29" t="s">
        <v>1005</v>
      </c>
      <c r="H3436" s="30" t="str">
        <f>HYPERLINK("https://www.munzee.com/m/destolkjes4ever/1633/", "destolkjes4ever/1633")</f>
        <v>destolkjes4ever/1633</v>
      </c>
      <c r="J3436" s="31">
        <f t="shared" si="10"/>
        <v>6</v>
      </c>
    </row>
    <row r="3437">
      <c r="A3437" s="28">
        <v>57.0</v>
      </c>
      <c r="B3437" s="28">
        <v>60.0</v>
      </c>
      <c r="C3437" s="28">
        <v>53.4889368768431</v>
      </c>
      <c r="D3437" s="28">
        <v>10.0029620320167</v>
      </c>
      <c r="E3437" s="28" t="s">
        <v>25</v>
      </c>
      <c r="F3437" s="28" t="s">
        <v>14</v>
      </c>
      <c r="G3437" s="29" t="s">
        <v>1118</v>
      </c>
      <c r="H3437" s="30" t="str">
        <f>HYPERLINK("https://www.munzee.com/m/barefootguru/2160/", "barefootguru/2160")</f>
        <v>barefootguru/2160</v>
      </c>
      <c r="J3437" s="31">
        <f t="shared" si="10"/>
        <v>1</v>
      </c>
    </row>
    <row r="3438">
      <c r="A3438" s="28">
        <v>58.0</v>
      </c>
      <c r="B3438" s="28">
        <v>1.0</v>
      </c>
      <c r="C3438" s="28">
        <v>53.4895327966832</v>
      </c>
      <c r="D3438" s="28">
        <v>9.98874230194724</v>
      </c>
      <c r="E3438" s="28" t="s">
        <v>25</v>
      </c>
      <c r="F3438" s="28" t="s">
        <v>14</v>
      </c>
      <c r="G3438" s="29" t="s">
        <v>27</v>
      </c>
      <c r="H3438" s="30" t="str">
        <f>HYPERLINK("https://www.munzee.com/m/DarkHaribo/12360", "DarkHaribo/12360")</f>
        <v>DarkHaribo/12360</v>
      </c>
      <c r="J3438" s="31">
        <f t="shared" si="10"/>
        <v>103</v>
      </c>
    </row>
    <row r="3439">
      <c r="A3439" s="28">
        <v>58.0</v>
      </c>
      <c r="B3439" s="28">
        <v>2.0</v>
      </c>
      <c r="C3439" s="28">
        <v>53.4895202695078</v>
      </c>
      <c r="D3439" s="28">
        <v>9.98898295871004</v>
      </c>
      <c r="E3439" s="28" t="s">
        <v>25</v>
      </c>
      <c r="F3439" s="28" t="s">
        <v>14</v>
      </c>
      <c r="G3439" s="29" t="s">
        <v>30</v>
      </c>
      <c r="H3439" s="30" t="str">
        <f>HYPERLINK("https://www.munzee.com/m/SachensucherHB/1399/", "SachensucherHB/1399")</f>
        <v>SachensucherHB/1399</v>
      </c>
      <c r="J3439" s="31">
        <f t="shared" si="10"/>
        <v>62</v>
      </c>
    </row>
    <row r="3440">
      <c r="A3440" s="28">
        <v>58.0</v>
      </c>
      <c r="B3440" s="28">
        <v>3.0</v>
      </c>
      <c r="C3440" s="28">
        <v>53.4895077423324</v>
      </c>
      <c r="D3440" s="28">
        <v>9.98922361540178</v>
      </c>
      <c r="E3440" s="28" t="s">
        <v>25</v>
      </c>
      <c r="F3440" s="28" t="s">
        <v>14</v>
      </c>
      <c r="G3440" s="29" t="s">
        <v>47</v>
      </c>
      <c r="H3440" s="33" t="s">
        <v>1119</v>
      </c>
      <c r="J3440" s="31">
        <f t="shared" si="10"/>
        <v>44</v>
      </c>
    </row>
    <row r="3441">
      <c r="A3441" s="28">
        <v>58.0</v>
      </c>
      <c r="B3441" s="28">
        <v>4.0</v>
      </c>
      <c r="C3441" s="28">
        <v>53.4894952151569</v>
      </c>
      <c r="D3441" s="28">
        <v>9.98946427202247</v>
      </c>
      <c r="E3441" s="28" t="s">
        <v>25</v>
      </c>
      <c r="F3441" s="28" t="s">
        <v>14</v>
      </c>
      <c r="G3441" s="29" t="s">
        <v>27</v>
      </c>
      <c r="H3441" s="30" t="str">
        <f>HYPERLINK("https://www.munzee.com/m/DarkHaribo/12674/", "DarkHaribo/12674")</f>
        <v>DarkHaribo/12674</v>
      </c>
      <c r="J3441" s="31">
        <f t="shared" si="10"/>
        <v>103</v>
      </c>
    </row>
    <row r="3442">
      <c r="A3442" s="28">
        <v>58.0</v>
      </c>
      <c r="B3442" s="28">
        <v>5.0</v>
      </c>
      <c r="C3442" s="28">
        <v>53.4894826879815</v>
      </c>
      <c r="D3442" s="28">
        <v>9.98970492857211</v>
      </c>
      <c r="E3442" s="28" t="s">
        <v>25</v>
      </c>
      <c r="F3442" s="28" t="s">
        <v>14</v>
      </c>
      <c r="G3442" s="29" t="s">
        <v>30</v>
      </c>
      <c r="H3442" s="30" t="str">
        <f>HYPERLINK("https://www.munzee.com/m/SachensucherHB/1405/", "SachensucherHB/1405")</f>
        <v>SachensucherHB/1405</v>
      </c>
      <c r="J3442" s="31">
        <f t="shared" si="10"/>
        <v>62</v>
      </c>
    </row>
    <row r="3443">
      <c r="A3443" s="28">
        <v>58.0</v>
      </c>
      <c r="B3443" s="28">
        <v>6.0</v>
      </c>
      <c r="C3443" s="28">
        <v>53.4894701608061</v>
      </c>
      <c r="D3443" s="28">
        <v>9.98994558505069</v>
      </c>
      <c r="E3443" s="28" t="s">
        <v>25</v>
      </c>
      <c r="F3443" s="28" t="s">
        <v>14</v>
      </c>
      <c r="G3443" s="29" t="s">
        <v>145</v>
      </c>
      <c r="H3443" s="30" t="s">
        <v>1120</v>
      </c>
      <c r="J3443" s="31">
        <f t="shared" si="10"/>
        <v>40</v>
      </c>
    </row>
    <row r="3444">
      <c r="A3444" s="28">
        <v>58.0</v>
      </c>
      <c r="B3444" s="28">
        <v>7.0</v>
      </c>
      <c r="C3444" s="28">
        <v>53.4894576336307</v>
      </c>
      <c r="D3444" s="28">
        <v>9.9901862414581</v>
      </c>
      <c r="E3444" s="28" t="s">
        <v>25</v>
      </c>
      <c r="F3444" s="28" t="s">
        <v>14</v>
      </c>
      <c r="G3444" s="29" t="s">
        <v>27</v>
      </c>
      <c r="H3444" s="30" t="str">
        <f>HYPERLINK("https://www.munzee.com/m/DarkHaribo/12676", "DarkHaribo/12676")</f>
        <v>DarkHaribo/12676</v>
      </c>
      <c r="J3444" s="31">
        <f t="shared" si="10"/>
        <v>103</v>
      </c>
    </row>
    <row r="3445">
      <c r="A3445" s="28">
        <v>58.0</v>
      </c>
      <c r="B3445" s="28">
        <v>8.0</v>
      </c>
      <c r="C3445" s="28">
        <v>53.4894451064553</v>
      </c>
      <c r="D3445" s="28">
        <v>9.99042689779446</v>
      </c>
      <c r="E3445" s="28" t="s">
        <v>25</v>
      </c>
      <c r="F3445" s="28" t="s">
        <v>14</v>
      </c>
      <c r="G3445" s="29" t="s">
        <v>30</v>
      </c>
      <c r="H3445" s="30" t="str">
        <f>HYPERLINK("https://www.munzee.com/m/SachensucherHB/1407/", "SachensucherHB/1407")</f>
        <v>SachensucherHB/1407</v>
      </c>
      <c r="J3445" s="31">
        <f t="shared" si="10"/>
        <v>62</v>
      </c>
    </row>
    <row r="3446">
      <c r="A3446" s="28">
        <v>58.0</v>
      </c>
      <c r="B3446" s="28">
        <v>9.0</v>
      </c>
      <c r="C3446" s="28">
        <v>53.4894325792799</v>
      </c>
      <c r="D3446" s="28">
        <v>9.99066755405976</v>
      </c>
      <c r="E3446" s="28" t="s">
        <v>25</v>
      </c>
      <c r="F3446" s="28" t="s">
        <v>14</v>
      </c>
      <c r="G3446" s="38"/>
      <c r="H3446" s="38"/>
      <c r="J3446" s="31">
        <f t="shared" si="10"/>
        <v>0</v>
      </c>
    </row>
    <row r="3447">
      <c r="A3447" s="28">
        <v>58.0</v>
      </c>
      <c r="B3447" s="28">
        <v>10.0</v>
      </c>
      <c r="C3447" s="28">
        <v>53.4894200521045</v>
      </c>
      <c r="D3447" s="28">
        <v>9.99090821025402</v>
      </c>
      <c r="E3447" s="28" t="s">
        <v>25</v>
      </c>
      <c r="F3447" s="28" t="s">
        <v>14</v>
      </c>
      <c r="G3447" s="29" t="s">
        <v>27</v>
      </c>
      <c r="H3447" s="30" t="str">
        <f>HYPERLINK("https://www.munzee.com/m/DarkHaribo/12681", "DarkHaribo/12681")</f>
        <v>DarkHaribo/12681</v>
      </c>
      <c r="J3447" s="31">
        <f t="shared" si="10"/>
        <v>103</v>
      </c>
    </row>
    <row r="3448">
      <c r="A3448" s="28">
        <v>58.0</v>
      </c>
      <c r="B3448" s="28">
        <v>11.0</v>
      </c>
      <c r="C3448" s="28">
        <v>53.489407524929</v>
      </c>
      <c r="D3448" s="28">
        <v>9.99114886637721</v>
      </c>
      <c r="E3448" s="28" t="s">
        <v>25</v>
      </c>
      <c r="F3448" s="28" t="s">
        <v>14</v>
      </c>
      <c r="G3448" s="29" t="s">
        <v>30</v>
      </c>
      <c r="H3448" s="30" t="str">
        <f>HYPERLINK("https://www.munzee.com/m/SachensucherHB/1409/", "SachensucherHB/1409")</f>
        <v>SachensucherHB/1409</v>
      </c>
      <c r="J3448" s="31">
        <f t="shared" si="10"/>
        <v>62</v>
      </c>
    </row>
    <row r="3449">
      <c r="A3449" s="28">
        <v>58.0</v>
      </c>
      <c r="B3449" s="28">
        <v>12.0</v>
      </c>
      <c r="C3449" s="28">
        <v>53.4893949977536</v>
      </c>
      <c r="D3449" s="28">
        <v>9.99138952242924</v>
      </c>
      <c r="E3449" s="28" t="s">
        <v>25</v>
      </c>
      <c r="F3449" s="28" t="s">
        <v>14</v>
      </c>
      <c r="G3449" s="29" t="s">
        <v>164</v>
      </c>
      <c r="H3449" s="35" t="s">
        <v>1121</v>
      </c>
      <c r="J3449" s="31">
        <f t="shared" si="10"/>
        <v>133</v>
      </c>
    </row>
    <row r="3450">
      <c r="A3450" s="28">
        <v>58.0</v>
      </c>
      <c r="B3450" s="28">
        <v>13.0</v>
      </c>
      <c r="C3450" s="28">
        <v>53.4893824705782</v>
      </c>
      <c r="D3450" s="28">
        <v>9.99163017841021</v>
      </c>
      <c r="E3450" s="28" t="s">
        <v>25</v>
      </c>
      <c r="F3450" s="28" t="s">
        <v>14</v>
      </c>
      <c r="G3450" s="29" t="s">
        <v>27</v>
      </c>
      <c r="H3450" s="30" t="str">
        <f>HYPERLINK("https://www.munzee.com/m/DarkHaribo/12684", "DarkHaribo/12684")</f>
        <v>DarkHaribo/12684</v>
      </c>
      <c r="J3450" s="31">
        <f t="shared" si="10"/>
        <v>103</v>
      </c>
    </row>
    <row r="3451">
      <c r="A3451" s="28">
        <v>58.0</v>
      </c>
      <c r="B3451" s="28">
        <v>14.0</v>
      </c>
      <c r="C3451" s="28">
        <v>53.4893699434028</v>
      </c>
      <c r="D3451" s="28">
        <v>9.99187083432013</v>
      </c>
      <c r="E3451" s="28" t="s">
        <v>25</v>
      </c>
      <c r="F3451" s="28" t="s">
        <v>14</v>
      </c>
      <c r="G3451" s="29" t="s">
        <v>30</v>
      </c>
      <c r="H3451" s="30" t="str">
        <f>HYPERLINK("https://www.munzee.com/m/SachensucherHB/1412/", "SachensucherHB/1412")</f>
        <v>SachensucherHB/1412</v>
      </c>
      <c r="J3451" s="31">
        <f t="shared" si="10"/>
        <v>62</v>
      </c>
    </row>
    <row r="3452">
      <c r="A3452" s="28">
        <v>58.0</v>
      </c>
      <c r="B3452" s="28">
        <v>15.0</v>
      </c>
      <c r="C3452" s="28">
        <v>53.4893574162273</v>
      </c>
      <c r="D3452" s="28">
        <v>9.992111490159</v>
      </c>
      <c r="E3452" s="28" t="s">
        <v>25</v>
      </c>
      <c r="F3452" s="28" t="s">
        <v>14</v>
      </c>
      <c r="G3452" s="29" t="s">
        <v>164</v>
      </c>
      <c r="H3452" s="35" t="s">
        <v>1122</v>
      </c>
      <c r="J3452" s="31">
        <f t="shared" si="10"/>
        <v>133</v>
      </c>
    </row>
    <row r="3453">
      <c r="A3453" s="28">
        <v>58.0</v>
      </c>
      <c r="B3453" s="28">
        <v>16.0</v>
      </c>
      <c r="C3453" s="28">
        <v>53.4893448890519</v>
      </c>
      <c r="D3453" s="28">
        <v>9.9923521459267</v>
      </c>
      <c r="E3453" s="28" t="s">
        <v>25</v>
      </c>
      <c r="F3453" s="28" t="s">
        <v>14</v>
      </c>
      <c r="G3453" s="29" t="s">
        <v>27</v>
      </c>
      <c r="H3453" s="30" t="str">
        <f>HYPERLINK("https://www.munzee.com/m/DarkHaribo/12689/", "DarkHaribo/12689")</f>
        <v>DarkHaribo/12689</v>
      </c>
      <c r="J3453" s="31">
        <f t="shared" si="10"/>
        <v>103</v>
      </c>
    </row>
    <row r="3454">
      <c r="A3454" s="28">
        <v>58.0</v>
      </c>
      <c r="B3454" s="28">
        <v>17.0</v>
      </c>
      <c r="C3454" s="28">
        <v>53.4893323618765</v>
      </c>
      <c r="D3454" s="28">
        <v>9.99259280162334</v>
      </c>
      <c r="E3454" s="28" t="s">
        <v>25</v>
      </c>
      <c r="F3454" s="28" t="s">
        <v>14</v>
      </c>
      <c r="G3454" s="29" t="s">
        <v>30</v>
      </c>
      <c r="H3454" s="30" t="str">
        <f>HYPERLINK("https://www.munzee.com/m/SachensucherHB/1413/", "SachensucherHB/1413")</f>
        <v>SachensucherHB/1413</v>
      </c>
      <c r="J3454" s="31">
        <f t="shared" si="10"/>
        <v>62</v>
      </c>
    </row>
    <row r="3455">
      <c r="A3455" s="28">
        <v>58.0</v>
      </c>
      <c r="B3455" s="28">
        <v>18.0</v>
      </c>
      <c r="C3455" s="28">
        <v>53.4893198347011</v>
      </c>
      <c r="D3455" s="28">
        <v>9.99283345724893</v>
      </c>
      <c r="E3455" s="28" t="s">
        <v>25</v>
      </c>
      <c r="F3455" s="28" t="s">
        <v>14</v>
      </c>
      <c r="G3455" s="29" t="s">
        <v>164</v>
      </c>
      <c r="H3455" s="35" t="s">
        <v>1123</v>
      </c>
      <c r="J3455" s="31">
        <f t="shared" si="10"/>
        <v>133</v>
      </c>
    </row>
    <row r="3456">
      <c r="A3456" s="28">
        <v>58.0</v>
      </c>
      <c r="B3456" s="28">
        <v>19.0</v>
      </c>
      <c r="C3456" s="28">
        <v>53.4893073075257</v>
      </c>
      <c r="D3456" s="28">
        <v>9.99307411280347</v>
      </c>
      <c r="E3456" s="28" t="s">
        <v>25</v>
      </c>
      <c r="F3456" s="28" t="s">
        <v>14</v>
      </c>
      <c r="G3456" s="29" t="s">
        <v>27</v>
      </c>
      <c r="H3456" s="30" t="str">
        <f>HYPERLINK("https://www.munzee.com/m/DarkHaribo/12691", "DarkHaribo/12691")</f>
        <v>DarkHaribo/12691</v>
      </c>
      <c r="J3456" s="31">
        <f t="shared" si="10"/>
        <v>103</v>
      </c>
    </row>
    <row r="3457">
      <c r="A3457" s="28">
        <v>58.0</v>
      </c>
      <c r="B3457" s="28">
        <v>20.0</v>
      </c>
      <c r="C3457" s="28">
        <v>53.4892947803503</v>
      </c>
      <c r="D3457" s="28">
        <v>9.99331476828683</v>
      </c>
      <c r="E3457" s="28" t="s">
        <v>25</v>
      </c>
      <c r="F3457" s="28" t="s">
        <v>14</v>
      </c>
      <c r="G3457" s="29" t="s">
        <v>30</v>
      </c>
      <c r="H3457" s="30" t="str">
        <f>HYPERLINK("https://www.munzee.com/m/SachensucherHB/141", "SachensucherHB/141")</f>
        <v>SachensucherHB/141</v>
      </c>
      <c r="J3457" s="31">
        <f t="shared" si="10"/>
        <v>62</v>
      </c>
    </row>
    <row r="3458">
      <c r="A3458" s="28">
        <v>58.0</v>
      </c>
      <c r="B3458" s="28">
        <v>21.0</v>
      </c>
      <c r="C3458" s="28">
        <v>53.4892822531748</v>
      </c>
      <c r="D3458" s="28">
        <v>9.99355542369915</v>
      </c>
      <c r="E3458" s="28" t="s">
        <v>25</v>
      </c>
      <c r="F3458" s="28" t="s">
        <v>14</v>
      </c>
      <c r="G3458" s="29" t="s">
        <v>164</v>
      </c>
      <c r="H3458" s="35" t="s">
        <v>1124</v>
      </c>
      <c r="J3458" s="31">
        <f t="shared" si="10"/>
        <v>133</v>
      </c>
    </row>
    <row r="3459">
      <c r="A3459" s="28">
        <v>58.0</v>
      </c>
      <c r="B3459" s="28">
        <v>22.0</v>
      </c>
      <c r="C3459" s="28">
        <v>53.4892697259994</v>
      </c>
      <c r="D3459" s="28">
        <v>9.9937960790404</v>
      </c>
      <c r="E3459" s="28" t="s">
        <v>25</v>
      </c>
      <c r="F3459" s="28" t="s">
        <v>14</v>
      </c>
      <c r="G3459" s="29" t="s">
        <v>27</v>
      </c>
      <c r="H3459" s="30" t="str">
        <f>HYPERLINK("https://www.munzee.com/m/DarkHaribo/12705", "DarkHaribo/12705")</f>
        <v>DarkHaribo/12705</v>
      </c>
      <c r="J3459" s="31">
        <f t="shared" si="10"/>
        <v>103</v>
      </c>
    </row>
    <row r="3460">
      <c r="A3460" s="28">
        <v>58.0</v>
      </c>
      <c r="B3460" s="28">
        <v>23.0</v>
      </c>
      <c r="C3460" s="28">
        <v>53.489257198824</v>
      </c>
      <c r="D3460" s="28">
        <v>9.99403673431061</v>
      </c>
      <c r="E3460" s="28" t="s">
        <v>25</v>
      </c>
      <c r="F3460" s="28" t="s">
        <v>14</v>
      </c>
      <c r="G3460" s="29" t="s">
        <v>30</v>
      </c>
      <c r="H3460" s="30" t="str">
        <f>HYPERLINK("https://www.munzee.com/m/SachensucherHB/1417/", "SachensucherHB/1417")</f>
        <v>SachensucherHB/1417</v>
      </c>
      <c r="J3460" s="31">
        <f t="shared" si="10"/>
        <v>62</v>
      </c>
    </row>
    <row r="3461">
      <c r="A3461" s="28">
        <v>58.0</v>
      </c>
      <c r="B3461" s="28">
        <v>24.0</v>
      </c>
      <c r="C3461" s="28">
        <v>53.4892446716486</v>
      </c>
      <c r="D3461" s="28">
        <v>9.99427738950976</v>
      </c>
      <c r="E3461" s="28" t="s">
        <v>25</v>
      </c>
      <c r="F3461" s="28" t="s">
        <v>14</v>
      </c>
      <c r="G3461" s="29" t="s">
        <v>164</v>
      </c>
      <c r="H3461" s="35" t="s">
        <v>1125</v>
      </c>
      <c r="J3461" s="31">
        <f t="shared" si="10"/>
        <v>133</v>
      </c>
    </row>
    <row r="3462">
      <c r="A3462" s="28">
        <v>58.0</v>
      </c>
      <c r="B3462" s="28">
        <v>25.0</v>
      </c>
      <c r="C3462" s="28">
        <v>53.4892321444732</v>
      </c>
      <c r="D3462" s="28">
        <v>9.99451804463774</v>
      </c>
      <c r="E3462" s="28" t="s">
        <v>25</v>
      </c>
      <c r="F3462" s="28" t="s">
        <v>14</v>
      </c>
      <c r="G3462" s="29" t="s">
        <v>27</v>
      </c>
      <c r="H3462" s="30" t="str">
        <f>HYPERLINK("https://www.munzee.com/m/DarkHaribo/12720", "DarkHaribo/12720")</f>
        <v>DarkHaribo/12720</v>
      </c>
      <c r="J3462" s="31">
        <f t="shared" si="10"/>
        <v>103</v>
      </c>
    </row>
    <row r="3463">
      <c r="A3463" s="28">
        <v>58.0</v>
      </c>
      <c r="B3463" s="28">
        <v>26.0</v>
      </c>
      <c r="C3463" s="28">
        <v>53.4892196172977</v>
      </c>
      <c r="D3463" s="28">
        <v>9.99475869969467</v>
      </c>
      <c r="E3463" s="28" t="s">
        <v>25</v>
      </c>
      <c r="F3463" s="28" t="s">
        <v>14</v>
      </c>
      <c r="G3463" s="29" t="s">
        <v>30</v>
      </c>
      <c r="H3463" s="30" t="str">
        <f>HYPERLINK("https://www.munzee.com/m/SachensucherHB/1420/", "SachensucherHB/1420")</f>
        <v>SachensucherHB/1420</v>
      </c>
      <c r="J3463" s="31">
        <f t="shared" si="10"/>
        <v>62</v>
      </c>
    </row>
    <row r="3464">
      <c r="A3464" s="28">
        <v>58.0</v>
      </c>
      <c r="B3464" s="28">
        <v>27.0</v>
      </c>
      <c r="C3464" s="28">
        <v>53.4892070901223</v>
      </c>
      <c r="D3464" s="28">
        <v>9.99499935468054</v>
      </c>
      <c r="E3464" s="28" t="s">
        <v>25</v>
      </c>
      <c r="F3464" s="28" t="s">
        <v>14</v>
      </c>
      <c r="G3464" s="29" t="s">
        <v>164</v>
      </c>
      <c r="H3464" s="35" t="s">
        <v>1126</v>
      </c>
      <c r="J3464" s="31">
        <f t="shared" si="10"/>
        <v>133</v>
      </c>
    </row>
    <row r="3465">
      <c r="A3465" s="28">
        <v>58.0</v>
      </c>
      <c r="B3465" s="28">
        <v>28.0</v>
      </c>
      <c r="C3465" s="28">
        <v>53.4891945629469</v>
      </c>
      <c r="D3465" s="28">
        <v>9.99524000959536</v>
      </c>
      <c r="E3465" s="28" t="s">
        <v>25</v>
      </c>
      <c r="F3465" s="28" t="s">
        <v>14</v>
      </c>
      <c r="G3465" s="29" t="s">
        <v>27</v>
      </c>
      <c r="H3465" s="30" t="str">
        <f>HYPERLINK("https://www.munzee.com/m/DarkHaribo/12723", "DarkHaribo/12723")</f>
        <v>DarkHaribo/12723</v>
      </c>
      <c r="J3465" s="31">
        <f t="shared" si="10"/>
        <v>103</v>
      </c>
    </row>
    <row r="3466">
      <c r="A3466" s="28">
        <v>58.0</v>
      </c>
      <c r="B3466" s="28">
        <v>29.0</v>
      </c>
      <c r="C3466" s="28">
        <v>53.4891820357715</v>
      </c>
      <c r="D3466" s="28">
        <v>9.99548066443901</v>
      </c>
      <c r="E3466" s="28" t="s">
        <v>25</v>
      </c>
      <c r="F3466" s="28" t="s">
        <v>14</v>
      </c>
      <c r="G3466" s="29" t="s">
        <v>30</v>
      </c>
      <c r="H3466" s="30" t="str">
        <f>HYPERLINK("https://www.munzee.com/m/SachensucherHB/1421/", "SachensucherHB/1421")</f>
        <v>SachensucherHB/1421</v>
      </c>
      <c r="J3466" s="31">
        <f t="shared" si="10"/>
        <v>62</v>
      </c>
    </row>
    <row r="3467">
      <c r="A3467" s="28">
        <v>58.0</v>
      </c>
      <c r="B3467" s="28">
        <v>30.0</v>
      </c>
      <c r="C3467" s="28">
        <v>53.4891695085961</v>
      </c>
      <c r="D3467" s="28">
        <v>9.99572131921161</v>
      </c>
      <c r="E3467" s="28" t="s">
        <v>25</v>
      </c>
      <c r="F3467" s="28" t="s">
        <v>14</v>
      </c>
      <c r="G3467" s="29" t="s">
        <v>164</v>
      </c>
      <c r="H3467" s="35" t="s">
        <v>1127</v>
      </c>
      <c r="J3467" s="31">
        <f t="shared" si="10"/>
        <v>133</v>
      </c>
    </row>
    <row r="3468">
      <c r="A3468" s="28">
        <v>58.0</v>
      </c>
      <c r="B3468" s="28">
        <v>31.0</v>
      </c>
      <c r="C3468" s="28">
        <v>53.4891569814206</v>
      </c>
      <c r="D3468" s="28">
        <v>9.99596197391315</v>
      </c>
      <c r="E3468" s="28" t="s">
        <v>25</v>
      </c>
      <c r="F3468" s="28" t="s">
        <v>14</v>
      </c>
      <c r="G3468" s="29" t="s">
        <v>27</v>
      </c>
      <c r="H3468" s="30" t="str">
        <f>HYPERLINK("https://www.munzee.com/m/DarkHaribo/12756", "DarkHaribo/12756")</f>
        <v>DarkHaribo/12756</v>
      </c>
      <c r="J3468" s="31">
        <f t="shared" si="10"/>
        <v>103</v>
      </c>
    </row>
    <row r="3469">
      <c r="A3469" s="28">
        <v>58.0</v>
      </c>
      <c r="B3469" s="28">
        <v>32.0</v>
      </c>
      <c r="C3469" s="28">
        <v>53.4891444542452</v>
      </c>
      <c r="D3469" s="28">
        <v>9.99620262854364</v>
      </c>
      <c r="E3469" s="28" t="s">
        <v>25</v>
      </c>
      <c r="F3469" s="28" t="s">
        <v>14</v>
      </c>
      <c r="G3469" s="29" t="s">
        <v>30</v>
      </c>
      <c r="H3469" s="30" t="str">
        <f>HYPERLINK("https://www.munzee.com/m/SachensucherHB/1423/", "SachensucherHB/1423")</f>
        <v>SachensucherHB/1423</v>
      </c>
      <c r="J3469" s="31">
        <f t="shared" si="10"/>
        <v>62</v>
      </c>
    </row>
    <row r="3470">
      <c r="A3470" s="28">
        <v>58.0</v>
      </c>
      <c r="B3470" s="28">
        <v>33.0</v>
      </c>
      <c r="C3470" s="28">
        <v>53.4891319270698</v>
      </c>
      <c r="D3470" s="28">
        <v>9.99644328310296</v>
      </c>
      <c r="E3470" s="28" t="s">
        <v>25</v>
      </c>
      <c r="F3470" s="28" t="s">
        <v>14</v>
      </c>
      <c r="G3470" s="29" t="s">
        <v>164</v>
      </c>
      <c r="H3470" s="35" t="s">
        <v>1128</v>
      </c>
      <c r="J3470" s="31">
        <f t="shared" si="10"/>
        <v>133</v>
      </c>
    </row>
    <row r="3471">
      <c r="A3471" s="28">
        <v>58.0</v>
      </c>
      <c r="B3471" s="28">
        <v>34.0</v>
      </c>
      <c r="C3471" s="28">
        <v>53.4891193998944</v>
      </c>
      <c r="D3471" s="28">
        <v>9.99668393759122</v>
      </c>
      <c r="E3471" s="28" t="s">
        <v>25</v>
      </c>
      <c r="F3471" s="28" t="s">
        <v>14</v>
      </c>
      <c r="G3471" s="29" t="s">
        <v>27</v>
      </c>
      <c r="H3471" s="30" t="str">
        <f>HYPERLINK("https://www.munzee.com/m/DarkHaribo/12893", "DarkHaribo/12893")</f>
        <v>DarkHaribo/12893</v>
      </c>
      <c r="J3471" s="31">
        <f t="shared" si="10"/>
        <v>103</v>
      </c>
    </row>
    <row r="3472">
      <c r="A3472" s="28">
        <v>58.0</v>
      </c>
      <c r="B3472" s="28">
        <v>35.0</v>
      </c>
      <c r="C3472" s="28">
        <v>53.489106872719</v>
      </c>
      <c r="D3472" s="28">
        <v>9.99692459200844</v>
      </c>
      <c r="E3472" s="28" t="s">
        <v>25</v>
      </c>
      <c r="F3472" s="28" t="s">
        <v>14</v>
      </c>
      <c r="G3472" s="29" t="s">
        <v>30</v>
      </c>
      <c r="H3472" s="30" t="str">
        <f>HYPERLINK("https://www.munzee.com/m/SachensucherHB/1425/", "SachensucherHB/1425")</f>
        <v>SachensucherHB/1425</v>
      </c>
      <c r="J3472" s="31">
        <f t="shared" si="10"/>
        <v>62</v>
      </c>
    </row>
    <row r="3473">
      <c r="A3473" s="28">
        <v>58.0</v>
      </c>
      <c r="B3473" s="28">
        <v>36.0</v>
      </c>
      <c r="C3473" s="28">
        <v>53.4890943455436</v>
      </c>
      <c r="D3473" s="28">
        <v>9.99716524635459</v>
      </c>
      <c r="E3473" s="28" t="s">
        <v>25</v>
      </c>
      <c r="F3473" s="28" t="s">
        <v>14</v>
      </c>
      <c r="G3473" s="29" t="s">
        <v>164</v>
      </c>
      <c r="H3473" s="35" t="s">
        <v>1129</v>
      </c>
      <c r="J3473" s="31">
        <f t="shared" si="10"/>
        <v>133</v>
      </c>
    </row>
    <row r="3474">
      <c r="A3474" s="28">
        <v>58.0</v>
      </c>
      <c r="B3474" s="28">
        <v>37.0</v>
      </c>
      <c r="C3474" s="28">
        <v>53.4890818183682</v>
      </c>
      <c r="D3474" s="28">
        <v>9.9974059006297</v>
      </c>
      <c r="E3474" s="28" t="s">
        <v>25</v>
      </c>
      <c r="F3474" s="28" t="s">
        <v>14</v>
      </c>
      <c r="G3474" s="29" t="s">
        <v>27</v>
      </c>
      <c r="H3474" s="30" t="str">
        <f>HYPERLINK("https://www.munzee.com/m/DarkHaribo/12901", "DarkHaribo/12901")</f>
        <v>DarkHaribo/12901</v>
      </c>
      <c r="J3474" s="31">
        <f t="shared" si="10"/>
        <v>103</v>
      </c>
    </row>
    <row r="3475">
      <c r="A3475" s="28">
        <v>58.0</v>
      </c>
      <c r="B3475" s="28">
        <v>38.0</v>
      </c>
      <c r="C3475" s="28">
        <v>53.4890692911928</v>
      </c>
      <c r="D3475" s="28">
        <v>9.99764655483363</v>
      </c>
      <c r="E3475" s="28" t="s">
        <v>25</v>
      </c>
      <c r="F3475" s="28" t="s">
        <v>14</v>
      </c>
      <c r="G3475" s="29" t="s">
        <v>30</v>
      </c>
      <c r="H3475" s="30" t="str">
        <f>HYPERLINK("https://www.munzee.com/m/SachensucherHB/1426/", "SachensucherHB/1426")</f>
        <v>SachensucherHB/1426</v>
      </c>
      <c r="J3475" s="31">
        <f t="shared" si="10"/>
        <v>62</v>
      </c>
    </row>
    <row r="3476">
      <c r="A3476" s="28">
        <v>58.0</v>
      </c>
      <c r="B3476" s="28">
        <v>39.0</v>
      </c>
      <c r="C3476" s="28">
        <v>53.4890567640173</v>
      </c>
      <c r="D3476" s="28">
        <v>9.99788720896651</v>
      </c>
      <c r="E3476" s="28" t="s">
        <v>25</v>
      </c>
      <c r="F3476" s="28" t="s">
        <v>14</v>
      </c>
      <c r="G3476" s="29" t="s">
        <v>164</v>
      </c>
      <c r="H3476" s="35" t="s">
        <v>1130</v>
      </c>
      <c r="J3476" s="31">
        <f t="shared" si="10"/>
        <v>133</v>
      </c>
    </row>
    <row r="3477">
      <c r="A3477" s="28">
        <v>58.0</v>
      </c>
      <c r="B3477" s="28">
        <v>40.0</v>
      </c>
      <c r="C3477" s="28">
        <v>53.4890442368419</v>
      </c>
      <c r="D3477" s="28">
        <v>9.99812786302834</v>
      </c>
      <c r="E3477" s="28" t="s">
        <v>25</v>
      </c>
      <c r="F3477" s="28" t="s">
        <v>14</v>
      </c>
      <c r="G3477" s="29" t="s">
        <v>27</v>
      </c>
      <c r="H3477" s="30" t="str">
        <f>HYPERLINK("https://www.munzee.com/m/DarkHaribo/1290", "DarkHaribo/1290")</f>
        <v>DarkHaribo/1290</v>
      </c>
      <c r="J3477" s="31">
        <f t="shared" si="10"/>
        <v>103</v>
      </c>
    </row>
    <row r="3478">
      <c r="A3478" s="28">
        <v>58.0</v>
      </c>
      <c r="B3478" s="28">
        <v>41.0</v>
      </c>
      <c r="C3478" s="28">
        <v>53.4890317096665</v>
      </c>
      <c r="D3478" s="28">
        <v>9.99836851701911</v>
      </c>
      <c r="E3478" s="28" t="s">
        <v>25</v>
      </c>
      <c r="F3478" s="28" t="s">
        <v>14</v>
      </c>
      <c r="G3478" s="29" t="s">
        <v>30</v>
      </c>
      <c r="H3478" s="30" t="str">
        <f>HYPERLINK("https://www.munzee.com/m/SachensucherHB/1457/", "SachensucherHB/1457")</f>
        <v>SachensucherHB/1457</v>
      </c>
      <c r="J3478" s="31">
        <f t="shared" si="10"/>
        <v>62</v>
      </c>
    </row>
    <row r="3479">
      <c r="A3479" s="28">
        <v>58.0</v>
      </c>
      <c r="B3479" s="28">
        <v>42.0</v>
      </c>
      <c r="C3479" s="28">
        <v>53.4890191824911</v>
      </c>
      <c r="D3479" s="28">
        <v>9.99860917093883</v>
      </c>
      <c r="E3479" s="28" t="s">
        <v>25</v>
      </c>
      <c r="F3479" s="28" t="s">
        <v>14</v>
      </c>
      <c r="G3479" s="29" t="s">
        <v>164</v>
      </c>
      <c r="H3479" s="35" t="s">
        <v>1131</v>
      </c>
      <c r="J3479" s="31">
        <f t="shared" si="10"/>
        <v>133</v>
      </c>
    </row>
    <row r="3480">
      <c r="A3480" s="28">
        <v>58.0</v>
      </c>
      <c r="B3480" s="28">
        <v>43.0</v>
      </c>
      <c r="C3480" s="28">
        <v>53.4890066553157</v>
      </c>
      <c r="D3480" s="28">
        <v>9.99884982478738</v>
      </c>
      <c r="E3480" s="28" t="s">
        <v>25</v>
      </c>
      <c r="F3480" s="28" t="s">
        <v>14</v>
      </c>
      <c r="G3480" s="38"/>
      <c r="H3480" s="38"/>
      <c r="J3480" s="31">
        <f t="shared" si="10"/>
        <v>0</v>
      </c>
    </row>
    <row r="3481">
      <c r="A3481" s="28">
        <v>58.0</v>
      </c>
      <c r="B3481" s="28">
        <v>44.0</v>
      </c>
      <c r="C3481" s="28">
        <v>53.4889941281402</v>
      </c>
      <c r="D3481" s="28">
        <v>9.99909047856488</v>
      </c>
      <c r="E3481" s="28" t="s">
        <v>25</v>
      </c>
      <c r="F3481" s="28" t="s">
        <v>14</v>
      </c>
      <c r="G3481" s="29" t="s">
        <v>30</v>
      </c>
      <c r="H3481" s="30" t="str">
        <f>HYPERLINK("https://www.munzee.com/m/SachensucherHB/1459/", "SachensucherHB/1459")</f>
        <v>SachensucherHB/1459</v>
      </c>
      <c r="J3481" s="31">
        <f t="shared" si="10"/>
        <v>62</v>
      </c>
    </row>
    <row r="3482">
      <c r="A3482" s="28">
        <v>58.0</v>
      </c>
      <c r="B3482" s="28">
        <v>45.0</v>
      </c>
      <c r="C3482" s="28">
        <v>53.4889816009648</v>
      </c>
      <c r="D3482" s="28">
        <v>9.99933113227132</v>
      </c>
      <c r="E3482" s="28" t="s">
        <v>25</v>
      </c>
      <c r="F3482" s="28" t="s">
        <v>14</v>
      </c>
      <c r="G3482" s="29" t="s">
        <v>164</v>
      </c>
      <c r="H3482" s="35" t="s">
        <v>1132</v>
      </c>
      <c r="J3482" s="31">
        <f t="shared" si="10"/>
        <v>133</v>
      </c>
    </row>
    <row r="3483">
      <c r="A3483" s="28">
        <v>58.0</v>
      </c>
      <c r="B3483" s="28">
        <v>46.0</v>
      </c>
      <c r="C3483" s="28">
        <v>53.4889690737894</v>
      </c>
      <c r="D3483" s="28">
        <v>9.99957178590671</v>
      </c>
      <c r="E3483" s="28" t="s">
        <v>25</v>
      </c>
      <c r="F3483" s="28" t="s">
        <v>14</v>
      </c>
      <c r="G3483" s="38"/>
      <c r="H3483" s="38"/>
      <c r="J3483" s="31">
        <f t="shared" si="10"/>
        <v>0</v>
      </c>
    </row>
    <row r="3484">
      <c r="A3484" s="28">
        <v>58.0</v>
      </c>
      <c r="B3484" s="28">
        <v>47.0</v>
      </c>
      <c r="C3484" s="28">
        <v>53.488956546614</v>
      </c>
      <c r="D3484" s="28">
        <v>9.99981243947104</v>
      </c>
      <c r="E3484" s="28" t="s">
        <v>25</v>
      </c>
      <c r="F3484" s="28" t="s">
        <v>14</v>
      </c>
      <c r="G3484" s="29" t="s">
        <v>30</v>
      </c>
      <c r="H3484" s="30" t="str">
        <f>HYPERLINK("https://www.munzee.com/m/SachensucherHB/1463/", "SachensucherHB/1463")</f>
        <v>SachensucherHB/1463</v>
      </c>
      <c r="J3484" s="31">
        <f t="shared" si="10"/>
        <v>62</v>
      </c>
    </row>
    <row r="3485">
      <c r="A3485" s="28">
        <v>58.0</v>
      </c>
      <c r="B3485" s="28">
        <v>48.0</v>
      </c>
      <c r="C3485" s="28">
        <v>53.4889440194386</v>
      </c>
      <c r="D3485" s="28">
        <v>10.0000530929642</v>
      </c>
      <c r="E3485" s="28" t="s">
        <v>25</v>
      </c>
      <c r="F3485" s="28" t="s">
        <v>14</v>
      </c>
      <c r="G3485" s="29" t="s">
        <v>164</v>
      </c>
      <c r="H3485" s="35" t="s">
        <v>1133</v>
      </c>
      <c r="J3485" s="31">
        <f t="shared" si="10"/>
        <v>133</v>
      </c>
    </row>
    <row r="3486">
      <c r="A3486" s="28">
        <v>58.0</v>
      </c>
      <c r="B3486" s="28">
        <v>49.0</v>
      </c>
      <c r="C3486" s="28">
        <v>53.4889314922631</v>
      </c>
      <c r="D3486" s="28">
        <v>10.0002937463863</v>
      </c>
      <c r="E3486" s="28" t="s">
        <v>25</v>
      </c>
      <c r="F3486" s="28" t="s">
        <v>14</v>
      </c>
      <c r="G3486" s="38"/>
      <c r="H3486" s="38"/>
      <c r="J3486" s="31">
        <f t="shared" si="10"/>
        <v>0</v>
      </c>
    </row>
    <row r="3487">
      <c r="A3487" s="28">
        <v>58.0</v>
      </c>
      <c r="B3487" s="28">
        <v>50.0</v>
      </c>
      <c r="C3487" s="28">
        <v>53.4889189650877</v>
      </c>
      <c r="D3487" s="28">
        <v>10.0005343997373</v>
      </c>
      <c r="E3487" s="28" t="s">
        <v>25</v>
      </c>
      <c r="F3487" s="28" t="s">
        <v>14</v>
      </c>
      <c r="G3487" s="29" t="s">
        <v>30</v>
      </c>
      <c r="H3487" s="30" t="str">
        <f>HYPERLINK("https://www.munzee.com/m/SachensucherHB/1468/", "SachensucherHB/1468")</f>
        <v>SachensucherHB/1468</v>
      </c>
      <c r="J3487" s="31">
        <f t="shared" si="10"/>
        <v>62</v>
      </c>
    </row>
    <row r="3488">
      <c r="A3488" s="28">
        <v>58.0</v>
      </c>
      <c r="B3488" s="28">
        <v>51.0</v>
      </c>
      <c r="C3488" s="28">
        <v>53.4889064379123</v>
      </c>
      <c r="D3488" s="28">
        <v>10.0007750530173</v>
      </c>
      <c r="E3488" s="28" t="s">
        <v>25</v>
      </c>
      <c r="F3488" s="28" t="s">
        <v>14</v>
      </c>
      <c r="G3488" s="29" t="s">
        <v>164</v>
      </c>
      <c r="H3488" s="35" t="s">
        <v>1134</v>
      </c>
      <c r="J3488" s="31">
        <f t="shared" si="10"/>
        <v>133</v>
      </c>
    </row>
    <row r="3489">
      <c r="A3489" s="28">
        <v>58.0</v>
      </c>
      <c r="B3489" s="28">
        <v>52.0</v>
      </c>
      <c r="C3489" s="28">
        <v>53.4888939107369</v>
      </c>
      <c r="D3489" s="28">
        <v>10.0010157062262</v>
      </c>
      <c r="E3489" s="28" t="s">
        <v>25</v>
      </c>
      <c r="F3489" s="28" t="s">
        <v>14</v>
      </c>
      <c r="G3489" s="38"/>
      <c r="H3489" s="38"/>
      <c r="J3489" s="31">
        <f t="shared" si="10"/>
        <v>0</v>
      </c>
    </row>
    <row r="3490">
      <c r="A3490" s="28">
        <v>58.0</v>
      </c>
      <c r="B3490" s="28">
        <v>53.0</v>
      </c>
      <c r="C3490" s="28">
        <v>53.4888813835615</v>
      </c>
      <c r="D3490" s="28">
        <v>10.0012563593639</v>
      </c>
      <c r="E3490" s="28" t="s">
        <v>25</v>
      </c>
      <c r="F3490" s="28" t="s">
        <v>14</v>
      </c>
      <c r="G3490" s="29" t="s">
        <v>30</v>
      </c>
      <c r="H3490" s="30" t="str">
        <f>HYPERLINK("https://www.munzee.com/m/SachensucherHB/1471/", "SachensucherHB/1471")</f>
        <v>SachensucherHB/1471</v>
      </c>
      <c r="J3490" s="31">
        <f t="shared" si="10"/>
        <v>62</v>
      </c>
    </row>
    <row r="3491">
      <c r="A3491" s="28">
        <v>58.0</v>
      </c>
      <c r="B3491" s="28">
        <v>54.0</v>
      </c>
      <c r="C3491" s="28">
        <v>53.4888688563861</v>
      </c>
      <c r="D3491" s="28">
        <v>10.0014970124307</v>
      </c>
      <c r="E3491" s="28" t="s">
        <v>25</v>
      </c>
      <c r="F3491" s="28" t="s">
        <v>14</v>
      </c>
      <c r="G3491" s="29" t="s">
        <v>164</v>
      </c>
      <c r="H3491" s="35" t="s">
        <v>1135</v>
      </c>
      <c r="J3491" s="31">
        <f t="shared" si="10"/>
        <v>133</v>
      </c>
    </row>
    <row r="3492">
      <c r="A3492" s="28">
        <v>58.0</v>
      </c>
      <c r="B3492" s="28">
        <v>55.0</v>
      </c>
      <c r="C3492" s="28">
        <v>53.4888563292106</v>
      </c>
      <c r="D3492" s="28">
        <v>10.0017376654263</v>
      </c>
      <c r="E3492" s="28" t="s">
        <v>25</v>
      </c>
      <c r="F3492" s="28" t="s">
        <v>14</v>
      </c>
      <c r="G3492" s="38"/>
      <c r="H3492" s="38"/>
      <c r="J3492" s="31">
        <f t="shared" si="10"/>
        <v>0</v>
      </c>
    </row>
    <row r="3493">
      <c r="A3493" s="28">
        <v>58.0</v>
      </c>
      <c r="B3493" s="28">
        <v>56.0</v>
      </c>
      <c r="C3493" s="28">
        <v>53.4888438020352</v>
      </c>
      <c r="D3493" s="28">
        <v>10.0019783183508</v>
      </c>
      <c r="E3493" s="28" t="s">
        <v>25</v>
      </c>
      <c r="F3493" s="28" t="s">
        <v>14</v>
      </c>
      <c r="G3493" s="29" t="s">
        <v>30</v>
      </c>
      <c r="H3493" s="30" t="str">
        <f>HYPERLINK("https://www.munzee.com/m/SachensucherHB/1478/", "SachensucherHB/1478")</f>
        <v>SachensucherHB/1478</v>
      </c>
      <c r="J3493" s="31">
        <f t="shared" si="10"/>
        <v>62</v>
      </c>
    </row>
    <row r="3494">
      <c r="A3494" s="28">
        <v>58.0</v>
      </c>
      <c r="B3494" s="28">
        <v>57.0</v>
      </c>
      <c r="C3494" s="28">
        <v>53.4888312748598</v>
      </c>
      <c r="D3494" s="28">
        <v>10.0022189712043</v>
      </c>
      <c r="E3494" s="28" t="s">
        <v>25</v>
      </c>
      <c r="F3494" s="28" t="s">
        <v>14</v>
      </c>
      <c r="G3494" s="29" t="s">
        <v>164</v>
      </c>
      <c r="H3494" s="35" t="s">
        <v>1136</v>
      </c>
      <c r="J3494" s="31">
        <f t="shared" si="10"/>
        <v>133</v>
      </c>
    </row>
    <row r="3495">
      <c r="A3495" s="28">
        <v>58.0</v>
      </c>
      <c r="B3495" s="28">
        <v>58.0</v>
      </c>
      <c r="C3495" s="28">
        <v>53.4888187476844</v>
      </c>
      <c r="D3495" s="28">
        <v>10.0024596239867</v>
      </c>
      <c r="E3495" s="28" t="s">
        <v>25</v>
      </c>
      <c r="F3495" s="28" t="s">
        <v>14</v>
      </c>
      <c r="G3495" s="38"/>
      <c r="H3495" s="38"/>
      <c r="J3495" s="31">
        <f t="shared" si="10"/>
        <v>0</v>
      </c>
    </row>
    <row r="3496">
      <c r="A3496" s="28">
        <v>58.0</v>
      </c>
      <c r="B3496" s="28">
        <v>59.0</v>
      </c>
      <c r="C3496" s="28">
        <v>53.4888062205089</v>
      </c>
      <c r="D3496" s="28">
        <v>10.002700276698</v>
      </c>
      <c r="E3496" s="28" t="s">
        <v>25</v>
      </c>
      <c r="F3496" s="28" t="s">
        <v>14</v>
      </c>
      <c r="G3496" s="29" t="s">
        <v>30</v>
      </c>
      <c r="H3496" s="30" t="str">
        <f>HYPERLINK("https://www.munzee.com/m/SachensucherHB/1479/", "SachensucherHB/1479")</f>
        <v>SachensucherHB/1479</v>
      </c>
      <c r="J3496" s="31">
        <f t="shared" si="10"/>
        <v>62</v>
      </c>
    </row>
    <row r="3497">
      <c r="A3497" s="28">
        <v>58.0</v>
      </c>
      <c r="B3497" s="28">
        <v>60.0</v>
      </c>
      <c r="C3497" s="28">
        <v>53.4887936933335</v>
      </c>
      <c r="D3497" s="28">
        <v>10.0029409293383</v>
      </c>
      <c r="E3497" s="28" t="s">
        <v>25</v>
      </c>
      <c r="F3497" s="28" t="s">
        <v>14</v>
      </c>
      <c r="G3497" s="29" t="s">
        <v>27</v>
      </c>
      <c r="H3497" s="30" t="str">
        <f>HYPERLINK("https://www.munzee.com/m/DarkHaribo/12363", "DarkHaribo/12363")</f>
        <v>DarkHaribo/12363</v>
      </c>
      <c r="J3497" s="31">
        <f t="shared" si="10"/>
        <v>103</v>
      </c>
    </row>
    <row r="3498">
      <c r="A3498" s="28">
        <v>59.0</v>
      </c>
      <c r="B3498" s="28">
        <v>1.0</v>
      </c>
      <c r="C3498" s="28">
        <v>53.4893896131736</v>
      </c>
      <c r="D3498" s="28">
        <v>9.98872124727358</v>
      </c>
      <c r="E3498" s="28" t="s">
        <v>25</v>
      </c>
      <c r="F3498" s="28" t="s">
        <v>14</v>
      </c>
      <c r="G3498" s="38"/>
      <c r="H3498" s="38"/>
      <c r="J3498" s="31">
        <f t="shared" si="10"/>
        <v>0</v>
      </c>
    </row>
    <row r="3499">
      <c r="A3499" s="28">
        <v>59.0</v>
      </c>
      <c r="B3499" s="28">
        <v>2.0</v>
      </c>
      <c r="C3499" s="28">
        <v>53.4893770859982</v>
      </c>
      <c r="D3499" s="28">
        <v>9.98896190322398</v>
      </c>
      <c r="E3499" s="28" t="s">
        <v>25</v>
      </c>
      <c r="F3499" s="28" t="s">
        <v>14</v>
      </c>
      <c r="G3499" s="38"/>
      <c r="H3499" s="38"/>
      <c r="J3499" s="31">
        <f t="shared" si="10"/>
        <v>0</v>
      </c>
    </row>
    <row r="3500">
      <c r="A3500" s="28">
        <v>59.0</v>
      </c>
      <c r="B3500" s="28">
        <v>3.0</v>
      </c>
      <c r="C3500" s="28">
        <v>53.4893645588228</v>
      </c>
      <c r="D3500" s="28">
        <v>9.98920255910331</v>
      </c>
      <c r="E3500" s="28" t="s">
        <v>25</v>
      </c>
      <c r="F3500" s="28" t="s">
        <v>14</v>
      </c>
      <c r="G3500" s="38"/>
      <c r="H3500" s="38"/>
      <c r="J3500" s="31">
        <f t="shared" si="10"/>
        <v>0</v>
      </c>
    </row>
    <row r="3501">
      <c r="A3501" s="28">
        <v>59.0</v>
      </c>
      <c r="B3501" s="28">
        <v>4.0</v>
      </c>
      <c r="C3501" s="28">
        <v>53.4893520316474</v>
      </c>
      <c r="D3501" s="28">
        <v>9.9894432149116</v>
      </c>
      <c r="E3501" s="28" t="s">
        <v>25</v>
      </c>
      <c r="F3501" s="28" t="s">
        <v>14</v>
      </c>
      <c r="G3501" s="38"/>
      <c r="H3501" s="38"/>
      <c r="J3501" s="31">
        <f t="shared" si="10"/>
        <v>0</v>
      </c>
    </row>
    <row r="3502">
      <c r="A3502" s="28">
        <v>59.0</v>
      </c>
      <c r="B3502" s="28">
        <v>5.0</v>
      </c>
      <c r="C3502" s="28">
        <v>53.4893395044719</v>
      </c>
      <c r="D3502" s="28">
        <v>9.98968387064883</v>
      </c>
      <c r="E3502" s="28" t="s">
        <v>25</v>
      </c>
      <c r="F3502" s="28" t="s">
        <v>14</v>
      </c>
      <c r="G3502" s="38"/>
      <c r="H3502" s="38"/>
      <c r="J3502" s="31">
        <f t="shared" si="10"/>
        <v>0</v>
      </c>
    </row>
    <row r="3503">
      <c r="A3503" s="28">
        <v>59.0</v>
      </c>
      <c r="B3503" s="28">
        <v>6.0</v>
      </c>
      <c r="C3503" s="28">
        <v>53.4893269772965</v>
      </c>
      <c r="D3503" s="28">
        <v>9.98992452631489</v>
      </c>
      <c r="E3503" s="28" t="s">
        <v>25</v>
      </c>
      <c r="F3503" s="28" t="s">
        <v>14</v>
      </c>
      <c r="G3503" s="38"/>
      <c r="H3503" s="38"/>
      <c r="J3503" s="31">
        <f t="shared" si="10"/>
        <v>0</v>
      </c>
    </row>
    <row r="3504">
      <c r="A3504" s="28">
        <v>59.0</v>
      </c>
      <c r="B3504" s="28">
        <v>7.0</v>
      </c>
      <c r="C3504" s="28">
        <v>53.4893144501211</v>
      </c>
      <c r="D3504" s="28">
        <v>9.9901651819099</v>
      </c>
      <c r="E3504" s="28" t="s">
        <v>25</v>
      </c>
      <c r="F3504" s="28" t="s">
        <v>14</v>
      </c>
      <c r="G3504" s="38"/>
      <c r="H3504" s="38"/>
      <c r="J3504" s="31">
        <f t="shared" si="10"/>
        <v>0</v>
      </c>
    </row>
    <row r="3505">
      <c r="A3505" s="28">
        <v>59.0</v>
      </c>
      <c r="B3505" s="28">
        <v>8.0</v>
      </c>
      <c r="C3505" s="28">
        <v>53.4893019229457</v>
      </c>
      <c r="D3505" s="28">
        <v>9.99040583743385</v>
      </c>
      <c r="E3505" s="28" t="s">
        <v>25</v>
      </c>
      <c r="F3505" s="28" t="s">
        <v>14</v>
      </c>
      <c r="G3505" s="38"/>
      <c r="H3505" s="38"/>
      <c r="J3505" s="31">
        <f t="shared" si="10"/>
        <v>0</v>
      </c>
    </row>
    <row r="3506">
      <c r="A3506" s="28">
        <v>59.0</v>
      </c>
      <c r="B3506" s="28">
        <v>9.0</v>
      </c>
      <c r="C3506" s="28">
        <v>53.4892893957703</v>
      </c>
      <c r="D3506" s="28">
        <v>9.99064649288675</v>
      </c>
      <c r="E3506" s="28" t="s">
        <v>25</v>
      </c>
      <c r="F3506" s="28" t="s">
        <v>14</v>
      </c>
      <c r="G3506" s="38"/>
      <c r="H3506" s="38"/>
      <c r="J3506" s="31">
        <f t="shared" si="10"/>
        <v>0</v>
      </c>
    </row>
    <row r="3507">
      <c r="A3507" s="28">
        <v>59.0</v>
      </c>
      <c r="B3507" s="28">
        <v>10.0</v>
      </c>
      <c r="C3507" s="28">
        <v>53.4892768685948</v>
      </c>
      <c r="D3507" s="28">
        <v>9.99088714826848</v>
      </c>
      <c r="E3507" s="28" t="s">
        <v>25</v>
      </c>
      <c r="F3507" s="28" t="s">
        <v>14</v>
      </c>
      <c r="G3507" s="38"/>
      <c r="H3507" s="38"/>
      <c r="J3507" s="31">
        <f t="shared" si="10"/>
        <v>0</v>
      </c>
    </row>
    <row r="3508">
      <c r="A3508" s="28">
        <v>59.0</v>
      </c>
      <c r="B3508" s="28">
        <v>11.0</v>
      </c>
      <c r="C3508" s="28">
        <v>53.4892643414194</v>
      </c>
      <c r="D3508" s="28">
        <v>9.99112780357916</v>
      </c>
      <c r="E3508" s="28" t="s">
        <v>25</v>
      </c>
      <c r="F3508" s="28" t="s">
        <v>14</v>
      </c>
      <c r="G3508" s="38"/>
      <c r="H3508" s="38"/>
      <c r="J3508" s="31">
        <f t="shared" si="10"/>
        <v>0</v>
      </c>
    </row>
    <row r="3509">
      <c r="A3509" s="28">
        <v>59.0</v>
      </c>
      <c r="B3509" s="28">
        <v>12.0</v>
      </c>
      <c r="C3509" s="28">
        <v>53.489251814244</v>
      </c>
      <c r="D3509" s="28">
        <v>9.99136845881878</v>
      </c>
      <c r="E3509" s="28" t="s">
        <v>25</v>
      </c>
      <c r="F3509" s="28" t="s">
        <v>14</v>
      </c>
      <c r="G3509" s="38"/>
      <c r="H3509" s="38"/>
      <c r="J3509" s="31">
        <f t="shared" si="10"/>
        <v>0</v>
      </c>
    </row>
    <row r="3510">
      <c r="A3510" s="28">
        <v>59.0</v>
      </c>
      <c r="B3510" s="28">
        <v>13.0</v>
      </c>
      <c r="C3510" s="28">
        <v>53.4892392870686</v>
      </c>
      <c r="D3510" s="28">
        <v>9.99160911398735</v>
      </c>
      <c r="E3510" s="28" t="s">
        <v>25</v>
      </c>
      <c r="F3510" s="28" t="s">
        <v>14</v>
      </c>
      <c r="G3510" s="38"/>
      <c r="H3510" s="38"/>
      <c r="J3510" s="31">
        <f t="shared" si="10"/>
        <v>0</v>
      </c>
    </row>
    <row r="3511">
      <c r="A3511" s="28">
        <v>59.0</v>
      </c>
      <c r="B3511" s="28">
        <v>14.0</v>
      </c>
      <c r="C3511" s="28">
        <v>53.4892267598932</v>
      </c>
      <c r="D3511" s="28">
        <v>9.99184976908486</v>
      </c>
      <c r="E3511" s="28" t="s">
        <v>25</v>
      </c>
      <c r="F3511" s="28" t="s">
        <v>14</v>
      </c>
      <c r="G3511" s="38"/>
      <c r="H3511" s="38"/>
      <c r="J3511" s="31">
        <f t="shared" si="10"/>
        <v>0</v>
      </c>
    </row>
    <row r="3512">
      <c r="A3512" s="28">
        <v>59.0</v>
      </c>
      <c r="B3512" s="28">
        <v>15.0</v>
      </c>
      <c r="C3512" s="28">
        <v>53.4892142327178</v>
      </c>
      <c r="D3512" s="28">
        <v>9.99209042411121</v>
      </c>
      <c r="E3512" s="28" t="s">
        <v>25</v>
      </c>
      <c r="F3512" s="28" t="s">
        <v>14</v>
      </c>
      <c r="G3512" s="38"/>
      <c r="H3512" s="38"/>
      <c r="J3512" s="31">
        <f t="shared" si="10"/>
        <v>0</v>
      </c>
    </row>
    <row r="3513">
      <c r="A3513" s="28">
        <v>59.0</v>
      </c>
      <c r="B3513" s="28">
        <v>16.0</v>
      </c>
      <c r="C3513" s="28">
        <v>53.4892017055423</v>
      </c>
      <c r="D3513" s="28">
        <v>9.9923310790665</v>
      </c>
      <c r="E3513" s="28" t="s">
        <v>25</v>
      </c>
      <c r="F3513" s="28" t="s">
        <v>14</v>
      </c>
      <c r="G3513" s="38"/>
      <c r="H3513" s="38"/>
      <c r="J3513" s="31">
        <f t="shared" si="10"/>
        <v>0</v>
      </c>
    </row>
    <row r="3514">
      <c r="A3514" s="28">
        <v>59.0</v>
      </c>
      <c r="B3514" s="28">
        <v>17.0</v>
      </c>
      <c r="C3514" s="28">
        <v>53.4891891783669</v>
      </c>
      <c r="D3514" s="28">
        <v>9.99257173395074</v>
      </c>
      <c r="E3514" s="28" t="s">
        <v>25</v>
      </c>
      <c r="F3514" s="28" t="s">
        <v>14</v>
      </c>
      <c r="G3514" s="38"/>
      <c r="H3514" s="38"/>
      <c r="J3514" s="31">
        <f t="shared" si="10"/>
        <v>0</v>
      </c>
    </row>
    <row r="3515">
      <c r="A3515" s="28">
        <v>59.0</v>
      </c>
      <c r="B3515" s="28">
        <v>18.0</v>
      </c>
      <c r="C3515" s="28">
        <v>53.4891766511915</v>
      </c>
      <c r="D3515" s="28">
        <v>9.99281238876392</v>
      </c>
      <c r="E3515" s="28" t="s">
        <v>25</v>
      </c>
      <c r="F3515" s="28" t="s">
        <v>14</v>
      </c>
      <c r="G3515" s="38"/>
      <c r="H3515" s="38"/>
      <c r="J3515" s="31">
        <f t="shared" si="10"/>
        <v>0</v>
      </c>
    </row>
    <row r="3516">
      <c r="A3516" s="28">
        <v>59.0</v>
      </c>
      <c r="B3516" s="28">
        <v>19.0</v>
      </c>
      <c r="C3516" s="28">
        <v>53.4891641240161</v>
      </c>
      <c r="D3516" s="28">
        <v>9.99305304350593</v>
      </c>
      <c r="E3516" s="28" t="s">
        <v>25</v>
      </c>
      <c r="F3516" s="28" t="s">
        <v>14</v>
      </c>
      <c r="G3516" s="38"/>
      <c r="H3516" s="38"/>
      <c r="J3516" s="31">
        <f t="shared" si="10"/>
        <v>0</v>
      </c>
    </row>
    <row r="3517">
      <c r="A3517" s="28">
        <v>59.0</v>
      </c>
      <c r="B3517" s="28">
        <v>20.0</v>
      </c>
      <c r="C3517" s="28">
        <v>53.4891515968407</v>
      </c>
      <c r="D3517" s="28">
        <v>9.99329369817689</v>
      </c>
      <c r="E3517" s="28" t="s">
        <v>25</v>
      </c>
      <c r="F3517" s="28" t="s">
        <v>14</v>
      </c>
      <c r="G3517" s="38"/>
      <c r="H3517" s="38"/>
      <c r="J3517" s="31">
        <f t="shared" si="10"/>
        <v>0</v>
      </c>
    </row>
    <row r="3518">
      <c r="A3518" s="28">
        <v>59.0</v>
      </c>
      <c r="B3518" s="28">
        <v>21.0</v>
      </c>
      <c r="C3518" s="28">
        <v>53.4891390696652</v>
      </c>
      <c r="D3518" s="28">
        <v>9.9935343527768</v>
      </c>
      <c r="E3518" s="28" t="s">
        <v>25</v>
      </c>
      <c r="F3518" s="28" t="s">
        <v>14</v>
      </c>
      <c r="G3518" s="38"/>
      <c r="H3518" s="38"/>
      <c r="J3518" s="31">
        <f t="shared" si="10"/>
        <v>0</v>
      </c>
    </row>
    <row r="3519">
      <c r="A3519" s="28">
        <v>59.0</v>
      </c>
      <c r="B3519" s="28">
        <v>22.0</v>
      </c>
      <c r="C3519" s="28">
        <v>53.4891265424898</v>
      </c>
      <c r="D3519" s="28">
        <v>9.99377500730565</v>
      </c>
      <c r="E3519" s="28" t="s">
        <v>25</v>
      </c>
      <c r="F3519" s="28" t="s">
        <v>14</v>
      </c>
      <c r="G3519" s="38"/>
      <c r="H3519" s="38"/>
      <c r="J3519" s="31">
        <f t="shared" si="10"/>
        <v>0</v>
      </c>
    </row>
    <row r="3520">
      <c r="A3520" s="28">
        <v>59.0</v>
      </c>
      <c r="B3520" s="28">
        <v>23.0</v>
      </c>
      <c r="C3520" s="28">
        <v>53.4891140153144</v>
      </c>
      <c r="D3520" s="28">
        <v>9.99401566176334</v>
      </c>
      <c r="E3520" s="28" t="s">
        <v>25</v>
      </c>
      <c r="F3520" s="28" t="s">
        <v>14</v>
      </c>
      <c r="G3520" s="38"/>
      <c r="H3520" s="38"/>
      <c r="J3520" s="31">
        <f t="shared" si="10"/>
        <v>0</v>
      </c>
    </row>
    <row r="3521">
      <c r="A3521" s="28">
        <v>59.0</v>
      </c>
      <c r="B3521" s="28">
        <v>24.0</v>
      </c>
      <c r="C3521" s="28">
        <v>53.489101488139</v>
      </c>
      <c r="D3521" s="28">
        <v>9.99425631614997</v>
      </c>
      <c r="E3521" s="28" t="s">
        <v>25</v>
      </c>
      <c r="F3521" s="28" t="s">
        <v>14</v>
      </c>
      <c r="G3521" s="38"/>
      <c r="H3521" s="38"/>
      <c r="J3521" s="31">
        <f t="shared" si="10"/>
        <v>0</v>
      </c>
    </row>
    <row r="3522">
      <c r="A3522" s="28">
        <v>59.0</v>
      </c>
      <c r="B3522" s="28">
        <v>25.0</v>
      </c>
      <c r="C3522" s="28">
        <v>53.4890889609636</v>
      </c>
      <c r="D3522" s="28">
        <v>9.99449697046554</v>
      </c>
      <c r="E3522" s="28" t="s">
        <v>25</v>
      </c>
      <c r="F3522" s="28" t="s">
        <v>14</v>
      </c>
      <c r="G3522" s="38"/>
      <c r="H3522" s="38"/>
      <c r="J3522" s="31">
        <f t="shared" si="10"/>
        <v>0</v>
      </c>
    </row>
    <row r="3523">
      <c r="A3523" s="28">
        <v>59.0</v>
      </c>
      <c r="B3523" s="28">
        <v>26.0</v>
      </c>
      <c r="C3523" s="28">
        <v>53.4890764337882</v>
      </c>
      <c r="D3523" s="28">
        <v>9.99473762471007</v>
      </c>
      <c r="E3523" s="28" t="s">
        <v>25</v>
      </c>
      <c r="F3523" s="28" t="s">
        <v>14</v>
      </c>
      <c r="G3523" s="38"/>
      <c r="H3523" s="38"/>
      <c r="J3523" s="31">
        <f t="shared" si="10"/>
        <v>0</v>
      </c>
    </row>
    <row r="3524">
      <c r="A3524" s="28">
        <v>59.0</v>
      </c>
      <c r="B3524" s="28">
        <v>27.0</v>
      </c>
      <c r="C3524" s="28">
        <v>53.4890639066127</v>
      </c>
      <c r="D3524" s="28">
        <v>9.99497827888353</v>
      </c>
      <c r="E3524" s="28" t="s">
        <v>25</v>
      </c>
      <c r="F3524" s="28" t="s">
        <v>14</v>
      </c>
      <c r="G3524" s="38"/>
      <c r="H3524" s="38"/>
      <c r="J3524" s="31">
        <f t="shared" si="10"/>
        <v>0</v>
      </c>
    </row>
    <row r="3525">
      <c r="A3525" s="28">
        <v>59.0</v>
      </c>
      <c r="B3525" s="28">
        <v>28.0</v>
      </c>
      <c r="C3525" s="28">
        <v>53.4890513794373</v>
      </c>
      <c r="D3525" s="28">
        <v>9.99521893298583</v>
      </c>
      <c r="E3525" s="28" t="s">
        <v>25</v>
      </c>
      <c r="F3525" s="28" t="s">
        <v>14</v>
      </c>
      <c r="G3525" s="38"/>
      <c r="H3525" s="38"/>
      <c r="J3525" s="31">
        <f t="shared" si="10"/>
        <v>0</v>
      </c>
    </row>
    <row r="3526">
      <c r="A3526" s="28">
        <v>59.0</v>
      </c>
      <c r="B3526" s="28">
        <v>29.0</v>
      </c>
      <c r="C3526" s="28">
        <v>53.4890388522619</v>
      </c>
      <c r="D3526" s="28">
        <v>9.99545958701708</v>
      </c>
      <c r="E3526" s="28" t="s">
        <v>25</v>
      </c>
      <c r="F3526" s="28" t="s">
        <v>14</v>
      </c>
      <c r="G3526" s="38"/>
      <c r="H3526" s="38"/>
      <c r="J3526" s="31">
        <f t="shared" si="10"/>
        <v>0</v>
      </c>
    </row>
    <row r="3527">
      <c r="A3527" s="28">
        <v>59.0</v>
      </c>
      <c r="B3527" s="28">
        <v>30.0</v>
      </c>
      <c r="C3527" s="28">
        <v>53.4890263250865</v>
      </c>
      <c r="D3527" s="28">
        <v>9.99570024097727</v>
      </c>
      <c r="E3527" s="28" t="s">
        <v>25</v>
      </c>
      <c r="F3527" s="28" t="s">
        <v>14</v>
      </c>
      <c r="G3527" s="38"/>
      <c r="H3527" s="38"/>
      <c r="J3527" s="31">
        <f t="shared" si="10"/>
        <v>0</v>
      </c>
    </row>
    <row r="3528">
      <c r="A3528" s="28">
        <v>59.0</v>
      </c>
      <c r="B3528" s="28">
        <v>31.0</v>
      </c>
      <c r="C3528" s="28">
        <v>53.4890137979111</v>
      </c>
      <c r="D3528" s="28">
        <v>9.9959408948664</v>
      </c>
      <c r="E3528" s="28" t="s">
        <v>25</v>
      </c>
      <c r="F3528" s="28" t="s">
        <v>14</v>
      </c>
      <c r="G3528" s="38"/>
      <c r="H3528" s="38"/>
      <c r="J3528" s="31">
        <f t="shared" si="10"/>
        <v>0</v>
      </c>
    </row>
    <row r="3529">
      <c r="A3529" s="28">
        <v>59.0</v>
      </c>
      <c r="B3529" s="28">
        <v>32.0</v>
      </c>
      <c r="C3529" s="28">
        <v>53.4890012707357</v>
      </c>
      <c r="D3529" s="28">
        <v>9.99618154868449</v>
      </c>
      <c r="E3529" s="28" t="s">
        <v>25</v>
      </c>
      <c r="F3529" s="28" t="s">
        <v>14</v>
      </c>
      <c r="G3529" s="38"/>
      <c r="H3529" s="38"/>
      <c r="J3529" s="31">
        <f t="shared" si="10"/>
        <v>0</v>
      </c>
    </row>
    <row r="3530">
      <c r="A3530" s="28">
        <v>59.0</v>
      </c>
      <c r="B3530" s="28">
        <v>33.0</v>
      </c>
      <c r="C3530" s="28">
        <v>53.4889887435603</v>
      </c>
      <c r="D3530" s="28">
        <v>9.9964222024314</v>
      </c>
      <c r="E3530" s="28" t="s">
        <v>25</v>
      </c>
      <c r="F3530" s="28" t="s">
        <v>14</v>
      </c>
      <c r="G3530" s="38"/>
      <c r="H3530" s="38"/>
      <c r="J3530" s="31">
        <f t="shared" si="10"/>
        <v>0</v>
      </c>
    </row>
    <row r="3531">
      <c r="A3531" s="28">
        <v>59.0</v>
      </c>
      <c r="B3531" s="28">
        <v>34.0</v>
      </c>
      <c r="C3531" s="28">
        <v>53.4889762163848</v>
      </c>
      <c r="D3531" s="28">
        <v>9.99666285610726</v>
      </c>
      <c r="E3531" s="28" t="s">
        <v>25</v>
      </c>
      <c r="F3531" s="28" t="s">
        <v>14</v>
      </c>
      <c r="G3531" s="38"/>
      <c r="H3531" s="38"/>
      <c r="J3531" s="31">
        <f t="shared" si="10"/>
        <v>0</v>
      </c>
    </row>
    <row r="3532">
      <c r="A3532" s="28">
        <v>59.0</v>
      </c>
      <c r="B3532" s="28">
        <v>35.0</v>
      </c>
      <c r="C3532" s="28">
        <v>53.4889636892094</v>
      </c>
      <c r="D3532" s="28">
        <v>9.99690350971207</v>
      </c>
      <c r="E3532" s="28" t="s">
        <v>25</v>
      </c>
      <c r="F3532" s="28" t="s">
        <v>14</v>
      </c>
      <c r="G3532" s="38"/>
      <c r="H3532" s="38"/>
      <c r="J3532" s="31">
        <f t="shared" si="10"/>
        <v>0</v>
      </c>
    </row>
    <row r="3533">
      <c r="A3533" s="28">
        <v>59.0</v>
      </c>
      <c r="B3533" s="28">
        <v>36.0</v>
      </c>
      <c r="C3533" s="28">
        <v>53.488951162034</v>
      </c>
      <c r="D3533" s="28">
        <v>9.99714416324582</v>
      </c>
      <c r="E3533" s="28" t="s">
        <v>25</v>
      </c>
      <c r="F3533" s="28" t="s">
        <v>14</v>
      </c>
      <c r="G3533" s="38"/>
      <c r="H3533" s="38"/>
      <c r="J3533" s="31">
        <f t="shared" si="10"/>
        <v>0</v>
      </c>
    </row>
    <row r="3534">
      <c r="A3534" s="28">
        <v>59.0</v>
      </c>
      <c r="B3534" s="28">
        <v>37.0</v>
      </c>
      <c r="C3534" s="28">
        <v>53.4889386348586</v>
      </c>
      <c r="D3534" s="28">
        <v>9.99738481670851</v>
      </c>
      <c r="E3534" s="28" t="s">
        <v>25</v>
      </c>
      <c r="F3534" s="28" t="s">
        <v>14</v>
      </c>
      <c r="G3534" s="38"/>
      <c r="H3534" s="38"/>
      <c r="J3534" s="31">
        <f t="shared" si="10"/>
        <v>0</v>
      </c>
    </row>
    <row r="3535">
      <c r="A3535" s="28">
        <v>59.0</v>
      </c>
      <c r="B3535" s="28">
        <v>38.0</v>
      </c>
      <c r="C3535" s="28">
        <v>53.4889261076832</v>
      </c>
      <c r="D3535" s="28">
        <v>9.99762547010004</v>
      </c>
      <c r="E3535" s="28" t="s">
        <v>25</v>
      </c>
      <c r="F3535" s="28" t="s">
        <v>14</v>
      </c>
      <c r="G3535" s="38"/>
      <c r="H3535" s="38"/>
      <c r="J3535" s="31">
        <f t="shared" si="10"/>
        <v>0</v>
      </c>
    </row>
    <row r="3536">
      <c r="A3536" s="28">
        <v>59.0</v>
      </c>
      <c r="B3536" s="28">
        <v>39.0</v>
      </c>
      <c r="C3536" s="28">
        <v>53.4889135805078</v>
      </c>
      <c r="D3536" s="28">
        <v>9.99786612342052</v>
      </c>
      <c r="E3536" s="28" t="s">
        <v>25</v>
      </c>
      <c r="F3536" s="28" t="s">
        <v>14</v>
      </c>
      <c r="G3536" s="38"/>
      <c r="H3536" s="38"/>
      <c r="J3536" s="31">
        <f t="shared" si="10"/>
        <v>0</v>
      </c>
    </row>
    <row r="3537">
      <c r="A3537" s="28">
        <v>59.0</v>
      </c>
      <c r="B3537" s="28">
        <v>40.0</v>
      </c>
      <c r="C3537" s="28">
        <v>53.4889010533323</v>
      </c>
      <c r="D3537" s="28">
        <v>9.99810677666994</v>
      </c>
      <c r="E3537" s="28" t="s">
        <v>25</v>
      </c>
      <c r="F3537" s="28" t="s">
        <v>14</v>
      </c>
      <c r="G3537" s="38"/>
      <c r="H3537" s="38"/>
      <c r="J3537" s="31">
        <f t="shared" si="10"/>
        <v>0</v>
      </c>
    </row>
    <row r="3538">
      <c r="A3538" s="28">
        <v>59.0</v>
      </c>
      <c r="B3538" s="28">
        <v>41.0</v>
      </c>
      <c r="C3538" s="28">
        <v>53.4888885261569</v>
      </c>
      <c r="D3538" s="28">
        <v>9.9983474298483</v>
      </c>
      <c r="E3538" s="28" t="s">
        <v>25</v>
      </c>
      <c r="F3538" s="28" t="s">
        <v>14</v>
      </c>
      <c r="G3538" s="38"/>
      <c r="H3538" s="38"/>
      <c r="J3538" s="31">
        <f t="shared" si="10"/>
        <v>0</v>
      </c>
    </row>
    <row r="3539">
      <c r="A3539" s="28">
        <v>59.0</v>
      </c>
      <c r="B3539" s="28">
        <v>42.0</v>
      </c>
      <c r="C3539" s="28">
        <v>53.4888759989815</v>
      </c>
      <c r="D3539" s="28">
        <v>9.99858808295562</v>
      </c>
      <c r="E3539" s="28" t="s">
        <v>25</v>
      </c>
      <c r="F3539" s="28" t="s">
        <v>14</v>
      </c>
      <c r="G3539" s="38"/>
      <c r="H3539" s="38"/>
      <c r="J3539" s="31">
        <f t="shared" si="10"/>
        <v>0</v>
      </c>
    </row>
    <row r="3540">
      <c r="A3540" s="28">
        <v>59.0</v>
      </c>
      <c r="B3540" s="28">
        <v>43.0</v>
      </c>
      <c r="C3540" s="28">
        <v>53.4888634718061</v>
      </c>
      <c r="D3540" s="28">
        <v>9.99882873599176</v>
      </c>
      <c r="E3540" s="28" t="s">
        <v>25</v>
      </c>
      <c r="F3540" s="28" t="s">
        <v>14</v>
      </c>
      <c r="G3540" s="38"/>
      <c r="H3540" s="38"/>
      <c r="J3540" s="31">
        <f t="shared" si="10"/>
        <v>0</v>
      </c>
    </row>
    <row r="3541">
      <c r="A3541" s="28">
        <v>59.0</v>
      </c>
      <c r="B3541" s="28">
        <v>44.0</v>
      </c>
      <c r="C3541" s="28">
        <v>53.4888509446307</v>
      </c>
      <c r="D3541" s="28">
        <v>9.99906938895685</v>
      </c>
      <c r="E3541" s="28" t="s">
        <v>25</v>
      </c>
      <c r="F3541" s="28" t="s">
        <v>14</v>
      </c>
      <c r="G3541" s="38"/>
      <c r="H3541" s="38"/>
      <c r="J3541" s="31">
        <f t="shared" si="10"/>
        <v>0</v>
      </c>
    </row>
    <row r="3542">
      <c r="A3542" s="28">
        <v>59.0</v>
      </c>
      <c r="B3542" s="28">
        <v>45.0</v>
      </c>
      <c r="C3542" s="28">
        <v>53.4888384174553</v>
      </c>
      <c r="D3542" s="28">
        <v>9.99931004185089</v>
      </c>
      <c r="E3542" s="28" t="s">
        <v>25</v>
      </c>
      <c r="F3542" s="28" t="s">
        <v>14</v>
      </c>
      <c r="G3542" s="38"/>
      <c r="H3542" s="38"/>
      <c r="J3542" s="31">
        <f t="shared" si="10"/>
        <v>0</v>
      </c>
    </row>
    <row r="3543">
      <c r="A3543" s="28">
        <v>59.0</v>
      </c>
      <c r="B3543" s="28">
        <v>46.0</v>
      </c>
      <c r="C3543" s="28">
        <v>53.4888258902799</v>
      </c>
      <c r="D3543" s="28">
        <v>9.99955069467387</v>
      </c>
      <c r="E3543" s="28" t="s">
        <v>25</v>
      </c>
      <c r="F3543" s="28" t="s">
        <v>14</v>
      </c>
      <c r="G3543" s="38"/>
      <c r="H3543" s="38"/>
      <c r="J3543" s="31">
        <f t="shared" si="10"/>
        <v>0</v>
      </c>
    </row>
    <row r="3544">
      <c r="A3544" s="28">
        <v>59.0</v>
      </c>
      <c r="B3544" s="28">
        <v>47.0</v>
      </c>
      <c r="C3544" s="28">
        <v>53.4888133631044</v>
      </c>
      <c r="D3544" s="28">
        <v>9.99979134742568</v>
      </c>
      <c r="E3544" s="28" t="s">
        <v>25</v>
      </c>
      <c r="F3544" s="28" t="s">
        <v>14</v>
      </c>
      <c r="G3544" s="38"/>
      <c r="H3544" s="38"/>
      <c r="J3544" s="31">
        <f t="shared" si="10"/>
        <v>0</v>
      </c>
    </row>
    <row r="3545">
      <c r="A3545" s="28">
        <v>59.0</v>
      </c>
      <c r="B3545" s="28">
        <v>48.0</v>
      </c>
      <c r="C3545" s="28">
        <v>53.488800835929</v>
      </c>
      <c r="D3545" s="28">
        <v>10.0000320001064</v>
      </c>
      <c r="E3545" s="28" t="s">
        <v>25</v>
      </c>
      <c r="F3545" s="28" t="s">
        <v>14</v>
      </c>
      <c r="G3545" s="38"/>
      <c r="H3545" s="38"/>
      <c r="J3545" s="31">
        <f t="shared" si="10"/>
        <v>0</v>
      </c>
    </row>
    <row r="3546">
      <c r="A3546" s="28">
        <v>59.0</v>
      </c>
      <c r="B3546" s="28">
        <v>49.0</v>
      </c>
      <c r="C3546" s="28">
        <v>53.4887883087536</v>
      </c>
      <c r="D3546" s="28">
        <v>10.0002726527161</v>
      </c>
      <c r="E3546" s="28" t="s">
        <v>25</v>
      </c>
      <c r="F3546" s="28" t="s">
        <v>14</v>
      </c>
      <c r="G3546" s="38"/>
      <c r="H3546" s="38"/>
      <c r="J3546" s="31">
        <f t="shared" si="10"/>
        <v>0</v>
      </c>
    </row>
    <row r="3547">
      <c r="A3547" s="28">
        <v>59.0</v>
      </c>
      <c r="B3547" s="28">
        <v>50.0</v>
      </c>
      <c r="C3547" s="28">
        <v>53.4887757815782</v>
      </c>
      <c r="D3547" s="28">
        <v>10.0005133052547</v>
      </c>
      <c r="E3547" s="28" t="s">
        <v>25</v>
      </c>
      <c r="F3547" s="28" t="s">
        <v>14</v>
      </c>
      <c r="G3547" s="38"/>
      <c r="H3547" s="38"/>
      <c r="J3547" s="31">
        <f t="shared" si="10"/>
        <v>0</v>
      </c>
    </row>
    <row r="3548">
      <c r="A3548" s="28">
        <v>59.0</v>
      </c>
      <c r="B3548" s="28">
        <v>51.0</v>
      </c>
      <c r="C3548" s="28">
        <v>53.4887632544028</v>
      </c>
      <c r="D3548" s="28">
        <v>10.0007539577222</v>
      </c>
      <c r="E3548" s="28" t="s">
        <v>25</v>
      </c>
      <c r="F3548" s="28" t="s">
        <v>14</v>
      </c>
      <c r="G3548" s="38"/>
      <c r="H3548" s="38"/>
      <c r="J3548" s="31">
        <f t="shared" si="10"/>
        <v>0</v>
      </c>
    </row>
    <row r="3549">
      <c r="A3549" s="28">
        <v>59.0</v>
      </c>
      <c r="B3549" s="28">
        <v>52.0</v>
      </c>
      <c r="C3549" s="28">
        <v>53.4887507272274</v>
      </c>
      <c r="D3549" s="28">
        <v>10.0009946101187</v>
      </c>
      <c r="E3549" s="28" t="s">
        <v>25</v>
      </c>
      <c r="F3549" s="28" t="s">
        <v>14</v>
      </c>
      <c r="G3549" s="38"/>
      <c r="H3549" s="38"/>
      <c r="J3549" s="31">
        <f t="shared" si="10"/>
        <v>0</v>
      </c>
    </row>
    <row r="3550">
      <c r="A3550" s="28">
        <v>59.0</v>
      </c>
      <c r="B3550" s="28">
        <v>53.0</v>
      </c>
      <c r="C3550" s="28">
        <v>53.488738200052</v>
      </c>
      <c r="D3550" s="28">
        <v>10.001235262444</v>
      </c>
      <c r="E3550" s="28" t="s">
        <v>25</v>
      </c>
      <c r="F3550" s="28" t="s">
        <v>14</v>
      </c>
      <c r="G3550" s="38"/>
      <c r="H3550" s="38"/>
      <c r="J3550" s="31">
        <f t="shared" si="10"/>
        <v>0</v>
      </c>
    </row>
    <row r="3551">
      <c r="A3551" s="28">
        <v>59.0</v>
      </c>
      <c r="B3551" s="28">
        <v>54.0</v>
      </c>
      <c r="C3551" s="28">
        <v>53.4887256728765</v>
      </c>
      <c r="D3551" s="28">
        <v>10.0014759146984</v>
      </c>
      <c r="E3551" s="28" t="s">
        <v>25</v>
      </c>
      <c r="F3551" s="28" t="s">
        <v>14</v>
      </c>
      <c r="G3551" s="38"/>
      <c r="H3551" s="38"/>
      <c r="J3551" s="31">
        <f t="shared" si="10"/>
        <v>0</v>
      </c>
    </row>
    <row r="3552">
      <c r="A3552" s="28">
        <v>59.0</v>
      </c>
      <c r="B3552" s="28">
        <v>55.0</v>
      </c>
      <c r="C3552" s="28">
        <v>53.4887131457011</v>
      </c>
      <c r="D3552" s="28">
        <v>10.0017165668816</v>
      </c>
      <c r="E3552" s="28" t="s">
        <v>25</v>
      </c>
      <c r="F3552" s="28" t="s">
        <v>14</v>
      </c>
      <c r="G3552" s="38"/>
      <c r="H3552" s="38"/>
      <c r="J3552" s="31">
        <f t="shared" si="10"/>
        <v>0</v>
      </c>
    </row>
    <row r="3553">
      <c r="A3553" s="28">
        <v>59.0</v>
      </c>
      <c r="B3553" s="28">
        <v>56.0</v>
      </c>
      <c r="C3553" s="28">
        <v>53.4887006185257</v>
      </c>
      <c r="D3553" s="28">
        <v>10.0019572189937</v>
      </c>
      <c r="E3553" s="28" t="s">
        <v>25</v>
      </c>
      <c r="F3553" s="28" t="s">
        <v>14</v>
      </c>
      <c r="G3553" s="38"/>
      <c r="H3553" s="38"/>
      <c r="J3553" s="31">
        <f t="shared" si="10"/>
        <v>0</v>
      </c>
    </row>
    <row r="3554">
      <c r="A3554" s="28">
        <v>59.0</v>
      </c>
      <c r="B3554" s="28">
        <v>57.0</v>
      </c>
      <c r="C3554" s="28">
        <v>53.4886880913503</v>
      </c>
      <c r="D3554" s="28">
        <v>10.0021978710348</v>
      </c>
      <c r="E3554" s="28" t="s">
        <v>25</v>
      </c>
      <c r="F3554" s="28" t="s">
        <v>14</v>
      </c>
      <c r="G3554" s="38"/>
      <c r="H3554" s="38"/>
      <c r="J3554" s="31">
        <f t="shared" si="10"/>
        <v>0</v>
      </c>
    </row>
    <row r="3555">
      <c r="A3555" s="28">
        <v>59.0</v>
      </c>
      <c r="B3555" s="28">
        <v>58.0</v>
      </c>
      <c r="C3555" s="28">
        <v>53.4886755641749</v>
      </c>
      <c r="D3555" s="28">
        <v>10.0024385230047</v>
      </c>
      <c r="E3555" s="28" t="s">
        <v>25</v>
      </c>
      <c r="F3555" s="28" t="s">
        <v>14</v>
      </c>
      <c r="G3555" s="38"/>
      <c r="H3555" s="38"/>
      <c r="J3555" s="31">
        <f t="shared" si="10"/>
        <v>0</v>
      </c>
    </row>
    <row r="3556">
      <c r="A3556" s="28">
        <v>59.0</v>
      </c>
      <c r="B3556" s="28">
        <v>59.0</v>
      </c>
      <c r="C3556" s="28">
        <v>53.4886630369995</v>
      </c>
      <c r="D3556" s="28">
        <v>10.0026791749037</v>
      </c>
      <c r="E3556" s="28" t="s">
        <v>25</v>
      </c>
      <c r="F3556" s="28" t="s">
        <v>14</v>
      </c>
      <c r="G3556" s="38"/>
      <c r="H3556" s="38"/>
      <c r="J3556" s="31">
        <f t="shared" si="10"/>
        <v>0</v>
      </c>
    </row>
    <row r="3557">
      <c r="A3557" s="28">
        <v>59.0</v>
      </c>
      <c r="B3557" s="28">
        <v>60.0</v>
      </c>
      <c r="C3557" s="28">
        <v>53.488650509824</v>
      </c>
      <c r="D3557" s="28">
        <v>10.0029198267316</v>
      </c>
      <c r="E3557" s="28" t="s">
        <v>25</v>
      </c>
      <c r="F3557" s="28" t="s">
        <v>14</v>
      </c>
      <c r="G3557" s="29" t="s">
        <v>1018</v>
      </c>
      <c r="H3557" s="30" t="str">
        <f>HYPERLINK("https://www.munzee.com/m/TheLabGuys/6564/", "TheLabGuys/6564")</f>
        <v>TheLabGuys/6564</v>
      </c>
      <c r="J3557" s="31">
        <f t="shared" si="10"/>
        <v>5</v>
      </c>
    </row>
    <row r="3558">
      <c r="A3558" s="28">
        <v>60.0</v>
      </c>
      <c r="B3558" s="28">
        <v>1.0</v>
      </c>
      <c r="C3558" s="28">
        <v>53.4892464296641</v>
      </c>
      <c r="D3558" s="28">
        <v>9.98870019267099</v>
      </c>
      <c r="E3558" s="28" t="s">
        <v>25</v>
      </c>
      <c r="F3558" s="28" t="s">
        <v>14</v>
      </c>
      <c r="G3558" s="38"/>
      <c r="H3558" s="38"/>
      <c r="J3558" s="31">
        <f t="shared" si="10"/>
        <v>0</v>
      </c>
    </row>
    <row r="3559">
      <c r="A3559" s="28">
        <v>60.0</v>
      </c>
      <c r="B3559" s="28">
        <v>2.0</v>
      </c>
      <c r="C3559" s="28">
        <v>53.4892339024886</v>
      </c>
      <c r="D3559" s="28">
        <v>9.98894084780897</v>
      </c>
      <c r="E3559" s="28" t="s">
        <v>25</v>
      </c>
      <c r="F3559" s="28" t="s">
        <v>14</v>
      </c>
      <c r="G3559" s="38"/>
      <c r="H3559" s="38"/>
      <c r="J3559" s="31">
        <f t="shared" si="10"/>
        <v>0</v>
      </c>
    </row>
    <row r="3560">
      <c r="A3560" s="28">
        <v>60.0</v>
      </c>
      <c r="B3560" s="28">
        <v>3.0</v>
      </c>
      <c r="C3560" s="28">
        <v>53.4892213753132</v>
      </c>
      <c r="D3560" s="28">
        <v>9.9891815028759</v>
      </c>
      <c r="E3560" s="28" t="s">
        <v>25</v>
      </c>
      <c r="F3560" s="28" t="s">
        <v>14</v>
      </c>
      <c r="G3560" s="38"/>
      <c r="H3560" s="38"/>
      <c r="J3560" s="31">
        <f t="shared" si="10"/>
        <v>0</v>
      </c>
    </row>
    <row r="3561">
      <c r="A3561" s="28">
        <v>60.0</v>
      </c>
      <c r="B3561" s="28">
        <v>4.0</v>
      </c>
      <c r="C3561" s="28">
        <v>53.4892088481378</v>
      </c>
      <c r="D3561" s="28">
        <v>9.98942215787178</v>
      </c>
      <c r="E3561" s="28" t="s">
        <v>25</v>
      </c>
      <c r="F3561" s="28" t="s">
        <v>14</v>
      </c>
      <c r="G3561" s="38"/>
      <c r="H3561" s="38"/>
      <c r="J3561" s="31">
        <f t="shared" si="10"/>
        <v>0</v>
      </c>
    </row>
    <row r="3562">
      <c r="A3562" s="28">
        <v>60.0</v>
      </c>
      <c r="B3562" s="28">
        <v>5.0</v>
      </c>
      <c r="C3562" s="28">
        <v>53.4891963209624</v>
      </c>
      <c r="D3562" s="28">
        <v>9.98966281279649</v>
      </c>
      <c r="E3562" s="28" t="s">
        <v>25</v>
      </c>
      <c r="F3562" s="28" t="s">
        <v>14</v>
      </c>
      <c r="G3562" s="38"/>
      <c r="H3562" s="38"/>
      <c r="J3562" s="31">
        <f t="shared" si="10"/>
        <v>0</v>
      </c>
    </row>
    <row r="3563">
      <c r="A3563" s="28">
        <v>60.0</v>
      </c>
      <c r="B3563" s="28">
        <v>6.0</v>
      </c>
      <c r="C3563" s="28">
        <v>53.489183793787</v>
      </c>
      <c r="D3563" s="28">
        <v>9.98990346765015</v>
      </c>
      <c r="E3563" s="28" t="s">
        <v>25</v>
      </c>
      <c r="F3563" s="28" t="s">
        <v>14</v>
      </c>
      <c r="G3563" s="38"/>
      <c r="H3563" s="38"/>
      <c r="J3563" s="31">
        <f t="shared" si="10"/>
        <v>0</v>
      </c>
    </row>
    <row r="3564">
      <c r="A3564" s="28">
        <v>60.0</v>
      </c>
      <c r="B3564" s="28">
        <v>7.0</v>
      </c>
      <c r="C3564" s="28">
        <v>53.4891712666116</v>
      </c>
      <c r="D3564" s="28">
        <v>9.99014412243275</v>
      </c>
      <c r="E3564" s="28" t="s">
        <v>25</v>
      </c>
      <c r="F3564" s="28" t="s">
        <v>14</v>
      </c>
      <c r="G3564" s="38"/>
      <c r="H3564" s="38"/>
      <c r="J3564" s="31">
        <f t="shared" si="10"/>
        <v>0</v>
      </c>
    </row>
    <row r="3565">
      <c r="A3565" s="28">
        <v>60.0</v>
      </c>
      <c r="B3565" s="28">
        <v>8.0</v>
      </c>
      <c r="C3565" s="28">
        <v>53.4891587394361</v>
      </c>
      <c r="D3565" s="28">
        <v>9.9903847771443</v>
      </c>
      <c r="E3565" s="28" t="s">
        <v>25</v>
      </c>
      <c r="F3565" s="28" t="s">
        <v>14</v>
      </c>
      <c r="G3565" s="38"/>
      <c r="H3565" s="38"/>
      <c r="J3565" s="31">
        <f t="shared" si="10"/>
        <v>0</v>
      </c>
    </row>
    <row r="3566">
      <c r="A3566" s="28">
        <v>60.0</v>
      </c>
      <c r="B3566" s="28">
        <v>9.0</v>
      </c>
      <c r="C3566" s="28">
        <v>53.4891462122607</v>
      </c>
      <c r="D3566" s="28">
        <v>9.99062543178479</v>
      </c>
      <c r="E3566" s="28" t="s">
        <v>25</v>
      </c>
      <c r="F3566" s="28" t="s">
        <v>14</v>
      </c>
      <c r="G3566" s="38"/>
      <c r="H3566" s="38"/>
      <c r="J3566" s="31">
        <f t="shared" si="10"/>
        <v>0</v>
      </c>
    </row>
    <row r="3567">
      <c r="A3567" s="28">
        <v>60.0</v>
      </c>
      <c r="B3567" s="28">
        <v>10.0</v>
      </c>
      <c r="C3567" s="28">
        <v>53.4891336850853</v>
      </c>
      <c r="D3567" s="28">
        <v>9.99086608635411</v>
      </c>
      <c r="E3567" s="28" t="s">
        <v>25</v>
      </c>
      <c r="F3567" s="28" t="s">
        <v>14</v>
      </c>
      <c r="G3567" s="38"/>
      <c r="H3567" s="38"/>
      <c r="J3567" s="31">
        <f t="shared" si="10"/>
        <v>0</v>
      </c>
    </row>
    <row r="3568">
      <c r="A3568" s="28">
        <v>60.0</v>
      </c>
      <c r="B3568" s="28">
        <v>11.0</v>
      </c>
      <c r="C3568" s="28">
        <v>53.4891211579099</v>
      </c>
      <c r="D3568" s="28">
        <v>9.99110674085238</v>
      </c>
      <c r="E3568" s="28" t="s">
        <v>25</v>
      </c>
      <c r="F3568" s="28" t="s">
        <v>14</v>
      </c>
      <c r="G3568" s="38"/>
      <c r="H3568" s="38"/>
      <c r="J3568" s="31">
        <f t="shared" si="10"/>
        <v>0</v>
      </c>
    </row>
    <row r="3569">
      <c r="A3569" s="28">
        <v>60.0</v>
      </c>
      <c r="B3569" s="28">
        <v>12.0</v>
      </c>
      <c r="C3569" s="28">
        <v>53.4891086307345</v>
      </c>
      <c r="D3569" s="28">
        <v>9.9913473952796</v>
      </c>
      <c r="E3569" s="28" t="s">
        <v>25</v>
      </c>
      <c r="F3569" s="28" t="s">
        <v>14</v>
      </c>
      <c r="G3569" s="38"/>
      <c r="H3569" s="38"/>
      <c r="J3569" s="31">
        <f t="shared" si="10"/>
        <v>0</v>
      </c>
    </row>
    <row r="3570">
      <c r="A3570" s="28">
        <v>60.0</v>
      </c>
      <c r="B3570" s="28">
        <v>13.0</v>
      </c>
      <c r="C3570" s="28">
        <v>53.4890961035591</v>
      </c>
      <c r="D3570" s="28">
        <v>9.99158804963576</v>
      </c>
      <c r="E3570" s="28" t="s">
        <v>25</v>
      </c>
      <c r="F3570" s="28" t="s">
        <v>14</v>
      </c>
      <c r="G3570" s="38"/>
      <c r="H3570" s="38"/>
      <c r="J3570" s="31">
        <f t="shared" si="10"/>
        <v>0</v>
      </c>
    </row>
    <row r="3571">
      <c r="A3571" s="28">
        <v>60.0</v>
      </c>
      <c r="B3571" s="28">
        <v>14.0</v>
      </c>
      <c r="C3571" s="28">
        <v>53.4890835763836</v>
      </c>
      <c r="D3571" s="28">
        <v>9.99182870392076</v>
      </c>
      <c r="E3571" s="28" t="s">
        <v>25</v>
      </c>
      <c r="F3571" s="28" t="s">
        <v>14</v>
      </c>
      <c r="G3571" s="38"/>
      <c r="H3571" s="38"/>
      <c r="J3571" s="31">
        <f t="shared" si="10"/>
        <v>0</v>
      </c>
    </row>
    <row r="3572">
      <c r="A3572" s="28">
        <v>60.0</v>
      </c>
      <c r="B3572" s="28">
        <v>15.0</v>
      </c>
      <c r="C3572" s="28">
        <v>53.4890710492082</v>
      </c>
      <c r="D3572" s="28">
        <v>9.9920693581347</v>
      </c>
      <c r="E3572" s="28" t="s">
        <v>25</v>
      </c>
      <c r="F3572" s="28" t="s">
        <v>14</v>
      </c>
      <c r="G3572" s="38"/>
      <c r="H3572" s="38"/>
      <c r="J3572" s="31">
        <f t="shared" si="10"/>
        <v>0</v>
      </c>
    </row>
    <row r="3573">
      <c r="A3573" s="28">
        <v>60.0</v>
      </c>
      <c r="B3573" s="28">
        <v>16.0</v>
      </c>
      <c r="C3573" s="28">
        <v>53.4890585220328</v>
      </c>
      <c r="D3573" s="28">
        <v>9.99231001227758</v>
      </c>
      <c r="E3573" s="28" t="s">
        <v>25</v>
      </c>
      <c r="F3573" s="28" t="s">
        <v>14</v>
      </c>
      <c r="G3573" s="38"/>
      <c r="H3573" s="38"/>
      <c r="J3573" s="31">
        <f t="shared" si="10"/>
        <v>0</v>
      </c>
    </row>
    <row r="3574">
      <c r="A3574" s="28">
        <v>60.0</v>
      </c>
      <c r="B3574" s="28">
        <v>17.0</v>
      </c>
      <c r="C3574" s="28">
        <v>53.4890459948574</v>
      </c>
      <c r="D3574" s="28">
        <v>9.99255066634941</v>
      </c>
      <c r="E3574" s="28" t="s">
        <v>25</v>
      </c>
      <c r="F3574" s="28" t="s">
        <v>14</v>
      </c>
      <c r="G3574" s="38"/>
      <c r="H3574" s="38"/>
      <c r="J3574" s="31">
        <f t="shared" si="10"/>
        <v>0</v>
      </c>
    </row>
    <row r="3575">
      <c r="A3575" s="28">
        <v>60.0</v>
      </c>
      <c r="B3575" s="28">
        <v>18.0</v>
      </c>
      <c r="C3575" s="28">
        <v>53.489033467682</v>
      </c>
      <c r="D3575" s="28">
        <v>9.99279132035008</v>
      </c>
      <c r="E3575" s="28" t="s">
        <v>25</v>
      </c>
      <c r="F3575" s="28" t="s">
        <v>14</v>
      </c>
      <c r="G3575" s="38"/>
      <c r="H3575" s="38"/>
      <c r="J3575" s="31">
        <f t="shared" si="10"/>
        <v>0</v>
      </c>
    </row>
    <row r="3576">
      <c r="A3576" s="28">
        <v>60.0</v>
      </c>
      <c r="B3576" s="28">
        <v>19.0</v>
      </c>
      <c r="C3576" s="28">
        <v>53.4890209405065</v>
      </c>
      <c r="D3576" s="28">
        <v>9.99303197427968</v>
      </c>
      <c r="E3576" s="28" t="s">
        <v>25</v>
      </c>
      <c r="F3576" s="28" t="s">
        <v>14</v>
      </c>
      <c r="G3576" s="38"/>
      <c r="H3576" s="38"/>
      <c r="J3576" s="31">
        <f t="shared" si="10"/>
        <v>0</v>
      </c>
    </row>
    <row r="3577">
      <c r="A3577" s="28">
        <v>60.0</v>
      </c>
      <c r="B3577" s="28">
        <v>20.0</v>
      </c>
      <c r="C3577" s="28">
        <v>53.4890084133311</v>
      </c>
      <c r="D3577" s="28">
        <v>9.99327262813824</v>
      </c>
      <c r="E3577" s="28" t="s">
        <v>25</v>
      </c>
      <c r="F3577" s="28" t="s">
        <v>14</v>
      </c>
      <c r="G3577" s="38"/>
      <c r="H3577" s="38"/>
      <c r="J3577" s="31">
        <f t="shared" si="10"/>
        <v>0</v>
      </c>
    </row>
    <row r="3578">
      <c r="A3578" s="28">
        <v>60.0</v>
      </c>
      <c r="B3578" s="28">
        <v>21.0</v>
      </c>
      <c r="C3578" s="28">
        <v>53.4889958861557</v>
      </c>
      <c r="D3578" s="28">
        <v>9.99351328192574</v>
      </c>
      <c r="E3578" s="28" t="s">
        <v>25</v>
      </c>
      <c r="F3578" s="28" t="s">
        <v>14</v>
      </c>
      <c r="G3578" s="29" t="s">
        <v>26</v>
      </c>
      <c r="H3578" s="36" t="s">
        <v>1137</v>
      </c>
      <c r="J3578" s="31">
        <f t="shared" si="10"/>
        <v>143</v>
      </c>
    </row>
    <row r="3579">
      <c r="A3579" s="28">
        <v>60.0</v>
      </c>
      <c r="B3579" s="28">
        <v>22.0</v>
      </c>
      <c r="C3579" s="28">
        <v>53.4889833589803</v>
      </c>
      <c r="D3579" s="28">
        <v>9.99375393564219</v>
      </c>
      <c r="E3579" s="28" t="s">
        <v>25</v>
      </c>
      <c r="F3579" s="28" t="s">
        <v>14</v>
      </c>
      <c r="G3579" s="38"/>
      <c r="H3579" s="38"/>
      <c r="J3579" s="31">
        <f t="shared" si="10"/>
        <v>0</v>
      </c>
    </row>
    <row r="3580">
      <c r="A3580" s="28">
        <v>60.0</v>
      </c>
      <c r="B3580" s="28">
        <v>23.0</v>
      </c>
      <c r="C3580" s="28">
        <v>53.4889708318049</v>
      </c>
      <c r="D3580" s="28">
        <v>9.99399458928746</v>
      </c>
      <c r="E3580" s="28" t="s">
        <v>25</v>
      </c>
      <c r="F3580" s="28" t="s">
        <v>14</v>
      </c>
      <c r="G3580" s="38"/>
      <c r="H3580" s="38"/>
      <c r="J3580" s="31">
        <f t="shared" si="10"/>
        <v>0</v>
      </c>
    </row>
    <row r="3581">
      <c r="A3581" s="28">
        <v>60.0</v>
      </c>
      <c r="B3581" s="28">
        <v>24.0</v>
      </c>
      <c r="C3581" s="28">
        <v>53.4889583046295</v>
      </c>
      <c r="D3581" s="28">
        <v>9.99423524286169</v>
      </c>
      <c r="E3581" s="28" t="s">
        <v>25</v>
      </c>
      <c r="F3581" s="28" t="s">
        <v>14</v>
      </c>
      <c r="G3581" s="29" t="s">
        <v>26</v>
      </c>
      <c r="H3581" s="30" t="s">
        <v>1138</v>
      </c>
      <c r="J3581" s="31">
        <f t="shared" si="10"/>
        <v>143</v>
      </c>
    </row>
    <row r="3582">
      <c r="A3582" s="28">
        <v>60.0</v>
      </c>
      <c r="B3582" s="28">
        <v>25.0</v>
      </c>
      <c r="C3582" s="28">
        <v>53.4889457774541</v>
      </c>
      <c r="D3582" s="28">
        <v>9.99447589636486</v>
      </c>
      <c r="E3582" s="28" t="s">
        <v>25</v>
      </c>
      <c r="F3582" s="28" t="s">
        <v>14</v>
      </c>
      <c r="G3582" s="38"/>
      <c r="H3582" s="38"/>
      <c r="J3582" s="31">
        <f t="shared" si="10"/>
        <v>0</v>
      </c>
    </row>
    <row r="3583">
      <c r="A3583" s="28">
        <v>60.0</v>
      </c>
      <c r="B3583" s="28">
        <v>26.0</v>
      </c>
      <c r="C3583" s="28">
        <v>53.4889332502787</v>
      </c>
      <c r="D3583" s="28">
        <v>9.99471654979697</v>
      </c>
      <c r="E3583" s="28" t="s">
        <v>25</v>
      </c>
      <c r="F3583" s="28" t="s">
        <v>14</v>
      </c>
      <c r="G3583" s="38"/>
      <c r="H3583" s="38"/>
      <c r="J3583" s="31">
        <f t="shared" si="10"/>
        <v>0</v>
      </c>
    </row>
    <row r="3584">
      <c r="A3584" s="28">
        <v>60.0</v>
      </c>
      <c r="B3584" s="28">
        <v>27.0</v>
      </c>
      <c r="C3584" s="28">
        <v>53.4889207231033</v>
      </c>
      <c r="D3584" s="28">
        <v>9.99495720315803</v>
      </c>
      <c r="E3584" s="28" t="s">
        <v>25</v>
      </c>
      <c r="F3584" s="28" t="s">
        <v>14</v>
      </c>
      <c r="G3584" s="29" t="s">
        <v>26</v>
      </c>
      <c r="H3584" s="36" t="s">
        <v>1139</v>
      </c>
      <c r="J3584" s="31">
        <f t="shared" si="10"/>
        <v>143</v>
      </c>
    </row>
    <row r="3585">
      <c r="A3585" s="28">
        <v>60.0</v>
      </c>
      <c r="B3585" s="28">
        <v>28.0</v>
      </c>
      <c r="C3585" s="28">
        <v>53.4889081959279</v>
      </c>
      <c r="D3585" s="28">
        <v>9.99519785644793</v>
      </c>
      <c r="E3585" s="28" t="s">
        <v>25</v>
      </c>
      <c r="F3585" s="28" t="s">
        <v>14</v>
      </c>
      <c r="G3585" s="38"/>
      <c r="H3585" s="38"/>
      <c r="J3585" s="31">
        <f t="shared" si="10"/>
        <v>0</v>
      </c>
    </row>
    <row r="3586">
      <c r="A3586" s="28">
        <v>60.0</v>
      </c>
      <c r="B3586" s="28">
        <v>29.0</v>
      </c>
      <c r="C3586" s="28">
        <v>53.4888956687524</v>
      </c>
      <c r="D3586" s="28">
        <v>9.99543850966677</v>
      </c>
      <c r="E3586" s="28" t="s">
        <v>25</v>
      </c>
      <c r="F3586" s="28" t="s">
        <v>14</v>
      </c>
      <c r="G3586" s="38"/>
      <c r="H3586" s="38"/>
      <c r="J3586" s="31">
        <f t="shared" si="10"/>
        <v>0</v>
      </c>
    </row>
    <row r="3587">
      <c r="A3587" s="28">
        <v>60.0</v>
      </c>
      <c r="B3587" s="28">
        <v>30.0</v>
      </c>
      <c r="C3587" s="28">
        <v>53.488883141577</v>
      </c>
      <c r="D3587" s="28">
        <v>9.99567916281455</v>
      </c>
      <c r="E3587" s="28" t="s">
        <v>25</v>
      </c>
      <c r="F3587" s="28" t="s">
        <v>14</v>
      </c>
      <c r="G3587" s="29" t="s">
        <v>26</v>
      </c>
      <c r="H3587" s="36" t="s">
        <v>1140</v>
      </c>
      <c r="J3587" s="31">
        <f t="shared" si="10"/>
        <v>143</v>
      </c>
    </row>
    <row r="3588">
      <c r="A3588" s="28">
        <v>60.0</v>
      </c>
      <c r="B3588" s="28">
        <v>31.0</v>
      </c>
      <c r="C3588" s="28">
        <v>53.4888706144016</v>
      </c>
      <c r="D3588" s="28">
        <v>9.99591981589128</v>
      </c>
      <c r="E3588" s="28" t="s">
        <v>25</v>
      </c>
      <c r="F3588" s="28" t="s">
        <v>14</v>
      </c>
      <c r="G3588" s="38"/>
      <c r="H3588" s="38"/>
      <c r="J3588" s="31">
        <f t="shared" si="10"/>
        <v>0</v>
      </c>
    </row>
    <row r="3589">
      <c r="A3589" s="28">
        <v>60.0</v>
      </c>
      <c r="B3589" s="28">
        <v>32.0</v>
      </c>
      <c r="C3589" s="28">
        <v>53.4888580872262</v>
      </c>
      <c r="D3589" s="28">
        <v>9.99616046889696</v>
      </c>
      <c r="E3589" s="28" t="s">
        <v>25</v>
      </c>
      <c r="F3589" s="28" t="s">
        <v>14</v>
      </c>
      <c r="G3589" s="38"/>
      <c r="H3589" s="38"/>
      <c r="J3589" s="31">
        <f t="shared" si="10"/>
        <v>0</v>
      </c>
    </row>
    <row r="3590">
      <c r="A3590" s="28">
        <v>60.0</v>
      </c>
      <c r="B3590" s="28">
        <v>33.0</v>
      </c>
      <c r="C3590" s="28">
        <v>53.4888455600508</v>
      </c>
      <c r="D3590" s="28">
        <v>9.99640112183146</v>
      </c>
      <c r="E3590" s="28" t="s">
        <v>25</v>
      </c>
      <c r="F3590" s="28" t="s">
        <v>14</v>
      </c>
      <c r="G3590" s="29" t="s">
        <v>26</v>
      </c>
      <c r="H3590" s="36" t="s">
        <v>1141</v>
      </c>
      <c r="J3590" s="31">
        <f t="shared" si="10"/>
        <v>143</v>
      </c>
    </row>
    <row r="3591">
      <c r="A3591" s="28">
        <v>60.0</v>
      </c>
      <c r="B3591" s="28">
        <v>34.0</v>
      </c>
      <c r="C3591" s="28">
        <v>53.4888330328754</v>
      </c>
      <c r="D3591" s="28">
        <v>9.99664177469492</v>
      </c>
      <c r="E3591" s="28" t="s">
        <v>25</v>
      </c>
      <c r="F3591" s="28" t="s">
        <v>14</v>
      </c>
      <c r="G3591" s="38"/>
      <c r="H3591" s="38"/>
      <c r="J3591" s="31">
        <f t="shared" si="10"/>
        <v>0</v>
      </c>
    </row>
    <row r="3592">
      <c r="A3592" s="28">
        <v>60.0</v>
      </c>
      <c r="B3592" s="28">
        <v>35.0</v>
      </c>
      <c r="C3592" s="28">
        <v>53.4888205056999</v>
      </c>
      <c r="D3592" s="28">
        <v>9.99688242748732</v>
      </c>
      <c r="E3592" s="28" t="s">
        <v>25</v>
      </c>
      <c r="F3592" s="28" t="s">
        <v>14</v>
      </c>
      <c r="G3592" s="38"/>
      <c r="H3592" s="38"/>
      <c r="J3592" s="31">
        <f t="shared" si="10"/>
        <v>0</v>
      </c>
    </row>
    <row r="3593">
      <c r="A3593" s="28">
        <v>60.0</v>
      </c>
      <c r="B3593" s="28">
        <v>36.0</v>
      </c>
      <c r="C3593" s="28">
        <v>53.4888079785245</v>
      </c>
      <c r="D3593" s="28">
        <v>9.99712308020866</v>
      </c>
      <c r="E3593" s="28" t="s">
        <v>25</v>
      </c>
      <c r="F3593" s="28" t="s">
        <v>14</v>
      </c>
      <c r="G3593" s="29" t="s">
        <v>26</v>
      </c>
      <c r="H3593" s="36" t="s">
        <v>1142</v>
      </c>
      <c r="J3593" s="31">
        <f t="shared" si="10"/>
        <v>143</v>
      </c>
    </row>
    <row r="3594">
      <c r="A3594" s="28">
        <v>60.0</v>
      </c>
      <c r="B3594" s="28">
        <v>37.0</v>
      </c>
      <c r="C3594" s="28">
        <v>53.4887954513491</v>
      </c>
      <c r="D3594" s="28">
        <v>9.99736373285895</v>
      </c>
      <c r="E3594" s="28" t="s">
        <v>25</v>
      </c>
      <c r="F3594" s="28" t="s">
        <v>14</v>
      </c>
      <c r="G3594" s="38"/>
      <c r="H3594" s="38"/>
      <c r="J3594" s="31">
        <f t="shared" si="10"/>
        <v>0</v>
      </c>
    </row>
    <row r="3595">
      <c r="A3595" s="28">
        <v>60.0</v>
      </c>
      <c r="B3595" s="28">
        <v>38.0</v>
      </c>
      <c r="C3595" s="28">
        <v>53.4887829241737</v>
      </c>
      <c r="D3595" s="28">
        <v>9.99760438543808</v>
      </c>
      <c r="E3595" s="28" t="s">
        <v>25</v>
      </c>
      <c r="F3595" s="28" t="s">
        <v>14</v>
      </c>
      <c r="G3595" s="38"/>
      <c r="H3595" s="38"/>
      <c r="J3595" s="31">
        <f t="shared" si="10"/>
        <v>0</v>
      </c>
    </row>
    <row r="3596">
      <c r="A3596" s="28">
        <v>60.0</v>
      </c>
      <c r="B3596" s="28">
        <v>39.0</v>
      </c>
      <c r="C3596" s="28">
        <v>53.4887703969983</v>
      </c>
      <c r="D3596" s="28">
        <v>9.99784503794615</v>
      </c>
      <c r="E3596" s="28" t="s">
        <v>25</v>
      </c>
      <c r="F3596" s="28" t="s">
        <v>14</v>
      </c>
      <c r="G3596" s="29" t="s">
        <v>26</v>
      </c>
      <c r="H3596" s="30" t="str">
        <f>HYPERLINK("https://www.munzee.com/m/Elli/6580/", "Elli/6580")</f>
        <v>Elli/6580</v>
      </c>
      <c r="J3596" s="31">
        <f t="shared" si="10"/>
        <v>143</v>
      </c>
    </row>
    <row r="3597">
      <c r="A3597" s="28">
        <v>60.0</v>
      </c>
      <c r="B3597" s="28">
        <v>40.0</v>
      </c>
      <c r="C3597" s="28">
        <v>53.4887578698229</v>
      </c>
      <c r="D3597" s="28">
        <v>9.99808569038316</v>
      </c>
      <c r="E3597" s="28" t="s">
        <v>25</v>
      </c>
      <c r="F3597" s="28" t="s">
        <v>14</v>
      </c>
      <c r="G3597" s="38"/>
      <c r="H3597" s="38"/>
      <c r="J3597" s="31">
        <f t="shared" si="10"/>
        <v>0</v>
      </c>
    </row>
    <row r="3598">
      <c r="A3598" s="28">
        <v>60.0</v>
      </c>
      <c r="B3598" s="28">
        <v>41.0</v>
      </c>
      <c r="C3598" s="28">
        <v>53.4887453426475</v>
      </c>
      <c r="D3598" s="28">
        <v>9.99832634274912</v>
      </c>
      <c r="E3598" s="28" t="s">
        <v>25</v>
      </c>
      <c r="F3598" s="28" t="s">
        <v>14</v>
      </c>
      <c r="G3598" s="38"/>
      <c r="H3598" s="38"/>
      <c r="J3598" s="31">
        <f t="shared" si="10"/>
        <v>0</v>
      </c>
    </row>
    <row r="3599">
      <c r="A3599" s="28">
        <v>60.0</v>
      </c>
      <c r="B3599" s="28">
        <v>42.0</v>
      </c>
      <c r="C3599" s="28">
        <v>53.488732815472</v>
      </c>
      <c r="D3599" s="28">
        <v>9.99856699504391</v>
      </c>
      <c r="E3599" s="28" t="s">
        <v>25</v>
      </c>
      <c r="F3599" s="28" t="s">
        <v>14</v>
      </c>
      <c r="G3599" s="29" t="s">
        <v>26</v>
      </c>
      <c r="H3599" s="30" t="str">
        <f>HYPERLINK("https://www.munzee.com/m/Elli/6581/", "Elli/6581")</f>
        <v>Elli/6581</v>
      </c>
      <c r="J3599" s="31">
        <f t="shared" si="10"/>
        <v>143</v>
      </c>
    </row>
    <row r="3600">
      <c r="A3600" s="28">
        <v>60.0</v>
      </c>
      <c r="B3600" s="28">
        <v>43.0</v>
      </c>
      <c r="C3600" s="28">
        <v>53.4887202882966</v>
      </c>
      <c r="D3600" s="28">
        <v>9.99880764726765</v>
      </c>
      <c r="E3600" s="28" t="s">
        <v>25</v>
      </c>
      <c r="F3600" s="28" t="s">
        <v>14</v>
      </c>
      <c r="G3600" s="38"/>
      <c r="H3600" s="38"/>
      <c r="J3600" s="31">
        <f t="shared" si="10"/>
        <v>0</v>
      </c>
    </row>
    <row r="3601">
      <c r="A3601" s="28">
        <v>60.0</v>
      </c>
      <c r="B3601" s="28">
        <v>44.0</v>
      </c>
      <c r="C3601" s="28">
        <v>53.4887077611212</v>
      </c>
      <c r="D3601" s="28">
        <v>9.99904829942033</v>
      </c>
      <c r="E3601" s="28" t="s">
        <v>25</v>
      </c>
      <c r="F3601" s="28" t="s">
        <v>14</v>
      </c>
      <c r="G3601" s="38"/>
      <c r="H3601" s="38"/>
      <c r="J3601" s="31">
        <f t="shared" si="10"/>
        <v>0</v>
      </c>
    </row>
    <row r="3602">
      <c r="A3602" s="28">
        <v>60.0</v>
      </c>
      <c r="B3602" s="28">
        <v>45.0</v>
      </c>
      <c r="C3602" s="28">
        <v>53.4886952339458</v>
      </c>
      <c r="D3602" s="28">
        <v>9.99928895150196</v>
      </c>
      <c r="E3602" s="28" t="s">
        <v>25</v>
      </c>
      <c r="F3602" s="28" t="s">
        <v>14</v>
      </c>
      <c r="G3602" s="29" t="s">
        <v>26</v>
      </c>
      <c r="H3602" s="30" t="str">
        <f>HYPERLINK("https://www.munzee.com/m/Elli/6582/", "Elli/6582")</f>
        <v>Elli/6582</v>
      </c>
      <c r="J3602" s="31">
        <f t="shared" si="10"/>
        <v>143</v>
      </c>
    </row>
    <row r="3603">
      <c r="A3603" s="28">
        <v>60.0</v>
      </c>
      <c r="B3603" s="28">
        <v>46.0</v>
      </c>
      <c r="C3603" s="28">
        <v>53.4886827067704</v>
      </c>
      <c r="D3603" s="28">
        <v>9.99952960351242</v>
      </c>
      <c r="E3603" s="28" t="s">
        <v>25</v>
      </c>
      <c r="F3603" s="28" t="s">
        <v>14</v>
      </c>
      <c r="G3603" s="38"/>
      <c r="H3603" s="38"/>
      <c r="J3603" s="31">
        <f t="shared" si="10"/>
        <v>0</v>
      </c>
    </row>
    <row r="3604">
      <c r="A3604" s="28">
        <v>60.0</v>
      </c>
      <c r="B3604" s="28">
        <v>47.0</v>
      </c>
      <c r="C3604" s="28">
        <v>53.488670179595</v>
      </c>
      <c r="D3604" s="28">
        <v>9.99977025545183</v>
      </c>
      <c r="E3604" s="28" t="s">
        <v>25</v>
      </c>
      <c r="F3604" s="28" t="s">
        <v>14</v>
      </c>
      <c r="G3604" s="38"/>
      <c r="H3604" s="38"/>
      <c r="J3604" s="31">
        <f t="shared" si="10"/>
        <v>0</v>
      </c>
    </row>
    <row r="3605">
      <c r="A3605" s="28">
        <v>60.0</v>
      </c>
      <c r="B3605" s="28">
        <v>48.0</v>
      </c>
      <c r="C3605" s="28">
        <v>53.4886576524195</v>
      </c>
      <c r="D3605" s="28">
        <v>10.0000109073201</v>
      </c>
      <c r="E3605" s="28" t="s">
        <v>25</v>
      </c>
      <c r="F3605" s="28" t="s">
        <v>14</v>
      </c>
      <c r="G3605" s="29" t="s">
        <v>26</v>
      </c>
      <c r="H3605" s="30" t="str">
        <f>HYPERLINK("https://www.munzee.com/m/Elli/6583/", "Elli/6583")</f>
        <v>Elli/6583</v>
      </c>
      <c r="J3605" s="31">
        <f t="shared" si="10"/>
        <v>143</v>
      </c>
    </row>
    <row r="3606">
      <c r="A3606" s="28">
        <v>60.0</v>
      </c>
      <c r="B3606" s="28">
        <v>49.0</v>
      </c>
      <c r="C3606" s="28">
        <v>53.4886451252441</v>
      </c>
      <c r="D3606" s="28">
        <v>10.0002515591174</v>
      </c>
      <c r="E3606" s="28" t="s">
        <v>25</v>
      </c>
      <c r="F3606" s="28" t="s">
        <v>14</v>
      </c>
      <c r="G3606" s="38"/>
      <c r="H3606" s="38"/>
      <c r="J3606" s="31">
        <f t="shared" si="10"/>
        <v>0</v>
      </c>
    </row>
    <row r="3607">
      <c r="A3607" s="28">
        <v>60.0</v>
      </c>
      <c r="B3607" s="28">
        <v>50.0</v>
      </c>
      <c r="C3607" s="28">
        <v>53.4886325980687</v>
      </c>
      <c r="D3607" s="28">
        <v>10.0004922108437</v>
      </c>
      <c r="E3607" s="28" t="s">
        <v>25</v>
      </c>
      <c r="F3607" s="28" t="s">
        <v>14</v>
      </c>
      <c r="G3607" s="38"/>
      <c r="H3607" s="38"/>
      <c r="J3607" s="31">
        <f t="shared" si="10"/>
        <v>0</v>
      </c>
    </row>
    <row r="3608">
      <c r="A3608" s="28">
        <v>60.0</v>
      </c>
      <c r="B3608" s="28">
        <v>51.0</v>
      </c>
      <c r="C3608" s="28">
        <v>53.4886200708933</v>
      </c>
      <c r="D3608" s="28">
        <v>10.0007328624988</v>
      </c>
      <c r="E3608" s="28" t="s">
        <v>25</v>
      </c>
      <c r="F3608" s="28" t="s">
        <v>14</v>
      </c>
      <c r="G3608" s="29" t="s">
        <v>26</v>
      </c>
      <c r="H3608" s="30" t="str">
        <f>HYPERLINK("https://www.munzee.com/m/Elli/6579/", "Elli/6579")</f>
        <v>Elli/6579</v>
      </c>
      <c r="J3608" s="31">
        <f t="shared" si="10"/>
        <v>143</v>
      </c>
    </row>
    <row r="3609">
      <c r="A3609" s="28">
        <v>60.0</v>
      </c>
      <c r="B3609" s="28">
        <v>52.0</v>
      </c>
      <c r="C3609" s="28">
        <v>53.4886075437179</v>
      </c>
      <c r="D3609" s="28">
        <v>10.0009735140828</v>
      </c>
      <c r="E3609" s="28" t="s">
        <v>25</v>
      </c>
      <c r="F3609" s="28" t="s">
        <v>14</v>
      </c>
      <c r="G3609" s="38"/>
      <c r="H3609" s="38"/>
      <c r="J3609" s="31">
        <f t="shared" si="10"/>
        <v>0</v>
      </c>
    </row>
    <row r="3610">
      <c r="A3610" s="28">
        <v>60.0</v>
      </c>
      <c r="B3610" s="28">
        <v>53.0</v>
      </c>
      <c r="C3610" s="28">
        <v>53.4885950165425</v>
      </c>
      <c r="D3610" s="28">
        <v>10.0012141655957</v>
      </c>
      <c r="E3610" s="28" t="s">
        <v>25</v>
      </c>
      <c r="F3610" s="28" t="s">
        <v>14</v>
      </c>
      <c r="G3610" s="38"/>
      <c r="H3610" s="38"/>
      <c r="J3610" s="31">
        <f t="shared" si="10"/>
        <v>0</v>
      </c>
    </row>
    <row r="3611">
      <c r="A3611" s="28">
        <v>60.0</v>
      </c>
      <c r="B3611" s="28">
        <v>54.0</v>
      </c>
      <c r="C3611" s="28">
        <v>53.4885824893671</v>
      </c>
      <c r="D3611" s="28">
        <v>10.0014548170377</v>
      </c>
      <c r="E3611" s="28" t="s">
        <v>25</v>
      </c>
      <c r="F3611" s="28" t="s">
        <v>14</v>
      </c>
      <c r="G3611" s="29" t="s">
        <v>26</v>
      </c>
      <c r="H3611" s="30" t="str">
        <f>HYPERLINK("https://www.munzee.com/m/Elli/6563/", "Elli/6563")</f>
        <v>Elli/6563</v>
      </c>
      <c r="J3611" s="31">
        <f t="shared" si="10"/>
        <v>143</v>
      </c>
    </row>
    <row r="3612">
      <c r="A3612" s="28">
        <v>60.0</v>
      </c>
      <c r="B3612" s="28">
        <v>55.0</v>
      </c>
      <c r="C3612" s="28">
        <v>53.4885699621917</v>
      </c>
      <c r="D3612" s="28">
        <v>10.0016954684085</v>
      </c>
      <c r="E3612" s="28" t="s">
        <v>25</v>
      </c>
      <c r="F3612" s="28" t="s">
        <v>14</v>
      </c>
      <c r="G3612" s="38"/>
      <c r="H3612" s="38"/>
      <c r="J3612" s="31">
        <f t="shared" si="10"/>
        <v>0</v>
      </c>
    </row>
    <row r="3613">
      <c r="A3613" s="28">
        <v>60.0</v>
      </c>
      <c r="B3613" s="28">
        <v>56.0</v>
      </c>
      <c r="C3613" s="28">
        <v>53.4885574350162</v>
      </c>
      <c r="D3613" s="28">
        <v>10.0019361197082</v>
      </c>
      <c r="E3613" s="28" t="s">
        <v>25</v>
      </c>
      <c r="F3613" s="28" t="s">
        <v>14</v>
      </c>
      <c r="G3613" s="38"/>
      <c r="H3613" s="38"/>
      <c r="J3613" s="31">
        <f t="shared" si="10"/>
        <v>0</v>
      </c>
    </row>
    <row r="3614">
      <c r="A3614" s="28">
        <v>60.0</v>
      </c>
      <c r="B3614" s="28">
        <v>57.0</v>
      </c>
      <c r="C3614" s="28">
        <v>53.4885449078408</v>
      </c>
      <c r="D3614" s="28">
        <v>10.0021767709368</v>
      </c>
      <c r="E3614" s="28" t="s">
        <v>25</v>
      </c>
      <c r="F3614" s="28" t="s">
        <v>14</v>
      </c>
      <c r="G3614" s="29" t="s">
        <v>26</v>
      </c>
      <c r="H3614" s="30" t="str">
        <f>HYPERLINK("https://www.munzee.com/m/Elli/6564/", "Elli/6564")</f>
        <v>Elli/6564</v>
      </c>
      <c r="J3614" s="31">
        <f t="shared" si="10"/>
        <v>143</v>
      </c>
    </row>
    <row r="3615">
      <c r="A3615" s="28">
        <v>60.0</v>
      </c>
      <c r="B3615" s="28">
        <v>58.0</v>
      </c>
      <c r="C3615" s="28">
        <v>53.4885323806654</v>
      </c>
      <c r="D3615" s="28">
        <v>10.0024174220944</v>
      </c>
      <c r="E3615" s="28" t="s">
        <v>25</v>
      </c>
      <c r="F3615" s="28" t="s">
        <v>14</v>
      </c>
      <c r="G3615" s="29" t="s">
        <v>1143</v>
      </c>
      <c r="H3615" s="30" t="s">
        <v>1144</v>
      </c>
      <c r="J3615" s="31">
        <f t="shared" si="10"/>
        <v>1</v>
      </c>
    </row>
    <row r="3616">
      <c r="A3616" s="28">
        <v>60.0</v>
      </c>
      <c r="B3616" s="28">
        <v>59.0</v>
      </c>
      <c r="C3616" s="28">
        <v>53.48851985349</v>
      </c>
      <c r="D3616" s="28">
        <v>10.002658073181</v>
      </c>
      <c r="E3616" s="28" t="s">
        <v>25</v>
      </c>
      <c r="F3616" s="28" t="s">
        <v>14</v>
      </c>
      <c r="G3616" s="29" t="s">
        <v>170</v>
      </c>
      <c r="H3616" s="30" t="s">
        <v>1145</v>
      </c>
      <c r="J3616" s="31">
        <f t="shared" si="10"/>
        <v>5</v>
      </c>
    </row>
    <row r="3617">
      <c r="A3617" s="28">
        <v>60.0</v>
      </c>
      <c r="B3617" s="28">
        <v>60.0</v>
      </c>
      <c r="C3617" s="28">
        <v>53.4885073263146</v>
      </c>
      <c r="D3617" s="28">
        <v>10.0028987241964</v>
      </c>
      <c r="E3617" s="28" t="s">
        <v>25</v>
      </c>
      <c r="F3617" s="28" t="s">
        <v>14</v>
      </c>
      <c r="G3617" s="29" t="s">
        <v>26</v>
      </c>
      <c r="H3617" s="30" t="str">
        <f>HYPERLINK("https://www.munzee.com/m/Elli/6575/", "Elli/6575")</f>
        <v>Elli/6575</v>
      </c>
      <c r="J3617" s="31">
        <f t="shared" si="10"/>
        <v>143</v>
      </c>
    </row>
    <row r="3618">
      <c r="H3618" s="26"/>
    </row>
    <row r="3619">
      <c r="A3619" s="28" t="s">
        <v>1146</v>
      </c>
      <c r="H3619" s="26"/>
    </row>
    <row r="3620">
      <c r="A3620" s="28" t="s">
        <v>1147</v>
      </c>
      <c r="B3620" s="28">
        <v>53.4931010106766</v>
      </c>
      <c r="C3620" s="28">
        <v>9.99642133712768</v>
      </c>
      <c r="D3620" s="28">
        <v>0.0</v>
      </c>
      <c r="E3620" s="28">
        <v>0.0</v>
      </c>
      <c r="F3620" s="28">
        <v>95.0</v>
      </c>
      <c r="G3620" s="28">
        <v>0.0</v>
      </c>
      <c r="H3620" s="51">
        <v>60.0</v>
      </c>
      <c r="I3620" s="28">
        <v>16.0</v>
      </c>
    </row>
    <row r="3621">
      <c r="H3621" s="26"/>
    </row>
    <row r="3622">
      <c r="H3622" s="26"/>
    </row>
  </sheetData>
  <mergeCells count="3">
    <mergeCell ref="G3:I3"/>
    <mergeCell ref="G4:H4"/>
    <mergeCell ref="A14:K16"/>
  </mergeCells>
  <hyperlinks>
    <hyperlink r:id="rId1" ref="G3"/>
    <hyperlink r:id="rId2" ref="G4"/>
    <hyperlink r:id="rId3" ref="H75"/>
    <hyperlink r:id="rId4" ref="H106"/>
    <hyperlink r:id="rId5" ref="H108"/>
    <hyperlink r:id="rId6" ref="H109"/>
    <hyperlink r:id="rId7" ref="H110"/>
    <hyperlink r:id="rId8" ref="H111"/>
    <hyperlink r:id="rId9" ref="H112"/>
    <hyperlink r:id="rId10" ref="H114"/>
    <hyperlink r:id="rId11" ref="H115"/>
    <hyperlink r:id="rId12" ref="H117"/>
    <hyperlink r:id="rId13" ref="H118"/>
    <hyperlink r:id="rId14" ref="H120"/>
    <hyperlink r:id="rId15" ref="H121"/>
    <hyperlink r:id="rId16" ref="H123"/>
    <hyperlink r:id="rId17" ref="H124"/>
    <hyperlink r:id="rId18" ref="H126"/>
    <hyperlink r:id="rId19" ref="H127"/>
    <hyperlink r:id="rId20" ref="H129"/>
    <hyperlink r:id="rId21" ref="H130"/>
    <hyperlink r:id="rId22" ref="H132"/>
    <hyperlink r:id="rId23" ref="H133"/>
    <hyperlink r:id="rId24" ref="H140"/>
    <hyperlink r:id="rId25" ref="H143"/>
    <hyperlink r:id="rId26" ref="H144"/>
    <hyperlink r:id="rId27" ref="H145"/>
    <hyperlink r:id="rId28" ref="H146"/>
    <hyperlink r:id="rId29" ref="H147"/>
    <hyperlink r:id="rId30" ref="H148"/>
    <hyperlink r:id="rId31" ref="H149"/>
    <hyperlink r:id="rId32" ref="H151"/>
    <hyperlink r:id="rId33" ref="H152"/>
    <hyperlink r:id="rId34" ref="H153"/>
    <hyperlink r:id="rId35" ref="H154"/>
    <hyperlink r:id="rId36" ref="H155"/>
    <hyperlink r:id="rId37" ref="H157"/>
    <hyperlink r:id="rId38" ref="H158"/>
    <hyperlink r:id="rId39" ref="H160"/>
    <hyperlink r:id="rId40" ref="H161"/>
    <hyperlink r:id="rId41" ref="H162"/>
    <hyperlink r:id="rId42" ref="H163"/>
    <hyperlink r:id="rId43" ref="H164"/>
    <hyperlink r:id="rId44" ref="H165"/>
    <hyperlink r:id="rId45" ref="H166"/>
    <hyperlink r:id="rId46" ref="H167"/>
    <hyperlink r:id="rId47" ref="H168"/>
    <hyperlink r:id="rId48" ref="H169"/>
    <hyperlink r:id="rId49" ref="H170"/>
    <hyperlink r:id="rId50" ref="H171"/>
    <hyperlink r:id="rId51" ref="H172"/>
    <hyperlink r:id="rId52" ref="H173"/>
    <hyperlink r:id="rId53" ref="H174"/>
    <hyperlink r:id="rId54" ref="H175"/>
    <hyperlink r:id="rId55" ref="H176"/>
    <hyperlink r:id="rId56" ref="H177"/>
    <hyperlink r:id="rId57" ref="H178"/>
    <hyperlink r:id="rId58" ref="H180"/>
    <hyperlink r:id="rId59" ref="H181"/>
    <hyperlink r:id="rId60" ref="H182"/>
    <hyperlink r:id="rId61" ref="H183"/>
    <hyperlink r:id="rId62" ref="H184"/>
    <hyperlink r:id="rId63" ref="H185"/>
    <hyperlink r:id="rId64" ref="H186"/>
    <hyperlink r:id="rId65" ref="H187"/>
    <hyperlink r:id="rId66" ref="H188"/>
    <hyperlink r:id="rId67" ref="H189"/>
    <hyperlink r:id="rId68" ref="H190"/>
    <hyperlink r:id="rId69" ref="H191"/>
    <hyperlink r:id="rId70" ref="H192"/>
    <hyperlink r:id="rId71" ref="H193"/>
    <hyperlink r:id="rId72" ref="H194"/>
    <hyperlink r:id="rId73" ref="H195"/>
    <hyperlink r:id="rId74" ref="H196"/>
    <hyperlink r:id="rId75" ref="H198"/>
    <hyperlink r:id="rId76" ref="H258"/>
    <hyperlink r:id="rId77" ref="H302"/>
    <hyperlink r:id="rId78" ref="H399"/>
    <hyperlink r:id="rId79" ref="H430"/>
    <hyperlink r:id="rId80" ref="H465"/>
    <hyperlink r:id="rId81" ref="H468"/>
    <hyperlink r:id="rId82" ref="H497"/>
    <hyperlink r:id="rId83" ref="H521"/>
    <hyperlink r:id="rId84" ref="H522"/>
    <hyperlink r:id="rId85" ref="H523"/>
    <hyperlink r:id="rId86" ref="H524"/>
    <hyperlink r:id="rId87" ref="H525"/>
    <hyperlink r:id="rId88" ref="H526"/>
    <hyperlink r:id="rId89" ref="H527"/>
    <hyperlink r:id="rId90" ref="H528"/>
    <hyperlink r:id="rId91" ref="H531"/>
    <hyperlink r:id="rId92" ref="H533"/>
    <hyperlink r:id="rId93" ref="H544"/>
    <hyperlink r:id="rId94" ref="H557"/>
    <hyperlink r:id="rId95" ref="H580"/>
    <hyperlink r:id="rId96" ref="H581"/>
    <hyperlink r:id="rId97" ref="H582"/>
    <hyperlink r:id="rId98" ref="H583"/>
    <hyperlink r:id="rId99" ref="H584"/>
    <hyperlink r:id="rId100" ref="H585"/>
    <hyperlink r:id="rId101" ref="H586"/>
    <hyperlink r:id="rId102" ref="H587"/>
    <hyperlink r:id="rId103" ref="H588"/>
    <hyperlink r:id="rId104" ref="H589"/>
    <hyperlink r:id="rId105" ref="H590"/>
    <hyperlink r:id="rId106" ref="H591"/>
    <hyperlink r:id="rId107" ref="H592"/>
    <hyperlink r:id="rId108" ref="H593"/>
    <hyperlink r:id="rId109" ref="H594"/>
    <hyperlink r:id="rId110" ref="H618"/>
    <hyperlink r:id="rId111" ref="H639"/>
    <hyperlink r:id="rId112" ref="H640"/>
    <hyperlink r:id="rId113" ref="H642"/>
    <hyperlink r:id="rId114" ref="H643"/>
    <hyperlink r:id="rId115" ref="H645"/>
    <hyperlink r:id="rId116" ref="H646"/>
    <hyperlink r:id="rId117" ref="H648"/>
    <hyperlink r:id="rId118" ref="H649"/>
    <hyperlink r:id="rId119" ref="H651"/>
    <hyperlink r:id="rId120" ref="H652"/>
    <hyperlink r:id="rId121" ref="H654"/>
    <hyperlink r:id="rId122" ref="H655"/>
    <hyperlink r:id="rId123" ref="H687"/>
    <hyperlink r:id="rId124" ref="H699"/>
    <hyperlink r:id="rId125" ref="H700"/>
    <hyperlink r:id="rId126" ref="H702"/>
    <hyperlink r:id="rId127" ref="H703"/>
    <hyperlink r:id="rId128" ref="H705"/>
    <hyperlink r:id="rId129" ref="H706"/>
    <hyperlink r:id="rId130" ref="H708"/>
    <hyperlink r:id="rId131" ref="H709"/>
    <hyperlink r:id="rId132" ref="H711"/>
    <hyperlink r:id="rId133" ref="H712"/>
    <hyperlink r:id="rId134" ref="H714"/>
    <hyperlink r:id="rId135" ref="H715"/>
    <hyperlink r:id="rId136" ref="H744"/>
    <hyperlink r:id="rId137" ref="H745"/>
    <hyperlink r:id="rId138" ref="H746"/>
    <hyperlink r:id="rId139" ref="H747"/>
    <hyperlink r:id="rId140" ref="H758"/>
    <hyperlink r:id="rId141" ref="H759"/>
    <hyperlink r:id="rId142" ref="H760"/>
    <hyperlink r:id="rId143" ref="H762"/>
    <hyperlink r:id="rId144" ref="H763"/>
    <hyperlink r:id="rId145" ref="H765"/>
    <hyperlink r:id="rId146" ref="H766"/>
    <hyperlink r:id="rId147" ref="H767"/>
    <hyperlink r:id="rId148" ref="H768"/>
    <hyperlink r:id="rId149" ref="H769"/>
    <hyperlink r:id="rId150" ref="H772"/>
    <hyperlink r:id="rId151" ref="H775"/>
    <hyperlink r:id="rId152" ref="H798"/>
    <hyperlink r:id="rId153" ref="H817"/>
    <hyperlink r:id="rId154" ref="H820"/>
    <hyperlink r:id="rId155" ref="H822"/>
    <hyperlink r:id="rId156" ref="H825"/>
    <hyperlink r:id="rId157" ref="H828"/>
    <hyperlink r:id="rId158" ref="H831"/>
    <hyperlink r:id="rId159" ref="H834"/>
    <hyperlink r:id="rId160" ref="H837"/>
    <hyperlink r:id="rId161" ref="H849"/>
    <hyperlink r:id="rId162" ref="H850"/>
    <hyperlink r:id="rId163" ref="H852"/>
    <hyperlink r:id="rId164" ref="H857"/>
    <hyperlink r:id="rId165" ref="H865"/>
    <hyperlink r:id="rId166" ref="H905"/>
    <hyperlink r:id="rId167" ref="H909"/>
    <hyperlink r:id="rId168" ref="H912"/>
    <hyperlink r:id="rId169" ref="H920"/>
    <hyperlink r:id="rId170" ref="H924"/>
    <hyperlink r:id="rId171" ref="H929"/>
    <hyperlink r:id="rId172" ref="H944"/>
    <hyperlink r:id="rId173" ref="H947"/>
    <hyperlink r:id="rId174" ref="H950"/>
    <hyperlink r:id="rId175" ref="H953"/>
    <hyperlink r:id="rId176" ref="H956"/>
    <hyperlink r:id="rId177" ref="H961"/>
    <hyperlink r:id="rId178" ref="H975"/>
    <hyperlink r:id="rId179" ref="H976"/>
    <hyperlink r:id="rId180" ref="H983"/>
    <hyperlink r:id="rId181" ref="H993"/>
    <hyperlink r:id="rId182" ref="H995"/>
    <hyperlink r:id="rId183" ref="H1023"/>
    <hyperlink r:id="rId184" ref="H1026"/>
    <hyperlink r:id="rId185" ref="H1027"/>
    <hyperlink r:id="rId186" ref="H1034"/>
    <hyperlink r:id="rId187" ref="H1035"/>
    <hyperlink r:id="rId188" ref="H1036"/>
    <hyperlink r:id="rId189" ref="H1037"/>
    <hyperlink r:id="rId190" ref="H1039"/>
    <hyperlink r:id="rId191" ref="H1040"/>
    <hyperlink r:id="rId192" ref="H1041"/>
    <hyperlink r:id="rId193" ref="H1042"/>
    <hyperlink r:id="rId194" ref="H1044"/>
    <hyperlink r:id="rId195" ref="H1045"/>
    <hyperlink r:id="rId196" ref="H1047"/>
    <hyperlink r:id="rId197" ref="H1049"/>
    <hyperlink r:id="rId198" ref="H1052"/>
    <hyperlink r:id="rId199" ref="H1053"/>
    <hyperlink r:id="rId200" ref="H1055"/>
    <hyperlink r:id="rId201" ref="H1057"/>
    <hyperlink r:id="rId202" ref="H1058"/>
    <hyperlink r:id="rId203" ref="H1060"/>
    <hyperlink r:id="rId204" ref="H1061"/>
    <hyperlink r:id="rId205" ref="H1066"/>
    <hyperlink r:id="rId206" ref="H1069"/>
    <hyperlink r:id="rId207" ref="H1071"/>
    <hyperlink r:id="rId208" ref="H1072"/>
    <hyperlink r:id="rId209" ref="H1075"/>
    <hyperlink r:id="rId210" ref="H1078"/>
    <hyperlink r:id="rId211" ref="H1079"/>
    <hyperlink r:id="rId212" ref="H1080"/>
    <hyperlink r:id="rId213" ref="H1081"/>
    <hyperlink r:id="rId214" ref="H1082"/>
    <hyperlink r:id="rId215" ref="H1083"/>
    <hyperlink r:id="rId216" ref="H1084"/>
    <hyperlink r:id="rId217" ref="H1086"/>
    <hyperlink r:id="rId218" ref="H1087"/>
    <hyperlink r:id="rId219" ref="H1089"/>
    <hyperlink r:id="rId220" ref="H1090"/>
    <hyperlink r:id="rId221" ref="H1092"/>
    <hyperlink r:id="rId222" ref="H1093"/>
    <hyperlink r:id="rId223" ref="H1094"/>
    <hyperlink r:id="rId224" ref="H1095"/>
    <hyperlink r:id="rId225" ref="H1096"/>
    <hyperlink r:id="rId226" ref="H1097"/>
    <hyperlink r:id="rId227" ref="H1099"/>
    <hyperlink r:id="rId228" ref="H1100"/>
    <hyperlink r:id="rId229" ref="H1134"/>
    <hyperlink r:id="rId230" ref="H1150"/>
    <hyperlink r:id="rId231" ref="H1156"/>
    <hyperlink r:id="rId232" ref="H1158"/>
    <hyperlink r:id="rId233" ref="H1160"/>
    <hyperlink r:id="rId234" ref="H1168"/>
    <hyperlink r:id="rId235" ref="H1173"/>
    <hyperlink r:id="rId236" ref="H1198"/>
    <hyperlink r:id="rId237" ref="H1200"/>
    <hyperlink r:id="rId238" ref="H1201"/>
    <hyperlink r:id="rId239" ref="H1204"/>
    <hyperlink r:id="rId240" ref="H1215"/>
    <hyperlink r:id="rId241" ref="H1216"/>
    <hyperlink r:id="rId242" ref="H1217"/>
    <hyperlink r:id="rId243" ref="H1219"/>
    <hyperlink r:id="rId244" ref="H1220"/>
    <hyperlink r:id="rId245" ref="H1221"/>
    <hyperlink r:id="rId246" ref="H1222"/>
    <hyperlink r:id="rId247" ref="H1223"/>
    <hyperlink r:id="rId248" ref="H1226"/>
    <hyperlink r:id="rId249" ref="H1227"/>
    <hyperlink r:id="rId250" ref="H1228"/>
    <hyperlink r:id="rId251" ref="H1229"/>
    <hyperlink r:id="rId252" ref="H1230"/>
    <hyperlink r:id="rId253" ref="H1231"/>
    <hyperlink r:id="rId254" ref="H1234"/>
    <hyperlink r:id="rId255" ref="H1237"/>
    <hyperlink r:id="rId256" ref="H1240"/>
    <hyperlink r:id="rId257" ref="H1241"/>
    <hyperlink r:id="rId258" ref="H1242"/>
    <hyperlink r:id="rId259" ref="H1243"/>
    <hyperlink r:id="rId260" ref="H1244"/>
    <hyperlink r:id="rId261" ref="H1248"/>
    <hyperlink r:id="rId262" ref="H1254"/>
    <hyperlink r:id="rId263" ref="H1255"/>
    <hyperlink r:id="rId264" ref="H1258"/>
    <hyperlink r:id="rId265" ref="H1268"/>
    <hyperlink r:id="rId266" ref="H1269"/>
    <hyperlink r:id="rId267" ref="H1270"/>
    <hyperlink r:id="rId268" ref="H1271"/>
    <hyperlink r:id="rId269" ref="H1272"/>
    <hyperlink r:id="rId270" ref="H1273"/>
    <hyperlink r:id="rId271" ref="H1274"/>
    <hyperlink r:id="rId272" ref="H1275"/>
    <hyperlink r:id="rId273" ref="H1276"/>
    <hyperlink r:id="rId274" ref="H1277"/>
    <hyperlink r:id="rId275" ref="H1279"/>
    <hyperlink r:id="rId276" ref="H1280"/>
    <hyperlink r:id="rId277" ref="H1282"/>
    <hyperlink r:id="rId278" ref="H1283"/>
    <hyperlink r:id="rId279" ref="H1286"/>
    <hyperlink r:id="rId280" ref="H1288"/>
    <hyperlink r:id="rId281" ref="H1289"/>
    <hyperlink r:id="rId282" ref="H1291"/>
    <hyperlink r:id="rId283" ref="H1292"/>
    <hyperlink r:id="rId284" ref="H1300"/>
    <hyperlink r:id="rId285" ref="H1303"/>
    <hyperlink r:id="rId286" ref="H1304"/>
    <hyperlink r:id="rId287" ref="H1310"/>
    <hyperlink r:id="rId288" ref="H1313"/>
    <hyperlink r:id="rId289" ref="H1314"/>
    <hyperlink r:id="rId290" ref="H1315"/>
    <hyperlink r:id="rId291" ref="H1318"/>
    <hyperlink r:id="rId292" ref="H1325"/>
    <hyperlink r:id="rId293" ref="H1326"/>
    <hyperlink r:id="rId294" ref="H1327"/>
    <hyperlink r:id="rId295" ref="H1328"/>
    <hyperlink r:id="rId296" ref="H1329"/>
    <hyperlink r:id="rId297" ref="H1330"/>
    <hyperlink r:id="rId298" ref="H1331"/>
    <hyperlink r:id="rId299" ref="H1332"/>
    <hyperlink r:id="rId300" ref="H1333"/>
    <hyperlink r:id="rId301" ref="H1334"/>
    <hyperlink r:id="rId302" ref="H1335"/>
    <hyperlink r:id="rId303" ref="H1336"/>
    <hyperlink r:id="rId304" ref="H1338"/>
    <hyperlink r:id="rId305" ref="H1339"/>
    <hyperlink r:id="rId306" ref="H1340"/>
    <hyperlink r:id="rId307" ref="H1341"/>
    <hyperlink r:id="rId308" ref="H1342"/>
    <hyperlink r:id="rId309" ref="H1343"/>
    <hyperlink r:id="rId310" ref="H1344"/>
    <hyperlink r:id="rId311" ref="H1345"/>
    <hyperlink r:id="rId312" ref="H1346"/>
    <hyperlink r:id="rId313" ref="H1347"/>
    <hyperlink r:id="rId314" ref="H1348"/>
    <hyperlink r:id="rId315" ref="H1349"/>
    <hyperlink r:id="rId316" ref="H1350"/>
    <hyperlink r:id="rId317" ref="H1351"/>
    <hyperlink r:id="rId318" ref="H1352"/>
    <hyperlink r:id="rId319" ref="H1353"/>
    <hyperlink r:id="rId320" ref="H1355"/>
    <hyperlink r:id="rId321" ref="H1358"/>
    <hyperlink r:id="rId322" ref="H1360"/>
    <hyperlink r:id="rId323" ref="H1361"/>
    <hyperlink r:id="rId324" ref="H1362"/>
    <hyperlink r:id="rId325" ref="H1363"/>
    <hyperlink r:id="rId326" ref="H1364"/>
    <hyperlink r:id="rId327" ref="H1365"/>
    <hyperlink r:id="rId328" ref="H1369"/>
    <hyperlink r:id="rId329" ref="H1370"/>
    <hyperlink r:id="rId330" ref="H1372"/>
    <hyperlink r:id="rId331" ref="H1373"/>
    <hyperlink r:id="rId332" ref="H1375"/>
    <hyperlink r:id="rId333" ref="H1376"/>
    <hyperlink r:id="rId334" ref="H1384"/>
    <hyperlink r:id="rId335" ref="H1385"/>
    <hyperlink r:id="rId336" ref="H1386"/>
    <hyperlink r:id="rId337" ref="H1387"/>
    <hyperlink r:id="rId338" ref="H1388"/>
    <hyperlink r:id="rId339" ref="H1389"/>
    <hyperlink r:id="rId340" ref="H1390"/>
    <hyperlink r:id="rId341" ref="H1391"/>
    <hyperlink r:id="rId342" ref="H1392"/>
    <hyperlink r:id="rId343" ref="H1393"/>
    <hyperlink r:id="rId344" ref="H1394"/>
    <hyperlink r:id="rId345" ref="H1395"/>
    <hyperlink r:id="rId346" ref="H1396"/>
    <hyperlink r:id="rId347" ref="H1397"/>
    <hyperlink r:id="rId348" ref="H1399"/>
    <hyperlink r:id="rId349" ref="H1400"/>
    <hyperlink r:id="rId350" ref="H1401"/>
    <hyperlink r:id="rId351" ref="H1402"/>
    <hyperlink r:id="rId352" ref="H1404"/>
    <hyperlink r:id="rId353" ref="H1405"/>
    <hyperlink r:id="rId354" ref="H1406"/>
    <hyperlink r:id="rId355" ref="H1407"/>
    <hyperlink r:id="rId356" ref="H1408"/>
    <hyperlink r:id="rId357" ref="H1409"/>
    <hyperlink r:id="rId358" ref="H1410"/>
    <hyperlink r:id="rId359" ref="H1411"/>
    <hyperlink r:id="rId360" ref="H1412"/>
    <hyperlink r:id="rId361" ref="H1413"/>
    <hyperlink r:id="rId362" ref="H1414"/>
    <hyperlink r:id="rId363" ref="H1415"/>
    <hyperlink r:id="rId364" ref="H1421"/>
    <hyperlink r:id="rId365" ref="H1422"/>
    <hyperlink r:id="rId366" ref="H1423"/>
    <hyperlink r:id="rId367" ref="H1427"/>
    <hyperlink r:id="rId368" ref="H1432"/>
    <hyperlink r:id="rId369" ref="H1433"/>
    <hyperlink r:id="rId370" ref="H1441"/>
    <hyperlink r:id="rId371" ref="H1442"/>
    <hyperlink r:id="rId372" ref="H1443"/>
    <hyperlink r:id="rId373" ref="H1444"/>
    <hyperlink r:id="rId374" ref="H1445"/>
    <hyperlink r:id="rId375" ref="H1446"/>
    <hyperlink r:id="rId376" ref="H1447"/>
    <hyperlink r:id="rId377" ref="H1448"/>
    <hyperlink r:id="rId378" ref="H1449"/>
    <hyperlink r:id="rId379" ref="H1450"/>
    <hyperlink r:id="rId380" ref="H1451"/>
    <hyperlink r:id="rId381" ref="H1452"/>
    <hyperlink r:id="rId382" ref="H1453"/>
    <hyperlink r:id="rId383" ref="H1454"/>
    <hyperlink r:id="rId384" ref="H1455"/>
    <hyperlink r:id="rId385" ref="H1456"/>
    <hyperlink r:id="rId386" ref="H1457"/>
    <hyperlink r:id="rId387" ref="H1459"/>
    <hyperlink r:id="rId388" ref="H1460"/>
    <hyperlink r:id="rId389" ref="H1461"/>
    <hyperlink r:id="rId390" ref="H1462"/>
    <hyperlink r:id="rId391" ref="H1463"/>
    <hyperlink r:id="rId392" ref="H1464"/>
    <hyperlink r:id="rId393" ref="H1465"/>
    <hyperlink r:id="rId394" ref="H1466"/>
    <hyperlink r:id="rId395" ref="H1467"/>
    <hyperlink r:id="rId396" ref="H1468"/>
    <hyperlink r:id="rId397" ref="H1469"/>
    <hyperlink r:id="rId398" ref="H1470"/>
    <hyperlink r:id="rId399" ref="H1471"/>
    <hyperlink r:id="rId400" ref="H1472"/>
    <hyperlink r:id="rId401" ref="H1474"/>
    <hyperlink r:id="rId402" ref="H1475"/>
    <hyperlink r:id="rId403" ref="H1476"/>
    <hyperlink r:id="rId404" ref="H1487"/>
    <hyperlink r:id="rId405" ref="H1501"/>
    <hyperlink r:id="rId406" ref="H1502"/>
    <hyperlink r:id="rId407" ref="H1504"/>
    <hyperlink r:id="rId408" ref="H1505"/>
    <hyperlink r:id="rId409" ref="H1507"/>
    <hyperlink r:id="rId410" ref="H1508"/>
    <hyperlink r:id="rId411" ref="H1510"/>
    <hyperlink r:id="rId412" ref="H1511"/>
    <hyperlink r:id="rId413" ref="H1513"/>
    <hyperlink r:id="rId414" ref="H1514"/>
    <hyperlink r:id="rId415" ref="H1516"/>
    <hyperlink r:id="rId416" ref="H1518"/>
    <hyperlink r:id="rId417" ref="H1519"/>
    <hyperlink r:id="rId418" ref="H1520"/>
    <hyperlink r:id="rId419" ref="H1522"/>
    <hyperlink r:id="rId420" ref="H1523"/>
    <hyperlink r:id="rId421" ref="H1524"/>
    <hyperlink r:id="rId422" ref="H1525"/>
    <hyperlink r:id="rId423" ref="H1526"/>
    <hyperlink r:id="rId424" ref="H1527"/>
    <hyperlink r:id="rId425" ref="H1528"/>
    <hyperlink r:id="rId426" ref="H1529"/>
    <hyperlink r:id="rId427" ref="H1530"/>
    <hyperlink r:id="rId428" ref="H1531"/>
    <hyperlink r:id="rId429" ref="H1532"/>
    <hyperlink r:id="rId430" ref="H1533"/>
    <hyperlink r:id="rId431" ref="H1534"/>
    <hyperlink r:id="rId432" ref="H1535"/>
    <hyperlink r:id="rId433" ref="H1536"/>
    <hyperlink r:id="rId434" ref="H1546"/>
    <hyperlink r:id="rId435" ref="H1548"/>
    <hyperlink r:id="rId436" ref="H1558"/>
    <hyperlink r:id="rId437" ref="H1559"/>
    <hyperlink r:id="rId438" ref="H1560"/>
    <hyperlink r:id="rId439" ref="H1561"/>
    <hyperlink r:id="rId440" ref="H1562"/>
    <hyperlink r:id="rId441" ref="H1563"/>
    <hyperlink r:id="rId442" ref="H1564"/>
    <hyperlink r:id="rId443" ref="H1565"/>
    <hyperlink r:id="rId444" ref="H1566"/>
    <hyperlink r:id="rId445" ref="H1567"/>
    <hyperlink r:id="rId446" ref="H1568"/>
    <hyperlink r:id="rId447" ref="H1569"/>
    <hyperlink r:id="rId448" ref="H1570"/>
    <hyperlink r:id="rId449" ref="H1571"/>
    <hyperlink r:id="rId450" ref="H1572"/>
    <hyperlink r:id="rId451" ref="H1573"/>
    <hyperlink r:id="rId452" ref="H1574"/>
    <hyperlink r:id="rId453" ref="H1575"/>
    <hyperlink r:id="rId454" ref="H1576"/>
    <hyperlink r:id="rId455" ref="H1577"/>
    <hyperlink r:id="rId456" ref="H1579"/>
    <hyperlink r:id="rId457" ref="H1580"/>
    <hyperlink r:id="rId458" ref="H1581"/>
    <hyperlink r:id="rId459" ref="H1582"/>
    <hyperlink r:id="rId460" ref="H1583"/>
    <hyperlink r:id="rId461" ref="H1584"/>
    <hyperlink r:id="rId462" ref="H1585"/>
    <hyperlink r:id="rId463" ref="H1586"/>
    <hyperlink r:id="rId464" ref="H1587"/>
    <hyperlink r:id="rId465" ref="H1589"/>
    <hyperlink r:id="rId466" ref="H1590"/>
    <hyperlink r:id="rId467" ref="H1591"/>
    <hyperlink r:id="rId468" ref="H1592"/>
    <hyperlink r:id="rId469" ref="H1593"/>
    <hyperlink r:id="rId470" ref="H1594"/>
    <hyperlink r:id="rId471" ref="H1595"/>
    <hyperlink r:id="rId472" ref="H1596"/>
    <hyperlink r:id="rId473" ref="H1597"/>
    <hyperlink r:id="rId474" ref="H1600"/>
    <hyperlink r:id="rId475" ref="H1605"/>
    <hyperlink r:id="rId476" ref="H1606"/>
    <hyperlink r:id="rId477" ref="H1608"/>
    <hyperlink r:id="rId478" ref="H1617"/>
    <hyperlink r:id="rId479" ref="H1618"/>
    <hyperlink r:id="rId480" ref="H1619"/>
    <hyperlink r:id="rId481" ref="H1620"/>
    <hyperlink r:id="rId482" ref="H1621"/>
    <hyperlink r:id="rId483" ref="H1622"/>
    <hyperlink r:id="rId484" ref="H1623"/>
    <hyperlink r:id="rId485" ref="H1624"/>
    <hyperlink r:id="rId486" ref="H1625"/>
    <hyperlink r:id="rId487" ref="H1626"/>
    <hyperlink r:id="rId488" ref="H1627"/>
    <hyperlink r:id="rId489" ref="H1628"/>
    <hyperlink r:id="rId490" ref="H1629"/>
    <hyperlink r:id="rId491" ref="H1630"/>
    <hyperlink r:id="rId492" ref="H1631"/>
    <hyperlink r:id="rId493" ref="H1634"/>
    <hyperlink r:id="rId494" ref="H1636"/>
    <hyperlink r:id="rId495" ref="H1637"/>
    <hyperlink r:id="rId496" ref="H1639"/>
    <hyperlink r:id="rId497" ref="H1640"/>
    <hyperlink r:id="rId498" ref="H1641"/>
    <hyperlink r:id="rId499" ref="H1642"/>
    <hyperlink r:id="rId500" ref="H1643"/>
    <hyperlink r:id="rId501" ref="H1644"/>
    <hyperlink r:id="rId502" ref="H1645"/>
    <hyperlink r:id="rId503" ref="H1646"/>
    <hyperlink r:id="rId504" ref="H1647"/>
    <hyperlink r:id="rId505" ref="H1648"/>
    <hyperlink r:id="rId506" ref="H1649"/>
    <hyperlink r:id="rId507" ref="H1650"/>
    <hyperlink r:id="rId508" ref="H1651"/>
    <hyperlink r:id="rId509" ref="H1653"/>
    <hyperlink r:id="rId510" ref="H1654"/>
    <hyperlink r:id="rId511" ref="H1656"/>
    <hyperlink r:id="rId512" ref="H1657"/>
    <hyperlink r:id="rId513" ref="H1665"/>
    <hyperlink r:id="rId514" ref="H1666"/>
    <hyperlink r:id="rId515" ref="H1668"/>
    <hyperlink r:id="rId516" ref="H1669"/>
    <hyperlink r:id="rId517" ref="H1679"/>
    <hyperlink r:id="rId518" ref="H1680"/>
    <hyperlink r:id="rId519" ref="H1681"/>
    <hyperlink r:id="rId520" ref="H1682"/>
    <hyperlink r:id="rId521" ref="H1683"/>
    <hyperlink r:id="rId522" ref="H1684"/>
    <hyperlink r:id="rId523" ref="H1685"/>
    <hyperlink r:id="rId524" ref="H1686"/>
    <hyperlink r:id="rId525" ref="H1687"/>
    <hyperlink r:id="rId526" ref="H1690"/>
    <hyperlink r:id="rId527" ref="H1693"/>
    <hyperlink r:id="rId528" ref="H1696"/>
    <hyperlink r:id="rId529" ref="H1698"/>
    <hyperlink r:id="rId530" ref="H1699"/>
    <hyperlink r:id="rId531" ref="H1700"/>
    <hyperlink r:id="rId532" ref="H1701"/>
    <hyperlink r:id="rId533" ref="H1702"/>
    <hyperlink r:id="rId534" ref="H1703"/>
    <hyperlink r:id="rId535" ref="H1704"/>
    <hyperlink r:id="rId536" ref="H1705"/>
    <hyperlink r:id="rId537" ref="H1706"/>
    <hyperlink r:id="rId538" ref="H1707"/>
    <hyperlink r:id="rId539" ref="H1708"/>
    <hyperlink r:id="rId540" ref="H1710"/>
    <hyperlink r:id="rId541" ref="H1711"/>
    <hyperlink r:id="rId542" ref="H1713"/>
    <hyperlink r:id="rId543" ref="H1714"/>
    <hyperlink r:id="rId544" ref="H1716"/>
    <hyperlink r:id="rId545" ref="H1717"/>
    <hyperlink r:id="rId546" ref="H1737"/>
    <hyperlink r:id="rId547" ref="H1738"/>
    <hyperlink r:id="rId548" ref="H1739"/>
    <hyperlink r:id="rId549" ref="H1740"/>
    <hyperlink r:id="rId550" ref="H1741"/>
    <hyperlink r:id="rId551" ref="H1742"/>
    <hyperlink r:id="rId552" ref="H1743"/>
    <hyperlink r:id="rId553" ref="H1744"/>
    <hyperlink r:id="rId554" ref="H1745"/>
    <hyperlink r:id="rId555" ref="H1746"/>
    <hyperlink r:id="rId556" ref="H1747"/>
    <hyperlink r:id="rId557" ref="H1748"/>
    <hyperlink r:id="rId558" ref="H1749"/>
    <hyperlink r:id="rId559" ref="H1750"/>
    <hyperlink r:id="rId560" ref="H1751"/>
    <hyperlink r:id="rId561" ref="H1752"/>
    <hyperlink r:id="rId562" ref="H1753"/>
    <hyperlink r:id="rId563" ref="H1754"/>
    <hyperlink r:id="rId564" ref="H1755"/>
    <hyperlink r:id="rId565" ref="H1756"/>
    <hyperlink r:id="rId566" ref="H1757"/>
    <hyperlink r:id="rId567" ref="H1759"/>
    <hyperlink r:id="rId568" ref="H1760"/>
    <hyperlink r:id="rId569" ref="H1761"/>
    <hyperlink r:id="rId570" ref="H1762"/>
    <hyperlink r:id="rId571" ref="H1763"/>
    <hyperlink r:id="rId572" ref="H1764"/>
    <hyperlink r:id="rId573" ref="H1765"/>
    <hyperlink r:id="rId574" ref="H1766"/>
    <hyperlink r:id="rId575" ref="H1767"/>
    <hyperlink r:id="rId576" ref="H1768"/>
    <hyperlink r:id="rId577" ref="H1769"/>
    <hyperlink r:id="rId578" ref="H1770"/>
    <hyperlink r:id="rId579" ref="H1772"/>
    <hyperlink r:id="rId580" ref="H1775"/>
    <hyperlink r:id="rId581" ref="H1777"/>
    <hyperlink r:id="rId582" ref="H1778"/>
    <hyperlink r:id="rId583" ref="H1797"/>
    <hyperlink r:id="rId584" ref="H1798"/>
    <hyperlink r:id="rId585" ref="H1799"/>
    <hyperlink r:id="rId586" ref="H1800"/>
    <hyperlink r:id="rId587" ref="H1801"/>
    <hyperlink r:id="rId588" ref="H1802"/>
    <hyperlink r:id="rId589" ref="H1803"/>
    <hyperlink r:id="rId590" ref="H1804"/>
    <hyperlink r:id="rId591" ref="H1805"/>
    <hyperlink r:id="rId592" ref="H1806"/>
    <hyperlink r:id="rId593" ref="H1807"/>
    <hyperlink r:id="rId594" ref="H1808"/>
    <hyperlink r:id="rId595" ref="H1809"/>
    <hyperlink r:id="rId596" ref="H1810"/>
    <hyperlink r:id="rId597" ref="H1811"/>
    <hyperlink r:id="rId598" ref="H1812"/>
    <hyperlink r:id="rId599" ref="H1815"/>
    <hyperlink r:id="rId600" ref="H1816"/>
    <hyperlink r:id="rId601" ref="H1817"/>
    <hyperlink r:id="rId602" ref="H1819"/>
    <hyperlink r:id="rId603" ref="H1822"/>
    <hyperlink r:id="rId604" ref="H1823"/>
    <hyperlink r:id="rId605" ref="H1824"/>
    <hyperlink r:id="rId606" ref="H1825"/>
    <hyperlink r:id="rId607" ref="H1828"/>
    <hyperlink r:id="rId608" ref="H1831"/>
    <hyperlink r:id="rId609" ref="H1834"/>
    <hyperlink r:id="rId610" ref="H1837"/>
    <hyperlink r:id="rId611" ref="H1840"/>
    <hyperlink r:id="rId612" ref="H1843"/>
    <hyperlink r:id="rId613" ref="H1847"/>
    <hyperlink r:id="rId614" ref="H1850"/>
    <hyperlink r:id="rId615" ref="H1853"/>
    <hyperlink r:id="rId616" ref="H1856"/>
    <hyperlink r:id="rId617" ref="H1858"/>
    <hyperlink r:id="rId618" ref="H1859"/>
    <hyperlink r:id="rId619" ref="H1860"/>
    <hyperlink r:id="rId620" ref="H1861"/>
    <hyperlink r:id="rId621" ref="H1862"/>
    <hyperlink r:id="rId622" ref="H1865"/>
    <hyperlink r:id="rId623" ref="H1868"/>
    <hyperlink r:id="rId624" ref="H1871"/>
    <hyperlink r:id="rId625" ref="H1878"/>
    <hyperlink r:id="rId626" ref="H1880"/>
    <hyperlink r:id="rId627" ref="H1881"/>
    <hyperlink r:id="rId628" ref="H1884"/>
    <hyperlink r:id="rId629" ref="H1885"/>
    <hyperlink r:id="rId630" ref="H1886"/>
    <hyperlink r:id="rId631" ref="H1887"/>
    <hyperlink r:id="rId632" ref="H1889"/>
    <hyperlink r:id="rId633" ref="H1890"/>
    <hyperlink r:id="rId634" ref="H1892"/>
    <hyperlink r:id="rId635" ref="H1893"/>
    <hyperlink r:id="rId636" ref="H1920"/>
    <hyperlink r:id="rId637" ref="H1923"/>
    <hyperlink r:id="rId638" ref="H1924"/>
    <hyperlink r:id="rId639" ref="H1925"/>
    <hyperlink r:id="rId640" ref="H1926"/>
    <hyperlink r:id="rId641" ref="H1929"/>
    <hyperlink r:id="rId642" ref="H1932"/>
    <hyperlink r:id="rId643" ref="H1936"/>
    <hyperlink r:id="rId644" ref="H1937"/>
    <hyperlink r:id="rId645" ref="H1939"/>
    <hyperlink r:id="rId646" ref="H1940"/>
    <hyperlink r:id="rId647" ref="H1969"/>
    <hyperlink r:id="rId648" ref="H1982"/>
    <hyperlink r:id="rId649" ref="H1985"/>
    <hyperlink r:id="rId650" ref="H1988"/>
    <hyperlink r:id="rId651" ref="H1991"/>
    <hyperlink r:id="rId652" ref="H1994"/>
    <hyperlink r:id="rId653" ref="H1997"/>
    <hyperlink r:id="rId654" ref="H1999"/>
    <hyperlink r:id="rId655" ref="H2002"/>
    <hyperlink r:id="rId656" ref="H2003"/>
    <hyperlink r:id="rId657" ref="H2006"/>
    <hyperlink r:id="rId658" ref="H2010"/>
    <hyperlink r:id="rId659" ref="H2025"/>
    <hyperlink r:id="rId660" ref="H2028"/>
    <hyperlink r:id="rId661" ref="H2034"/>
    <hyperlink r:id="rId662" ref="H2038"/>
    <hyperlink r:id="rId663" ref="H2041"/>
    <hyperlink r:id="rId664" ref="H2044"/>
    <hyperlink r:id="rId665" ref="H2047"/>
    <hyperlink r:id="rId666" ref="H2055"/>
    <hyperlink r:id="rId667" ref="H2056"/>
    <hyperlink r:id="rId668" ref="H2059"/>
    <hyperlink r:id="rId669" ref="H2060"/>
    <hyperlink r:id="rId670" ref="H2062"/>
    <hyperlink r:id="rId671" ref="H2078"/>
    <hyperlink r:id="rId672" ref="H2079"/>
    <hyperlink r:id="rId673" ref="H2094"/>
    <hyperlink r:id="rId674" ref="H2106"/>
    <hyperlink r:id="rId675" ref="H2109"/>
    <hyperlink r:id="rId676" ref="H2112"/>
    <hyperlink r:id="rId677" ref="H2113"/>
    <hyperlink r:id="rId678" ref="H2115"/>
    <hyperlink r:id="rId679" ref="H2117"/>
    <hyperlink r:id="rId680" ref="H2119"/>
    <hyperlink r:id="rId681" ref="H2122"/>
    <hyperlink r:id="rId682" ref="H2135"/>
    <hyperlink r:id="rId683" ref="H2177"/>
    <hyperlink r:id="rId684" ref="H2239"/>
    <hyperlink r:id="rId685" ref="H2241"/>
    <hyperlink r:id="rId686" ref="H2244"/>
    <hyperlink r:id="rId687" ref="H2250"/>
    <hyperlink r:id="rId688" ref="H2253"/>
    <hyperlink r:id="rId689" ref="H2256"/>
    <hyperlink r:id="rId690" ref="H2259"/>
    <hyperlink r:id="rId691" ref="H2262"/>
    <hyperlink r:id="rId692" ref="H2272"/>
    <hyperlink r:id="rId693" ref="H2275"/>
    <hyperlink r:id="rId694" ref="H2278"/>
    <hyperlink r:id="rId695" ref="H2281"/>
    <hyperlink r:id="rId696" ref="H2294"/>
    <hyperlink r:id="rId697" ref="H2297"/>
    <hyperlink r:id="rId698" ref="H2310"/>
    <hyperlink r:id="rId699" ref="H2311"/>
    <hyperlink r:id="rId700" ref="H2312"/>
    <hyperlink r:id="rId701" ref="H2313"/>
    <hyperlink r:id="rId702" ref="H2316"/>
    <hyperlink r:id="rId703" ref="H2319"/>
    <hyperlink r:id="rId704" ref="H2322"/>
    <hyperlink r:id="rId705" ref="H2357"/>
    <hyperlink r:id="rId706" ref="H2418"/>
    <hyperlink r:id="rId707" ref="H2421"/>
    <hyperlink r:id="rId708" ref="H2424"/>
    <hyperlink r:id="rId709" ref="H2427"/>
    <hyperlink r:id="rId710" ref="H2465"/>
    <hyperlink r:id="rId711" ref="H2469"/>
    <hyperlink r:id="rId712" ref="H2477"/>
    <hyperlink r:id="rId713" ref="H2536"/>
    <hyperlink r:id="rId714" ref="H2537"/>
    <hyperlink r:id="rId715" ref="H2598"/>
    <hyperlink r:id="rId716" ref="H2657"/>
    <hyperlink r:id="rId717" ref="H2716"/>
    <hyperlink r:id="rId718" ref="H2717"/>
    <hyperlink r:id="rId719" ref="H2719"/>
    <hyperlink r:id="rId720" ref="H2778"/>
    <hyperlink r:id="rId721" ref="H2780"/>
    <hyperlink r:id="rId722" ref="H2837"/>
    <hyperlink r:id="rId723" ref="H2838"/>
    <hyperlink r:id="rId724" ref="H2873"/>
    <hyperlink r:id="rId725" ref="H2896"/>
    <hyperlink r:id="rId726" ref="H2897"/>
    <hyperlink r:id="rId727" ref="H2899"/>
    <hyperlink r:id="rId728" ref="H2956"/>
    <hyperlink r:id="rId729" ref="H2958"/>
    <hyperlink r:id="rId730" ref="H2959"/>
    <hyperlink r:id="rId731" ref="H2962"/>
    <hyperlink r:id="rId732" ref="H2965"/>
    <hyperlink r:id="rId733" ref="H2969"/>
    <hyperlink r:id="rId734" ref="H2972"/>
    <hyperlink r:id="rId735" ref="H2975"/>
    <hyperlink r:id="rId736" ref="H3015"/>
    <hyperlink r:id="rId737" ref="H3017"/>
    <hyperlink r:id="rId738" ref="H3018"/>
    <hyperlink r:id="rId739" ref="H3077"/>
    <hyperlink r:id="rId740" ref="H3079"/>
    <hyperlink r:id="rId741" ref="H3104"/>
    <hyperlink r:id="rId742" ref="H3119"/>
    <hyperlink r:id="rId743" ref="H3122"/>
    <hyperlink r:id="rId744" ref="H3128"/>
    <hyperlink r:id="rId745" ref="H3131"/>
    <hyperlink r:id="rId746" ref="H3134"/>
    <hyperlink r:id="rId747" ref="H3135"/>
    <hyperlink r:id="rId748" ref="H3136"/>
    <hyperlink r:id="rId749" ref="H3138"/>
    <hyperlink r:id="rId750" ref="H3139"/>
    <hyperlink r:id="rId751" ref="H3183"/>
    <hyperlink r:id="rId752" ref="H3188"/>
    <hyperlink r:id="rId753" ref="H3191"/>
    <hyperlink r:id="rId754" ref="H3194"/>
    <hyperlink r:id="rId755" ref="H3195"/>
    <hyperlink r:id="rId756" ref="H3197"/>
    <hyperlink r:id="rId757" ref="H3198"/>
    <hyperlink r:id="rId758" ref="H3234"/>
    <hyperlink r:id="rId759" ref="H3237"/>
    <hyperlink r:id="rId760" ref="H3242"/>
    <hyperlink r:id="rId761" ref="H3248"/>
    <hyperlink r:id="rId762" ref="H3251"/>
    <hyperlink r:id="rId763" ref="H3254"/>
    <hyperlink r:id="rId764" ref="H3257"/>
    <hyperlink r:id="rId765" ref="H3259"/>
    <hyperlink r:id="rId766" ref="H3262"/>
    <hyperlink r:id="rId767" ref="H3265"/>
    <hyperlink r:id="rId768" ref="H3268"/>
    <hyperlink r:id="rId769" ref="H3271"/>
    <hyperlink r:id="rId770" ref="H3274"/>
    <hyperlink r:id="rId771" ref="H3275"/>
    <hyperlink r:id="rId772" ref="H3278"/>
    <hyperlink r:id="rId773" ref="H3280"/>
    <hyperlink r:id="rId774" ref="H3281"/>
    <hyperlink r:id="rId775" ref="H3282"/>
    <hyperlink r:id="rId776" ref="H3285"/>
    <hyperlink r:id="rId777" ref="H3288"/>
    <hyperlink r:id="rId778" ref="H3291"/>
    <hyperlink r:id="rId779" ref="H3295"/>
    <hyperlink r:id="rId780" ref="H3298"/>
    <hyperlink r:id="rId781" ref="H3301"/>
    <hyperlink r:id="rId782" ref="H3304"/>
    <hyperlink r:id="rId783" ref="H3307"/>
    <hyperlink r:id="rId784" ref="H3310"/>
    <hyperlink r:id="rId785" ref="H3313"/>
    <hyperlink r:id="rId786" ref="H3314"/>
    <hyperlink r:id="rId787" ref="H3315"/>
    <hyperlink r:id="rId788" ref="H3318"/>
    <hyperlink r:id="rId789" ref="H3319"/>
    <hyperlink r:id="rId790" ref="H3322"/>
    <hyperlink r:id="rId791" ref="H3325"/>
    <hyperlink r:id="rId792" ref="H3328"/>
    <hyperlink r:id="rId793" ref="H3331"/>
    <hyperlink r:id="rId794" ref="H3334"/>
    <hyperlink r:id="rId795" ref="H3337"/>
    <hyperlink r:id="rId796" ref="H3377"/>
    <hyperlink r:id="rId797" ref="H3378"/>
    <hyperlink r:id="rId798" ref="H3380"/>
    <hyperlink r:id="rId799" ref="H3392"/>
    <hyperlink r:id="rId800" ref="H3395"/>
    <hyperlink r:id="rId801" ref="H3398"/>
    <hyperlink r:id="rId802" ref="H3401"/>
    <hyperlink r:id="rId803" ref="H3404"/>
    <hyperlink r:id="rId804" ref="H3407"/>
    <hyperlink r:id="rId805" ref="H3410"/>
    <hyperlink r:id="rId806" ref="H3413"/>
    <hyperlink r:id="rId807" ref="H3416"/>
    <hyperlink r:id="rId808" ref="H3440"/>
    <hyperlink r:id="rId809" ref="H3443"/>
    <hyperlink r:id="rId810" ref="H3449"/>
    <hyperlink r:id="rId811" ref="H3452"/>
    <hyperlink r:id="rId812" ref="H3455"/>
    <hyperlink r:id="rId813" ref="H3458"/>
    <hyperlink r:id="rId814" ref="H3461"/>
    <hyperlink r:id="rId815" ref="H3464"/>
    <hyperlink r:id="rId816" ref="H3467"/>
    <hyperlink r:id="rId817" ref="H3470"/>
    <hyperlink r:id="rId818" ref="H3473"/>
    <hyperlink r:id="rId819" ref="H3476"/>
    <hyperlink r:id="rId820" ref="H3479"/>
    <hyperlink r:id="rId821" ref="H3482"/>
    <hyperlink r:id="rId822" ref="H3485"/>
    <hyperlink r:id="rId823" ref="H3488"/>
    <hyperlink r:id="rId824" ref="H3491"/>
    <hyperlink r:id="rId825" ref="H3494"/>
    <hyperlink r:id="rId826" ref="H3578"/>
    <hyperlink r:id="rId827" ref="H3581"/>
    <hyperlink r:id="rId828" ref="H3584"/>
    <hyperlink r:id="rId829" ref="H3587"/>
    <hyperlink r:id="rId830" ref="H3590"/>
    <hyperlink r:id="rId831" ref="H3593"/>
    <hyperlink r:id="rId832" ref="H3615"/>
    <hyperlink r:id="rId833" ref="H3616"/>
  </hyperlinks>
  <drawing r:id="rId8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  <col customWidth="1" min="2" max="4" width="9.5"/>
    <col hidden="1" min="5" max="8" width="12.63"/>
  </cols>
  <sheetData>
    <row r="1">
      <c r="A1" s="52" t="s">
        <v>1148</v>
      </c>
      <c r="B1" s="52" t="s">
        <v>12</v>
      </c>
      <c r="C1" s="52" t="s">
        <v>1149</v>
      </c>
      <c r="D1" s="52" t="s">
        <v>1150</v>
      </c>
      <c r="E1" s="52" t="s">
        <v>1151</v>
      </c>
      <c r="F1" s="52" t="s">
        <v>12</v>
      </c>
      <c r="G1" s="52" t="s">
        <v>1152</v>
      </c>
      <c r="H1" s="52" t="s">
        <v>1153</v>
      </c>
    </row>
    <row r="2">
      <c r="A2" s="38" t="str">
        <f t="array" ref="A2:D1001">SORT($E2:H1001,2,FALSE,3,FALSE)</f>
        <v>Elli</v>
      </c>
      <c r="B2" s="38">
        <v>143.0</v>
      </c>
      <c r="C2" s="38">
        <v>82.0</v>
      </c>
      <c r="D2" s="38">
        <v>61.0</v>
      </c>
      <c r="E2" s="38" t="str">
        <f>IFERROR(__xludf.DUMMYFUNCTION("SORT(UNIQUE(HH_FCSP!G18:G3617))"),"123xilef")</f>
        <v>123xilef</v>
      </c>
      <c r="F2" s="38">
        <f t="shared" ref="F2:F1001" si="1">$H2+$G2</f>
        <v>8</v>
      </c>
      <c r="G2" s="38">
        <f>COUNTIFS(HH_FCSP!$G$18:$G$3617,$E2,HH_FCSP!$F$18:$F$3617,"catapult/crossbow")</f>
        <v>8</v>
      </c>
      <c r="H2" s="38">
        <f>COUNTIFS(HH_FCSP!$G$18:$G$3617,$E2,HH_FCSP!$F$18:$F$3617,"white")</f>
        <v>0</v>
      </c>
    </row>
    <row r="3">
      <c r="A3" s="38" t="s">
        <v>64</v>
      </c>
      <c r="B3" s="38">
        <v>133.0</v>
      </c>
      <c r="C3" s="38">
        <v>59.0</v>
      </c>
      <c r="D3" s="38">
        <v>74.0</v>
      </c>
      <c r="E3" s="38" t="str">
        <f>IFERROR(__xludf.DUMMYFUNCTION("""COMPUTED_VALUE"""),"12gove")</f>
        <v>12gove</v>
      </c>
      <c r="F3" s="38">
        <f t="shared" si="1"/>
        <v>5</v>
      </c>
      <c r="G3" s="38">
        <f>COUNTIFS(HH_FCSP!$G$18:$G$3617,$E3,HH_FCSP!$F$18:$F$3617,"catapult/crossbow")</f>
        <v>3</v>
      </c>
      <c r="H3" s="38">
        <f>COUNTIFS(HH_FCSP!$G$18:$G$3617,$E3,HH_FCSP!$F$18:$F$3617,"white")</f>
        <v>2</v>
      </c>
    </row>
    <row r="4">
      <c r="A4" s="38" t="s">
        <v>164</v>
      </c>
      <c r="B4" s="38">
        <v>133.0</v>
      </c>
      <c r="C4" s="38">
        <v>59.0</v>
      </c>
      <c r="D4" s="38">
        <v>74.0</v>
      </c>
      <c r="E4" s="38" t="str">
        <f>IFERROR(__xludf.DUMMYFUNCTION("""COMPUTED_VALUE"""),"3goonies")</f>
        <v>3goonies</v>
      </c>
      <c r="F4" s="38">
        <f t="shared" si="1"/>
        <v>2</v>
      </c>
      <c r="G4" s="38">
        <f>COUNTIFS(HH_FCSP!$G$18:$G$3617,$E4,HH_FCSP!$F$18:$F$3617,"catapult/crossbow")</f>
        <v>2</v>
      </c>
      <c r="H4" s="38">
        <f>COUNTIFS(HH_FCSP!$G$18:$G$3617,$E4,HH_FCSP!$F$18:$F$3617,"white")</f>
        <v>0</v>
      </c>
    </row>
    <row r="5">
      <c r="A5" s="38" t="s">
        <v>27</v>
      </c>
      <c r="B5" s="38">
        <v>103.0</v>
      </c>
      <c r="C5" s="38">
        <v>30.0</v>
      </c>
      <c r="D5" s="38">
        <v>73.0</v>
      </c>
      <c r="E5" s="38" t="str">
        <f>IFERROR(__xludf.DUMMYFUNCTION("""COMPUTED_VALUE"""),"3Tiger")</f>
        <v>3Tiger</v>
      </c>
      <c r="F5" s="38">
        <f t="shared" si="1"/>
        <v>42</v>
      </c>
      <c r="G5" s="38">
        <f>COUNTIFS(HH_FCSP!$G$18:$G$3617,$E5,HH_FCSP!$F$18:$F$3617,"catapult/crossbow")</f>
        <v>17</v>
      </c>
      <c r="H5" s="38">
        <f>COUNTIFS(HH_FCSP!$G$18:$G$3617,$E5,HH_FCSP!$F$18:$F$3617,"white")</f>
        <v>25</v>
      </c>
    </row>
    <row r="6">
      <c r="A6" s="38" t="s">
        <v>40</v>
      </c>
      <c r="B6" s="38">
        <v>88.0</v>
      </c>
      <c r="C6" s="38">
        <v>86.0</v>
      </c>
      <c r="D6" s="38">
        <v>2.0</v>
      </c>
      <c r="E6" s="38" t="str">
        <f>IFERROR(__xludf.DUMMYFUNCTION("""COMPUTED_VALUE"""),"5Star")</f>
        <v>5Star</v>
      </c>
      <c r="F6" s="38">
        <f t="shared" si="1"/>
        <v>1</v>
      </c>
      <c r="G6" s="38">
        <f>COUNTIFS(HH_FCSP!$G$18:$G$3617,$E6,HH_FCSP!$F$18:$F$3617,"catapult/crossbow")</f>
        <v>1</v>
      </c>
      <c r="H6" s="38">
        <f>COUNTIFS(HH_FCSP!$G$18:$G$3617,$E6,HH_FCSP!$F$18:$F$3617,"white")</f>
        <v>0</v>
      </c>
    </row>
    <row r="7">
      <c r="A7" s="38" t="s">
        <v>30</v>
      </c>
      <c r="B7" s="38">
        <v>62.0</v>
      </c>
      <c r="C7" s="38">
        <v>17.0</v>
      </c>
      <c r="D7" s="38">
        <v>45.0</v>
      </c>
      <c r="E7" s="38" t="str">
        <f>IFERROR(__xludf.DUMMYFUNCTION("""COMPUTED_VALUE"""),"90mile")</f>
        <v>90mile</v>
      </c>
      <c r="F7" s="38">
        <f t="shared" si="1"/>
        <v>25</v>
      </c>
      <c r="G7" s="38">
        <f>COUNTIFS(HH_FCSP!$G$18:$G$3617,$E7,HH_FCSP!$F$18:$F$3617,"catapult/crossbow")</f>
        <v>25</v>
      </c>
      <c r="H7" s="38">
        <f>COUNTIFS(HH_FCSP!$G$18:$G$3617,$E7,HH_FCSP!$F$18:$F$3617,"white")</f>
        <v>0</v>
      </c>
    </row>
    <row r="8">
      <c r="A8" s="38" t="s">
        <v>56</v>
      </c>
      <c r="B8" s="38">
        <v>55.0</v>
      </c>
      <c r="C8" s="38">
        <v>46.0</v>
      </c>
      <c r="D8" s="38">
        <v>9.0</v>
      </c>
      <c r="E8" s="38" t="str">
        <f>IFERROR(__xludf.DUMMYFUNCTION("""COMPUTED_VALUE"""),"92Supercoupe")</f>
        <v>92Supercoupe</v>
      </c>
      <c r="F8" s="38">
        <f t="shared" si="1"/>
        <v>1</v>
      </c>
      <c r="G8" s="38">
        <f>COUNTIFS(HH_FCSP!$G$18:$G$3617,$E8,HH_FCSP!$F$18:$F$3617,"catapult/crossbow")</f>
        <v>1</v>
      </c>
      <c r="H8" s="38">
        <f>COUNTIFS(HH_FCSP!$G$18:$G$3617,$E8,HH_FCSP!$F$18:$F$3617,"white")</f>
        <v>0</v>
      </c>
    </row>
    <row r="9">
      <c r="A9" s="38" t="s">
        <v>55</v>
      </c>
      <c r="B9" s="38">
        <v>51.0</v>
      </c>
      <c r="C9" s="38">
        <v>43.0</v>
      </c>
      <c r="D9" s="38">
        <v>8.0</v>
      </c>
      <c r="E9" s="38" t="str">
        <f>IFERROR(__xludf.DUMMYFUNCTION("""COMPUTED_VALUE"""),"AbelianGrape")</f>
        <v>AbelianGrape</v>
      </c>
      <c r="F9" s="38">
        <f t="shared" si="1"/>
        <v>2</v>
      </c>
      <c r="G9" s="38">
        <f>COUNTIFS(HH_FCSP!$G$18:$G$3617,$E9,HH_FCSP!$F$18:$F$3617,"catapult/crossbow")</f>
        <v>2</v>
      </c>
      <c r="H9" s="38">
        <f>COUNTIFS(HH_FCSP!$G$18:$G$3617,$E9,HH_FCSP!$F$18:$F$3617,"white")</f>
        <v>0</v>
      </c>
    </row>
    <row r="10">
      <c r="A10" s="38" t="s">
        <v>141</v>
      </c>
      <c r="B10" s="38">
        <v>51.0</v>
      </c>
      <c r="C10" s="38">
        <v>43.0</v>
      </c>
      <c r="D10" s="38">
        <v>8.0</v>
      </c>
      <c r="E10" s="38" t="str">
        <f>IFERROR(__xludf.DUMMYFUNCTION("""COMPUTED_VALUE"""),"ageta")</f>
        <v>ageta</v>
      </c>
      <c r="F10" s="38">
        <f t="shared" si="1"/>
        <v>5</v>
      </c>
      <c r="G10" s="38">
        <f>COUNTIFS(HH_FCSP!$G$18:$G$3617,$E10,HH_FCSP!$F$18:$F$3617,"catapult/crossbow")</f>
        <v>4</v>
      </c>
      <c r="H10" s="38">
        <f>COUNTIFS(HH_FCSP!$G$18:$G$3617,$E10,HH_FCSP!$F$18:$F$3617,"white")</f>
        <v>1</v>
      </c>
    </row>
    <row r="11">
      <c r="A11" s="38" t="s">
        <v>722</v>
      </c>
      <c r="B11" s="38">
        <v>48.0</v>
      </c>
      <c r="C11" s="38">
        <v>36.0</v>
      </c>
      <c r="D11" s="38">
        <v>12.0</v>
      </c>
      <c r="E11" s="38" t="str">
        <f>IFERROR(__xludf.DUMMYFUNCTION("""COMPUTED_VALUE"""),"Alzarius")</f>
        <v>Alzarius</v>
      </c>
      <c r="F11" s="38">
        <f t="shared" si="1"/>
        <v>1</v>
      </c>
      <c r="G11" s="38">
        <f>COUNTIFS(HH_FCSP!$G$18:$G$3617,$E11,HH_FCSP!$F$18:$F$3617,"catapult/crossbow")</f>
        <v>1</v>
      </c>
      <c r="H11" s="38">
        <f>COUNTIFS(HH_FCSP!$G$18:$G$3617,$E11,HH_FCSP!$F$18:$F$3617,"white")</f>
        <v>0</v>
      </c>
    </row>
    <row r="12">
      <c r="A12" s="38" t="s">
        <v>47</v>
      </c>
      <c r="B12" s="38">
        <v>44.0</v>
      </c>
      <c r="C12" s="38">
        <v>32.0</v>
      </c>
      <c r="D12" s="38">
        <v>12.0</v>
      </c>
      <c r="E12" s="38" t="str">
        <f>IFERROR(__xludf.DUMMYFUNCTION("""COMPUTED_VALUE"""),"amadoreugen")</f>
        <v>amadoreugen</v>
      </c>
      <c r="F12" s="38">
        <f t="shared" si="1"/>
        <v>6</v>
      </c>
      <c r="G12" s="38">
        <f>COUNTIFS(HH_FCSP!$G$18:$G$3617,$E12,HH_FCSP!$F$18:$F$3617,"catapult/crossbow")</f>
        <v>6</v>
      </c>
      <c r="H12" s="38">
        <f>COUNTIFS(HH_FCSP!$G$18:$G$3617,$E12,HH_FCSP!$F$18:$F$3617,"white")</f>
        <v>0</v>
      </c>
    </row>
    <row r="13">
      <c r="A13" s="38" t="s">
        <v>94</v>
      </c>
      <c r="B13" s="38">
        <v>42.0</v>
      </c>
      <c r="C13" s="38">
        <v>17.0</v>
      </c>
      <c r="D13" s="38">
        <v>25.0</v>
      </c>
      <c r="E13" s="38" t="str">
        <f>IFERROR(__xludf.DUMMYFUNCTION("""COMPUTED_VALUE"""),"amigoth2de")</f>
        <v>amigoth2de</v>
      </c>
      <c r="F13" s="38">
        <f t="shared" si="1"/>
        <v>1</v>
      </c>
      <c r="G13" s="38">
        <f>COUNTIFS(HH_FCSP!$G$18:$G$3617,$E13,HH_FCSP!$F$18:$F$3617,"catapult/crossbow")</f>
        <v>0</v>
      </c>
      <c r="H13" s="38">
        <f>COUNTIFS(HH_FCSP!$G$18:$G$3617,$E13,HH_FCSP!$F$18:$F$3617,"white")</f>
        <v>1</v>
      </c>
    </row>
    <row r="14">
      <c r="A14" s="38" t="s">
        <v>189</v>
      </c>
      <c r="B14" s="38">
        <v>40.0</v>
      </c>
      <c r="C14" s="38">
        <v>40.0</v>
      </c>
      <c r="D14" s="38">
        <v>0.0</v>
      </c>
      <c r="E14" s="38" t="str">
        <f>IFERROR(__xludf.DUMMYFUNCTION("""COMPUTED_VALUE"""),"Ankie249")</f>
        <v>Ankie249</v>
      </c>
      <c r="F14" s="38">
        <f t="shared" si="1"/>
        <v>4</v>
      </c>
      <c r="G14" s="38">
        <f>COUNTIFS(HH_FCSP!$G$18:$G$3617,$E14,HH_FCSP!$F$18:$F$3617,"catapult/crossbow")</f>
        <v>0</v>
      </c>
      <c r="H14" s="38">
        <f>COUNTIFS(HH_FCSP!$G$18:$G$3617,$E14,HH_FCSP!$F$18:$F$3617,"white")</f>
        <v>4</v>
      </c>
    </row>
    <row r="15">
      <c r="A15" s="38" t="s">
        <v>145</v>
      </c>
      <c r="B15" s="38">
        <v>40.0</v>
      </c>
      <c r="C15" s="38">
        <v>2.0</v>
      </c>
      <c r="D15" s="38">
        <v>38.0</v>
      </c>
      <c r="E15" s="38" t="str">
        <f>IFERROR(__xludf.DUMMYFUNCTION("""COMPUTED_VALUE"""),"annabanana")</f>
        <v>annabanana</v>
      </c>
      <c r="F15" s="38">
        <f t="shared" si="1"/>
        <v>1</v>
      </c>
      <c r="G15" s="38">
        <f>COUNTIFS(HH_FCSP!$G$18:$G$3617,$E15,HH_FCSP!$F$18:$F$3617,"catapult/crossbow")</f>
        <v>1</v>
      </c>
      <c r="H15" s="38">
        <f>COUNTIFS(HH_FCSP!$G$18:$G$3617,$E15,HH_FCSP!$F$18:$F$3617,"white")</f>
        <v>0</v>
      </c>
    </row>
    <row r="16">
      <c r="A16" s="38" t="s">
        <v>214</v>
      </c>
      <c r="B16" s="38">
        <v>25.0</v>
      </c>
      <c r="C16" s="38">
        <v>25.0</v>
      </c>
      <c r="D16" s="38">
        <v>0.0</v>
      </c>
      <c r="E16" s="38" t="str">
        <f>IFERROR(__xludf.DUMMYFUNCTION("""COMPUTED_VALUE"""),"Ansofin")</f>
        <v>Ansofin</v>
      </c>
      <c r="F16" s="38">
        <f t="shared" si="1"/>
        <v>11</v>
      </c>
      <c r="G16" s="38">
        <f>COUNTIFS(HH_FCSP!$G$18:$G$3617,$E16,HH_FCSP!$F$18:$F$3617,"catapult/crossbow")</f>
        <v>6</v>
      </c>
      <c r="H16" s="38">
        <f>COUNTIFS(HH_FCSP!$G$18:$G$3617,$E16,HH_FCSP!$F$18:$F$3617,"white")</f>
        <v>5</v>
      </c>
    </row>
    <row r="17">
      <c r="A17" s="38" t="s">
        <v>614</v>
      </c>
      <c r="B17" s="38">
        <v>20.0</v>
      </c>
      <c r="C17" s="38">
        <v>20.0</v>
      </c>
      <c r="D17" s="38">
        <v>0.0</v>
      </c>
      <c r="E17" s="38" t="str">
        <f>IFERROR(__xludf.DUMMYFUNCTION("""COMPUTED_VALUE"""),"ArchieRuby")</f>
        <v>ArchieRuby</v>
      </c>
      <c r="F17" s="38">
        <f t="shared" si="1"/>
        <v>1</v>
      </c>
      <c r="G17" s="38">
        <f>COUNTIFS(HH_FCSP!$G$18:$G$3617,$E17,HH_FCSP!$F$18:$F$3617,"catapult/crossbow")</f>
        <v>1</v>
      </c>
      <c r="H17" s="38">
        <f>COUNTIFS(HH_FCSP!$G$18:$G$3617,$E17,HH_FCSP!$F$18:$F$3617,"white")</f>
        <v>0</v>
      </c>
    </row>
    <row r="18">
      <c r="A18" s="38" t="s">
        <v>57</v>
      </c>
      <c r="B18" s="38">
        <v>20.0</v>
      </c>
      <c r="C18" s="38">
        <v>4.0</v>
      </c>
      <c r="D18" s="38">
        <v>16.0</v>
      </c>
      <c r="E18" s="38" t="str">
        <f>IFERROR(__xludf.DUMMYFUNCTION("""COMPUTED_VALUE"""),"Arendsoog")</f>
        <v>Arendsoog</v>
      </c>
      <c r="F18" s="38">
        <f t="shared" si="1"/>
        <v>2</v>
      </c>
      <c r="G18" s="38">
        <f>COUNTIFS(HH_FCSP!$G$18:$G$3617,$E18,HH_FCSP!$F$18:$F$3617,"catapult/crossbow")</f>
        <v>2</v>
      </c>
      <c r="H18" s="38">
        <f>COUNTIFS(HH_FCSP!$G$18:$G$3617,$E18,HH_FCSP!$F$18:$F$3617,"white")</f>
        <v>0</v>
      </c>
    </row>
    <row r="19">
      <c r="A19" s="38" t="s">
        <v>364</v>
      </c>
      <c r="B19" s="38">
        <v>17.0</v>
      </c>
      <c r="C19" s="38">
        <v>17.0</v>
      </c>
      <c r="D19" s="38">
        <v>0.0</v>
      </c>
      <c r="E19" s="38" t="str">
        <f>IFERROR(__xludf.DUMMYFUNCTION("""COMPUTED_VALUE"""),"ARENDT")</f>
        <v>ARENDT</v>
      </c>
      <c r="F19" s="38">
        <f t="shared" si="1"/>
        <v>8</v>
      </c>
      <c r="G19" s="38">
        <f>COUNTIFS(HH_FCSP!$G$18:$G$3617,$E19,HH_FCSP!$F$18:$F$3617,"catapult/crossbow")</f>
        <v>7</v>
      </c>
      <c r="H19" s="38">
        <f>COUNTIFS(HH_FCSP!$G$18:$G$3617,$E19,HH_FCSP!$F$18:$F$3617,"white")</f>
        <v>1</v>
      </c>
    </row>
    <row r="20">
      <c r="A20" s="38" t="s">
        <v>362</v>
      </c>
      <c r="B20" s="38">
        <v>13.0</v>
      </c>
      <c r="C20" s="38">
        <v>13.0</v>
      </c>
      <c r="D20" s="38">
        <v>0.0</v>
      </c>
      <c r="E20" s="38" t="str">
        <f>IFERROR(__xludf.DUMMYFUNCTION("""COMPUTED_VALUE"""),"ASHtheGeoGenius")</f>
        <v>ASHtheGeoGenius</v>
      </c>
      <c r="F20" s="38">
        <f t="shared" si="1"/>
        <v>1</v>
      </c>
      <c r="G20" s="38">
        <f>COUNTIFS(HH_FCSP!$G$18:$G$3617,$E20,HH_FCSP!$F$18:$F$3617,"catapult/crossbow")</f>
        <v>1</v>
      </c>
      <c r="H20" s="38">
        <f>COUNTIFS(HH_FCSP!$G$18:$G$3617,$E20,HH_FCSP!$F$18:$F$3617,"white")</f>
        <v>0</v>
      </c>
    </row>
    <row r="21">
      <c r="A21" s="38" t="s">
        <v>118</v>
      </c>
      <c r="B21" s="38">
        <v>13.0</v>
      </c>
      <c r="C21" s="38">
        <v>11.0</v>
      </c>
      <c r="D21" s="38">
        <v>2.0</v>
      </c>
      <c r="E21" s="38" t="str">
        <f>IFERROR(__xludf.DUMMYFUNCTION("""COMPUTED_VALUE"""),"atrots")</f>
        <v>atrots</v>
      </c>
      <c r="F21" s="38">
        <f t="shared" si="1"/>
        <v>1</v>
      </c>
      <c r="G21" s="38">
        <f>COUNTIFS(HH_FCSP!$G$18:$G$3617,$E21,HH_FCSP!$F$18:$F$3617,"catapult/crossbow")</f>
        <v>0</v>
      </c>
      <c r="H21" s="38">
        <f>COUNTIFS(HH_FCSP!$G$18:$G$3617,$E21,HH_FCSP!$F$18:$F$3617,"white")</f>
        <v>1</v>
      </c>
    </row>
    <row r="22">
      <c r="A22" s="38" t="s">
        <v>728</v>
      </c>
      <c r="B22" s="38">
        <v>12.0</v>
      </c>
      <c r="C22" s="38">
        <v>12.0</v>
      </c>
      <c r="D22" s="38">
        <v>0.0</v>
      </c>
      <c r="E22" s="38" t="str">
        <f>IFERROR(__xludf.DUMMYFUNCTION("""COMPUTED_VALUE"""),"Attis")</f>
        <v>Attis</v>
      </c>
      <c r="F22" s="38">
        <f t="shared" si="1"/>
        <v>1</v>
      </c>
      <c r="G22" s="38">
        <f>COUNTIFS(HH_FCSP!$G$18:$G$3617,$E22,HH_FCSP!$F$18:$F$3617,"catapult/crossbow")</f>
        <v>1</v>
      </c>
      <c r="H22" s="38">
        <f>COUNTIFS(HH_FCSP!$G$18:$G$3617,$E22,HH_FCSP!$F$18:$F$3617,"white")</f>
        <v>0</v>
      </c>
    </row>
    <row r="23">
      <c r="A23" s="38" t="s">
        <v>724</v>
      </c>
      <c r="B23" s="38">
        <v>12.0</v>
      </c>
      <c r="C23" s="38">
        <v>12.0</v>
      </c>
      <c r="D23" s="38">
        <v>0.0</v>
      </c>
      <c r="E23" s="38" t="str">
        <f>IFERROR(__xludf.DUMMYFUNCTION("""COMPUTED_VALUE"""),"Bambi5")</f>
        <v>Bambi5</v>
      </c>
      <c r="F23" s="38">
        <f t="shared" si="1"/>
        <v>1</v>
      </c>
      <c r="G23" s="38">
        <f>COUNTIFS(HH_FCSP!$G$18:$G$3617,$E23,HH_FCSP!$F$18:$F$3617,"catapult/crossbow")</f>
        <v>1</v>
      </c>
      <c r="H23" s="38">
        <f>COUNTIFS(HH_FCSP!$G$18:$G$3617,$E23,HH_FCSP!$F$18:$F$3617,"white")</f>
        <v>0</v>
      </c>
    </row>
    <row r="24">
      <c r="A24" s="38" t="s">
        <v>177</v>
      </c>
      <c r="B24" s="38">
        <v>12.0</v>
      </c>
      <c r="C24" s="38">
        <v>12.0</v>
      </c>
      <c r="D24" s="38">
        <v>0.0</v>
      </c>
      <c r="E24" s="38" t="str">
        <f>IFERROR(__xludf.DUMMYFUNCTION("""COMPUTED_VALUE"""),"barbie657")</f>
        <v>barbie657</v>
      </c>
      <c r="F24" s="38">
        <f t="shared" si="1"/>
        <v>12</v>
      </c>
      <c r="G24" s="38">
        <f>COUNTIFS(HH_FCSP!$G$18:$G$3617,$E24,HH_FCSP!$F$18:$F$3617,"catapult/crossbow")</f>
        <v>7</v>
      </c>
      <c r="H24" s="38">
        <f>COUNTIFS(HH_FCSP!$G$18:$G$3617,$E24,HH_FCSP!$F$18:$F$3617,"white")</f>
        <v>5</v>
      </c>
    </row>
    <row r="25">
      <c r="A25" s="38" t="s">
        <v>545</v>
      </c>
      <c r="B25" s="38">
        <v>12.0</v>
      </c>
      <c r="C25" s="38">
        <v>7.0</v>
      </c>
      <c r="D25" s="38">
        <v>5.0</v>
      </c>
      <c r="E25" s="38" t="str">
        <f>IFERROR(__xludf.DUMMYFUNCTION("""COMPUTED_VALUE"""),"barefootguru")</f>
        <v>barefootguru</v>
      </c>
      <c r="F25" s="38">
        <f t="shared" si="1"/>
        <v>1</v>
      </c>
      <c r="G25" s="38">
        <f>COUNTIFS(HH_FCSP!$G$18:$G$3617,$E25,HH_FCSP!$F$18:$F$3617,"catapult/crossbow")</f>
        <v>0</v>
      </c>
      <c r="H25" s="38">
        <f>COUNTIFS(HH_FCSP!$G$18:$G$3617,$E25,HH_FCSP!$F$18:$F$3617,"white")</f>
        <v>1</v>
      </c>
    </row>
    <row r="26">
      <c r="A26" s="38" t="s">
        <v>37</v>
      </c>
      <c r="B26" s="38">
        <v>11.0</v>
      </c>
      <c r="C26" s="38">
        <v>6.0</v>
      </c>
      <c r="D26" s="38">
        <v>5.0</v>
      </c>
      <c r="E26" s="38" t="str">
        <f>IFERROR(__xludf.DUMMYFUNCTION("""COMPUTED_VALUE"""),"BennyKjeldEgon")</f>
        <v>BennyKjeldEgon</v>
      </c>
      <c r="F26" s="38">
        <f t="shared" si="1"/>
        <v>4</v>
      </c>
      <c r="G26" s="38">
        <f>COUNTIFS(HH_FCSP!$G$18:$G$3617,$E26,HH_FCSP!$F$18:$F$3617,"catapult/crossbow")</f>
        <v>4</v>
      </c>
      <c r="H26" s="38">
        <f>COUNTIFS(HH_FCSP!$G$18:$G$3617,$E26,HH_FCSP!$F$18:$F$3617,"white")</f>
        <v>0</v>
      </c>
    </row>
    <row r="27">
      <c r="A27" s="38" t="s">
        <v>261</v>
      </c>
      <c r="B27" s="38">
        <v>10.0</v>
      </c>
      <c r="C27" s="38">
        <v>10.0</v>
      </c>
      <c r="D27" s="38">
        <v>0.0</v>
      </c>
      <c r="E27" s="38" t="str">
        <f>IFERROR(__xludf.DUMMYFUNCTION("""COMPUTED_VALUE"""),"Berg14")</f>
        <v>Berg14</v>
      </c>
      <c r="F27" s="38">
        <f t="shared" si="1"/>
        <v>8</v>
      </c>
      <c r="G27" s="38">
        <f>COUNTIFS(HH_FCSP!$G$18:$G$3617,$E27,HH_FCSP!$F$18:$F$3617,"catapult/crossbow")</f>
        <v>8</v>
      </c>
      <c r="H27" s="38">
        <f>COUNTIFS(HH_FCSP!$G$18:$G$3617,$E27,HH_FCSP!$F$18:$F$3617,"white")</f>
        <v>0</v>
      </c>
    </row>
    <row r="28">
      <c r="A28" s="38" t="s">
        <v>341</v>
      </c>
      <c r="B28" s="38">
        <v>10.0</v>
      </c>
      <c r="C28" s="38">
        <v>10.0</v>
      </c>
      <c r="D28" s="38">
        <v>0.0</v>
      </c>
      <c r="E28" s="38" t="str">
        <f>IFERROR(__xludf.DUMMYFUNCTION("""COMPUTED_VALUE"""),"BestNighty")</f>
        <v>BestNighty</v>
      </c>
      <c r="F28" s="38">
        <f t="shared" si="1"/>
        <v>40</v>
      </c>
      <c r="G28" s="38">
        <f>COUNTIFS(HH_FCSP!$G$18:$G$3617,$E28,HH_FCSP!$F$18:$F$3617,"catapult/crossbow")</f>
        <v>2</v>
      </c>
      <c r="H28" s="38">
        <f>COUNTIFS(HH_FCSP!$G$18:$G$3617,$E28,HH_FCSP!$F$18:$F$3617,"white")</f>
        <v>38</v>
      </c>
    </row>
    <row r="29">
      <c r="A29" s="38" t="s">
        <v>316</v>
      </c>
      <c r="B29" s="38">
        <v>10.0</v>
      </c>
      <c r="C29" s="38">
        <v>10.0</v>
      </c>
      <c r="D29" s="38">
        <v>0.0</v>
      </c>
      <c r="E29" s="38" t="str">
        <f>IFERROR(__xludf.DUMMYFUNCTION("""COMPUTED_VALUE"""),"biggoalie31")</f>
        <v>biggoalie31</v>
      </c>
      <c r="F29" s="38">
        <f t="shared" si="1"/>
        <v>2</v>
      </c>
      <c r="G29" s="38">
        <f>COUNTIFS(HH_FCSP!$G$18:$G$3617,$E29,HH_FCSP!$F$18:$F$3617,"catapult/crossbow")</f>
        <v>2</v>
      </c>
      <c r="H29" s="38">
        <f>COUNTIFS(HH_FCSP!$G$18:$G$3617,$E29,HH_FCSP!$F$18:$F$3617,"white")</f>
        <v>0</v>
      </c>
    </row>
    <row r="30">
      <c r="A30" s="38" t="s">
        <v>1106</v>
      </c>
      <c r="B30" s="38">
        <v>10.0</v>
      </c>
      <c r="C30" s="38">
        <v>10.0</v>
      </c>
      <c r="D30" s="38">
        <v>0.0</v>
      </c>
      <c r="E30" s="38" t="str">
        <f>IFERROR(__xludf.DUMMYFUNCTION("""COMPUTED_VALUE"""),"Bisquick2")</f>
        <v>Bisquick2</v>
      </c>
      <c r="F30" s="38">
        <f t="shared" si="1"/>
        <v>4</v>
      </c>
      <c r="G30" s="38">
        <f>COUNTIFS(HH_FCSP!$G$18:$G$3617,$E30,HH_FCSP!$F$18:$F$3617,"catapult/crossbow")</f>
        <v>4</v>
      </c>
      <c r="H30" s="38">
        <f>COUNTIFS(HH_FCSP!$G$18:$G$3617,$E30,HH_FCSP!$F$18:$F$3617,"white")</f>
        <v>0</v>
      </c>
    </row>
    <row r="31">
      <c r="A31" s="38" t="s">
        <v>188</v>
      </c>
      <c r="B31" s="38">
        <v>10.0</v>
      </c>
      <c r="C31" s="38">
        <v>10.0</v>
      </c>
      <c r="D31" s="38">
        <v>0.0</v>
      </c>
      <c r="E31" s="38" t="str">
        <f>IFERROR(__xludf.DUMMYFUNCTION("""COMPUTED_VALUE"""),"BituX")</f>
        <v>BituX</v>
      </c>
      <c r="F31" s="38">
        <f t="shared" si="1"/>
        <v>2</v>
      </c>
      <c r="G31" s="38">
        <f>COUNTIFS(HH_FCSP!$G$18:$G$3617,$E31,HH_FCSP!$F$18:$F$3617,"catapult/crossbow")</f>
        <v>2</v>
      </c>
      <c r="H31" s="38">
        <f>COUNTIFS(HH_FCSP!$G$18:$G$3617,$E31,HH_FCSP!$F$18:$F$3617,"white")</f>
        <v>0</v>
      </c>
    </row>
    <row r="32">
      <c r="A32" s="38" t="s">
        <v>172</v>
      </c>
      <c r="B32" s="38">
        <v>10.0</v>
      </c>
      <c r="C32" s="38">
        <v>10.0</v>
      </c>
      <c r="D32" s="38">
        <v>0.0</v>
      </c>
      <c r="E32" s="38" t="str">
        <f>IFERROR(__xludf.DUMMYFUNCTION("""COMPUTED_VALUE"""),"Bitux")</f>
        <v>Bitux</v>
      </c>
      <c r="F32" s="38">
        <f t="shared" si="1"/>
        <v>2</v>
      </c>
      <c r="G32" s="38">
        <f>COUNTIFS(HH_FCSP!$G$18:$G$3617,$E32,HH_FCSP!$F$18:$F$3617,"catapult/crossbow")</f>
        <v>2</v>
      </c>
      <c r="H32" s="38">
        <f>COUNTIFS(HH_FCSP!$G$18:$G$3617,$E32,HH_FCSP!$F$18:$F$3617,"white")</f>
        <v>0</v>
      </c>
    </row>
    <row r="33">
      <c r="A33" s="38" t="s">
        <v>260</v>
      </c>
      <c r="B33" s="38">
        <v>10.0</v>
      </c>
      <c r="C33" s="38">
        <v>10.0</v>
      </c>
      <c r="D33" s="38">
        <v>0.0</v>
      </c>
      <c r="E33" s="38" t="str">
        <f>IFERROR(__xludf.DUMMYFUNCTION("""COMPUTED_VALUE"""),"Bluelady77")</f>
        <v>Bluelady77</v>
      </c>
      <c r="F33" s="38">
        <f t="shared" si="1"/>
        <v>12</v>
      </c>
      <c r="G33" s="38">
        <f>COUNTIFS(HH_FCSP!$G$18:$G$3617,$E33,HH_FCSP!$F$18:$F$3617,"catapult/crossbow")</f>
        <v>12</v>
      </c>
      <c r="H33" s="38">
        <f>COUNTIFS(HH_FCSP!$G$18:$G$3617,$E33,HH_FCSP!$F$18:$F$3617,"white")</f>
        <v>0</v>
      </c>
    </row>
    <row r="34">
      <c r="A34" s="38" t="s">
        <v>359</v>
      </c>
      <c r="B34" s="38">
        <v>10.0</v>
      </c>
      <c r="C34" s="38">
        <v>10.0</v>
      </c>
      <c r="D34" s="38">
        <v>0.0</v>
      </c>
      <c r="E34" s="38" t="str">
        <f>IFERROR(__xludf.DUMMYFUNCTION("""COMPUTED_VALUE"""),"boerse82")</f>
        <v>boerse82</v>
      </c>
      <c r="F34" s="38">
        <f t="shared" si="1"/>
        <v>51</v>
      </c>
      <c r="G34" s="38">
        <f>COUNTIFS(HH_FCSP!$G$18:$G$3617,$E34,HH_FCSP!$F$18:$F$3617,"catapult/crossbow")</f>
        <v>43</v>
      </c>
      <c r="H34" s="38">
        <f>COUNTIFS(HH_FCSP!$G$18:$G$3617,$E34,HH_FCSP!$F$18:$F$3617,"white")</f>
        <v>8</v>
      </c>
    </row>
    <row r="35">
      <c r="A35" s="38" t="s">
        <v>315</v>
      </c>
      <c r="B35" s="38">
        <v>10.0</v>
      </c>
      <c r="C35" s="38">
        <v>9.0</v>
      </c>
      <c r="D35" s="38">
        <v>1.0</v>
      </c>
      <c r="E35" s="38" t="str">
        <f>IFERROR(__xludf.DUMMYFUNCTION("""COMPUTED_VALUE"""),"Boerse82")</f>
        <v>Boerse82</v>
      </c>
      <c r="F35" s="38">
        <f t="shared" si="1"/>
        <v>51</v>
      </c>
      <c r="G35" s="38">
        <f>COUNTIFS(HH_FCSP!$G$18:$G$3617,$E35,HH_FCSP!$F$18:$F$3617,"catapult/crossbow")</f>
        <v>43</v>
      </c>
      <c r="H35" s="38">
        <f>COUNTIFS(HH_FCSP!$G$18:$G$3617,$E35,HH_FCSP!$F$18:$F$3617,"white")</f>
        <v>8</v>
      </c>
    </row>
    <row r="36">
      <c r="A36" s="38" t="s">
        <v>143</v>
      </c>
      <c r="B36" s="38">
        <v>10.0</v>
      </c>
      <c r="C36" s="38">
        <v>5.0</v>
      </c>
      <c r="D36" s="38">
        <v>5.0</v>
      </c>
      <c r="E36" s="38" t="str">
        <f>IFERROR(__xludf.DUMMYFUNCTION("""COMPUTED_VALUE"""),"Boesj01")</f>
        <v>Boesj01</v>
      </c>
      <c r="F36" s="38">
        <f t="shared" si="1"/>
        <v>4</v>
      </c>
      <c r="G36" s="38">
        <f>COUNTIFS(HH_FCSP!$G$18:$G$3617,$E36,HH_FCSP!$F$18:$F$3617,"catapult/crossbow")</f>
        <v>4</v>
      </c>
      <c r="H36" s="38">
        <f>COUNTIFS(HH_FCSP!$G$18:$G$3617,$E36,HH_FCSP!$F$18:$F$3617,"white")</f>
        <v>0</v>
      </c>
    </row>
    <row r="37">
      <c r="A37" s="38" t="s">
        <v>338</v>
      </c>
      <c r="B37" s="38">
        <v>9.0</v>
      </c>
      <c r="C37" s="38">
        <v>9.0</v>
      </c>
      <c r="D37" s="38">
        <v>0.0</v>
      </c>
      <c r="E37" s="38" t="str">
        <f>IFERROR(__xludf.DUMMYFUNCTION("""COMPUTED_VALUE"""),"BoMS")</f>
        <v>BoMS</v>
      </c>
      <c r="F37" s="38">
        <f t="shared" si="1"/>
        <v>10</v>
      </c>
      <c r="G37" s="38">
        <f>COUNTIFS(HH_FCSP!$G$18:$G$3617,$E37,HH_FCSP!$F$18:$F$3617,"catapult/crossbow")</f>
        <v>10</v>
      </c>
      <c r="H37" s="38">
        <f>COUNTIFS(HH_FCSP!$G$18:$G$3617,$E37,HH_FCSP!$F$18:$F$3617,"white")</f>
        <v>0</v>
      </c>
    </row>
    <row r="38">
      <c r="A38" s="38" t="s">
        <v>220</v>
      </c>
      <c r="B38" s="38">
        <v>9.0</v>
      </c>
      <c r="C38" s="38">
        <v>9.0</v>
      </c>
      <c r="D38" s="38">
        <v>0.0</v>
      </c>
      <c r="E38" s="38" t="str">
        <f>IFERROR(__xludf.DUMMYFUNCTION("""COMPUTED_VALUE"""),"BonnieB1")</f>
        <v>BonnieB1</v>
      </c>
      <c r="F38" s="38">
        <f t="shared" si="1"/>
        <v>1</v>
      </c>
      <c r="G38" s="38">
        <f>COUNTIFS(HH_FCSP!$G$18:$G$3617,$E38,HH_FCSP!$F$18:$F$3617,"catapult/crossbow")</f>
        <v>1</v>
      </c>
      <c r="H38" s="38">
        <f>COUNTIFS(HH_FCSP!$G$18:$G$3617,$E38,HH_FCSP!$F$18:$F$3617,"white")</f>
        <v>0</v>
      </c>
    </row>
    <row r="39">
      <c r="A39" s="38" t="s">
        <v>28</v>
      </c>
      <c r="B39" s="38">
        <v>9.0</v>
      </c>
      <c r="C39" s="38">
        <v>8.0</v>
      </c>
      <c r="D39" s="38">
        <v>1.0</v>
      </c>
      <c r="E39" s="38" t="str">
        <f>IFERROR(__xludf.DUMMYFUNCTION("""COMPUTED_VALUE"""),"Boston2005")</f>
        <v>Boston2005</v>
      </c>
      <c r="F39" s="38">
        <f t="shared" si="1"/>
        <v>48</v>
      </c>
      <c r="G39" s="38">
        <f>COUNTIFS(HH_FCSP!$G$18:$G$3617,$E39,HH_FCSP!$F$18:$F$3617,"catapult/crossbow")</f>
        <v>36</v>
      </c>
      <c r="H39" s="38">
        <f>COUNTIFS(HH_FCSP!$G$18:$G$3617,$E39,HH_FCSP!$F$18:$F$3617,"white")</f>
        <v>12</v>
      </c>
    </row>
    <row r="40">
      <c r="A40" s="38" t="s">
        <v>106</v>
      </c>
      <c r="B40" s="38">
        <v>9.0</v>
      </c>
      <c r="C40" s="38">
        <v>7.0</v>
      </c>
      <c r="D40" s="38">
        <v>2.0</v>
      </c>
      <c r="E40" s="38" t="str">
        <f>IFERROR(__xludf.DUMMYFUNCTION("""COMPUTED_VALUE"""),"bslaugh")</f>
        <v>bslaugh</v>
      </c>
      <c r="F40" s="38">
        <f t="shared" si="1"/>
        <v>8</v>
      </c>
      <c r="G40" s="38">
        <f>COUNTIFS(HH_FCSP!$G$18:$G$3617,$E40,HH_FCSP!$F$18:$F$3617,"catapult/crossbow")</f>
        <v>2</v>
      </c>
      <c r="H40" s="38">
        <f>COUNTIFS(HH_FCSP!$G$18:$G$3617,$E40,HH_FCSP!$F$18:$F$3617,"white")</f>
        <v>6</v>
      </c>
    </row>
    <row r="41">
      <c r="A41" s="38" t="s">
        <v>92</v>
      </c>
      <c r="B41" s="38">
        <v>9.0</v>
      </c>
      <c r="C41" s="38">
        <v>6.0</v>
      </c>
      <c r="D41" s="38">
        <v>3.0</v>
      </c>
      <c r="E41" s="38" t="str">
        <f>IFERROR(__xludf.DUMMYFUNCTION("""COMPUTED_VALUE"""),"Bugama")</f>
        <v>Bugama</v>
      </c>
      <c r="F41" s="38">
        <f t="shared" si="1"/>
        <v>2</v>
      </c>
      <c r="G41" s="38">
        <f>COUNTIFS(HH_FCSP!$G$18:$G$3617,$E41,HH_FCSP!$F$18:$F$3617,"catapult/crossbow")</f>
        <v>0</v>
      </c>
      <c r="H41" s="38">
        <f>COUNTIFS(HH_FCSP!$G$18:$G$3617,$E41,HH_FCSP!$F$18:$F$3617,"white")</f>
        <v>2</v>
      </c>
    </row>
    <row r="42">
      <c r="A42" s="38" t="s">
        <v>149</v>
      </c>
      <c r="B42" s="38">
        <v>9.0</v>
      </c>
      <c r="C42" s="38">
        <v>0.0</v>
      </c>
      <c r="D42" s="38">
        <v>9.0</v>
      </c>
      <c r="E42" s="38" t="str">
        <f>IFERROR(__xludf.DUMMYFUNCTION("""COMPUTED_VALUE"""),"Bungi")</f>
        <v>Bungi</v>
      </c>
      <c r="F42" s="38">
        <f t="shared" si="1"/>
        <v>2</v>
      </c>
      <c r="G42" s="38">
        <f>COUNTIFS(HH_FCSP!$G$18:$G$3617,$E42,HH_FCSP!$F$18:$F$3617,"catapult/crossbow")</f>
        <v>2</v>
      </c>
      <c r="H42" s="38">
        <f>COUNTIFS(HH_FCSP!$G$18:$G$3617,$E42,HH_FCSP!$F$18:$F$3617,"white")</f>
        <v>0</v>
      </c>
    </row>
    <row r="43">
      <c r="A43" s="38" t="s">
        <v>179</v>
      </c>
      <c r="B43" s="38">
        <v>8.0</v>
      </c>
      <c r="C43" s="38">
        <v>8.0</v>
      </c>
      <c r="D43" s="38">
        <v>0.0</v>
      </c>
      <c r="E43" s="38" t="str">
        <f>IFERROR(__xludf.DUMMYFUNCTION("""COMPUTED_VALUE"""),"Bungle")</f>
        <v>Bungle</v>
      </c>
      <c r="F43" s="38">
        <f t="shared" si="1"/>
        <v>3</v>
      </c>
      <c r="G43" s="38">
        <f>COUNTIFS(HH_FCSP!$G$18:$G$3617,$E43,HH_FCSP!$F$18:$F$3617,"catapult/crossbow")</f>
        <v>3</v>
      </c>
      <c r="H43" s="38">
        <f>COUNTIFS(HH_FCSP!$G$18:$G$3617,$E43,HH_FCSP!$F$18:$F$3617,"white")</f>
        <v>0</v>
      </c>
    </row>
    <row r="44">
      <c r="A44" s="38" t="s">
        <v>221</v>
      </c>
      <c r="B44" s="38">
        <v>8.0</v>
      </c>
      <c r="C44" s="38">
        <v>8.0</v>
      </c>
      <c r="D44" s="38">
        <v>0.0</v>
      </c>
      <c r="E44" s="38" t="str">
        <f>IFERROR(__xludf.DUMMYFUNCTION("""COMPUTED_VALUE"""),"c-bn")</f>
        <v>c-bn</v>
      </c>
      <c r="F44" s="38">
        <f t="shared" si="1"/>
        <v>10</v>
      </c>
      <c r="G44" s="38">
        <f>COUNTIFS(HH_FCSP!$G$18:$G$3617,$E44,HH_FCSP!$F$18:$F$3617,"catapult/crossbow")</f>
        <v>10</v>
      </c>
      <c r="H44" s="38">
        <f>COUNTIFS(HH_FCSP!$G$18:$G$3617,$E44,HH_FCSP!$F$18:$F$3617,"white")</f>
        <v>0</v>
      </c>
    </row>
    <row r="45">
      <c r="A45" s="38" t="s">
        <v>219</v>
      </c>
      <c r="B45" s="38">
        <v>8.0</v>
      </c>
      <c r="C45" s="38">
        <v>8.0</v>
      </c>
      <c r="D45" s="38">
        <v>0.0</v>
      </c>
      <c r="E45" s="38" t="str">
        <f>IFERROR(__xludf.DUMMYFUNCTION("""COMPUTED_VALUE"""),"Cadonkey")</f>
        <v>Cadonkey</v>
      </c>
      <c r="F45" s="38">
        <f t="shared" si="1"/>
        <v>1</v>
      </c>
      <c r="G45" s="38">
        <f>COUNTIFS(HH_FCSP!$G$18:$G$3617,$E45,HH_FCSP!$F$18:$F$3617,"catapult/crossbow")</f>
        <v>1</v>
      </c>
      <c r="H45" s="38">
        <f>COUNTIFS(HH_FCSP!$G$18:$G$3617,$E45,HH_FCSP!$F$18:$F$3617,"white")</f>
        <v>0</v>
      </c>
    </row>
    <row r="46">
      <c r="A46" s="38" t="s">
        <v>222</v>
      </c>
      <c r="B46" s="38">
        <v>8.0</v>
      </c>
      <c r="C46" s="38">
        <v>8.0</v>
      </c>
      <c r="D46" s="38">
        <v>0.0</v>
      </c>
      <c r="E46" s="38" t="str">
        <f>IFERROR(__xludf.DUMMYFUNCTION("""COMPUTED_VALUE"""),"Calvertcachers")</f>
        <v>Calvertcachers</v>
      </c>
      <c r="F46" s="38">
        <f t="shared" si="1"/>
        <v>1</v>
      </c>
      <c r="G46" s="38">
        <f>COUNTIFS(HH_FCSP!$G$18:$G$3617,$E46,HH_FCSP!$F$18:$F$3617,"catapult/crossbow")</f>
        <v>1</v>
      </c>
      <c r="H46" s="38">
        <f>COUNTIFS(HH_FCSP!$G$18:$G$3617,$E46,HH_FCSP!$F$18:$F$3617,"white")</f>
        <v>0</v>
      </c>
    </row>
    <row r="47">
      <c r="A47" s="38" t="s">
        <v>226</v>
      </c>
      <c r="B47" s="38">
        <v>8.0</v>
      </c>
      <c r="C47" s="38">
        <v>8.0</v>
      </c>
      <c r="D47" s="38">
        <v>0.0</v>
      </c>
      <c r="E47" s="38" t="str">
        <f>IFERROR(__xludf.DUMMYFUNCTION("""COMPUTED_VALUE"""),"Captainwilly")</f>
        <v>Captainwilly</v>
      </c>
      <c r="F47" s="38">
        <f t="shared" si="1"/>
        <v>3</v>
      </c>
      <c r="G47" s="38">
        <f>COUNTIFS(HH_FCSP!$G$18:$G$3617,$E47,HH_FCSP!$F$18:$F$3617,"catapult/crossbow")</f>
        <v>3</v>
      </c>
      <c r="H47" s="38">
        <f>COUNTIFS(HH_FCSP!$G$18:$G$3617,$E47,HH_FCSP!$F$18:$F$3617,"white")</f>
        <v>0</v>
      </c>
    </row>
    <row r="48">
      <c r="A48" s="38" t="s">
        <v>102</v>
      </c>
      <c r="B48" s="38">
        <v>8.0</v>
      </c>
      <c r="C48" s="38">
        <v>7.0</v>
      </c>
      <c r="D48" s="38">
        <v>1.0</v>
      </c>
      <c r="E48" s="38" t="str">
        <f>IFERROR(__xludf.DUMMYFUNCTION("""COMPUTED_VALUE"""),"Caribus")</f>
        <v>Caribus</v>
      </c>
      <c r="F48" s="38">
        <f t="shared" si="1"/>
        <v>1</v>
      </c>
      <c r="G48" s="38">
        <f>COUNTIFS(HH_FCSP!$G$18:$G$3617,$E48,HH_FCSP!$F$18:$F$3617,"catapult/crossbow")</f>
        <v>1</v>
      </c>
      <c r="H48" s="38">
        <f>COUNTIFS(HH_FCSP!$G$18:$G$3617,$E48,HH_FCSP!$F$18:$F$3617,"white")</f>
        <v>0</v>
      </c>
    </row>
    <row r="49">
      <c r="A49" s="38" t="s">
        <v>49</v>
      </c>
      <c r="B49" s="38">
        <v>8.0</v>
      </c>
      <c r="C49" s="38">
        <v>7.0</v>
      </c>
      <c r="D49" s="38">
        <v>1.0</v>
      </c>
      <c r="E49" s="38" t="str">
        <f>IFERROR(__xludf.DUMMYFUNCTION("""COMPUTED_VALUE"""),"CarlisleCachers")</f>
        <v>CarlisleCachers</v>
      </c>
      <c r="F49" s="38">
        <f t="shared" si="1"/>
        <v>1</v>
      </c>
      <c r="G49" s="38">
        <f>COUNTIFS(HH_FCSP!$G$18:$G$3617,$E49,HH_FCSP!$F$18:$F$3617,"catapult/crossbow")</f>
        <v>1</v>
      </c>
      <c r="H49" s="38">
        <f>COUNTIFS(HH_FCSP!$G$18:$G$3617,$E49,HH_FCSP!$F$18:$F$3617,"white")</f>
        <v>0</v>
      </c>
    </row>
    <row r="50">
      <c r="A50" s="38" t="s">
        <v>50</v>
      </c>
      <c r="B50" s="38">
        <v>8.0</v>
      </c>
      <c r="C50" s="38">
        <v>7.0</v>
      </c>
      <c r="D50" s="38">
        <v>1.0</v>
      </c>
      <c r="E50" s="38" t="str">
        <f>IFERROR(__xludf.DUMMYFUNCTION("""COMPUTED_VALUE"""),"Centern")</f>
        <v>Centern</v>
      </c>
      <c r="F50" s="38">
        <f t="shared" si="1"/>
        <v>1</v>
      </c>
      <c r="G50" s="38">
        <f>COUNTIFS(HH_FCSP!$G$18:$G$3617,$E50,HH_FCSP!$F$18:$F$3617,"catapult/crossbow")</f>
        <v>1</v>
      </c>
      <c r="H50" s="38">
        <f>COUNTIFS(HH_FCSP!$G$18:$G$3617,$E50,HH_FCSP!$F$18:$F$3617,"white")</f>
        <v>0</v>
      </c>
    </row>
    <row r="51">
      <c r="A51" s="38" t="s">
        <v>34</v>
      </c>
      <c r="B51" s="38">
        <v>8.0</v>
      </c>
      <c r="C51" s="38">
        <v>3.0</v>
      </c>
      <c r="D51" s="38">
        <v>5.0</v>
      </c>
      <c r="E51" s="38" t="str">
        <f>IFERROR(__xludf.DUMMYFUNCTION("""COMPUTED_VALUE"""),"Centern ")</f>
        <v>Centern </v>
      </c>
      <c r="F51" s="38">
        <f t="shared" si="1"/>
        <v>1</v>
      </c>
      <c r="G51" s="38">
        <f>COUNTIFS(HH_FCSP!$G$18:$G$3617,$E51,HH_FCSP!$F$18:$F$3617,"catapult/crossbow")</f>
        <v>1</v>
      </c>
      <c r="H51" s="38">
        <f>COUNTIFS(HH_FCSP!$G$18:$G$3617,$E51,HH_FCSP!$F$18:$F$3617,"white")</f>
        <v>0</v>
      </c>
    </row>
    <row r="52">
      <c r="A52" s="38" t="s">
        <v>35</v>
      </c>
      <c r="B52" s="38">
        <v>8.0</v>
      </c>
      <c r="C52" s="38">
        <v>2.0</v>
      </c>
      <c r="D52" s="38">
        <v>6.0</v>
      </c>
      <c r="E52" s="38" t="str">
        <f>IFERROR(__xludf.DUMMYFUNCTION("""COMPUTED_VALUE"""),"chickenrun")</f>
        <v>chickenrun</v>
      </c>
      <c r="F52" s="38">
        <f t="shared" si="1"/>
        <v>1</v>
      </c>
      <c r="G52" s="38">
        <f>COUNTIFS(HH_FCSP!$G$18:$G$3617,$E52,HH_FCSP!$F$18:$F$3617,"catapult/crossbow")</f>
        <v>0</v>
      </c>
      <c r="H52" s="38">
        <f>COUNTIFS(HH_FCSP!$G$18:$G$3617,$E52,HH_FCSP!$F$18:$F$3617,"white")</f>
        <v>1</v>
      </c>
    </row>
    <row r="53">
      <c r="A53" s="38" t="s">
        <v>776</v>
      </c>
      <c r="B53" s="38">
        <v>7.0</v>
      </c>
      <c r="C53" s="38">
        <v>7.0</v>
      </c>
      <c r="D53" s="38">
        <v>0.0</v>
      </c>
      <c r="E53" s="38" t="str">
        <f>IFERROR(__xludf.DUMMYFUNCTION("""COMPUTED_VALUE"""),"Chivasloyal")</f>
        <v>Chivasloyal</v>
      </c>
      <c r="F53" s="38">
        <f t="shared" si="1"/>
        <v>1</v>
      </c>
      <c r="G53" s="38">
        <f>COUNTIFS(HH_FCSP!$G$18:$G$3617,$E53,HH_FCSP!$F$18:$F$3617,"catapult/crossbow")</f>
        <v>1</v>
      </c>
      <c r="H53" s="38">
        <f>COUNTIFS(HH_FCSP!$G$18:$G$3617,$E53,HH_FCSP!$F$18:$F$3617,"white")</f>
        <v>0</v>
      </c>
    </row>
    <row r="54">
      <c r="A54" s="38" t="s">
        <v>418</v>
      </c>
      <c r="B54" s="38">
        <v>7.0</v>
      </c>
      <c r="C54" s="38">
        <v>7.0</v>
      </c>
      <c r="D54" s="38">
        <v>0.0</v>
      </c>
      <c r="E54" s="38" t="str">
        <f>IFERROR(__xludf.DUMMYFUNCTION("""COMPUTED_VALUE"""),"Cidinho")</f>
        <v>Cidinho</v>
      </c>
      <c r="F54" s="38">
        <f t="shared" si="1"/>
        <v>2</v>
      </c>
      <c r="G54" s="38">
        <f>COUNTIFS(HH_FCSP!$G$18:$G$3617,$E54,HH_FCSP!$F$18:$F$3617,"catapult/crossbow")</f>
        <v>2</v>
      </c>
      <c r="H54" s="38">
        <f>COUNTIFS(HH_FCSP!$G$18:$G$3617,$E54,HH_FCSP!$F$18:$F$3617,"white")</f>
        <v>0</v>
      </c>
    </row>
    <row r="55">
      <c r="A55" s="38" t="s">
        <v>771</v>
      </c>
      <c r="B55" s="38">
        <v>7.0</v>
      </c>
      <c r="C55" s="38">
        <v>7.0</v>
      </c>
      <c r="D55" s="38">
        <v>0.0</v>
      </c>
      <c r="E55" s="38" t="str">
        <f>IFERROR(__xludf.DUMMYFUNCTION("""COMPUTED_VALUE"""),"Cinnamons")</f>
        <v>Cinnamons</v>
      </c>
      <c r="F55" s="38">
        <f t="shared" si="1"/>
        <v>2</v>
      </c>
      <c r="G55" s="38">
        <f>COUNTIFS(HH_FCSP!$G$18:$G$3617,$E55,HH_FCSP!$F$18:$F$3617,"catapult/crossbow")</f>
        <v>0</v>
      </c>
      <c r="H55" s="38">
        <f>COUNTIFS(HH_FCSP!$G$18:$G$3617,$E55,HH_FCSP!$F$18:$F$3617,"white")</f>
        <v>2</v>
      </c>
    </row>
    <row r="56">
      <c r="A56" s="38" t="s">
        <v>194</v>
      </c>
      <c r="B56" s="38">
        <v>7.0</v>
      </c>
      <c r="C56" s="38">
        <v>6.0</v>
      </c>
      <c r="D56" s="38">
        <v>1.0</v>
      </c>
      <c r="E56" s="38" t="str">
        <f>IFERROR(__xludf.DUMMYFUNCTION("""COMPUTED_VALUE"""),"Coconut99")</f>
        <v>Coconut99</v>
      </c>
      <c r="F56" s="38">
        <f t="shared" si="1"/>
        <v>6</v>
      </c>
      <c r="G56" s="38">
        <f>COUNTIFS(HH_FCSP!$G$18:$G$3617,$E56,HH_FCSP!$F$18:$F$3617,"catapult/crossbow")</f>
        <v>0</v>
      </c>
      <c r="H56" s="38">
        <f>COUNTIFS(HH_FCSP!$G$18:$G$3617,$E56,HH_FCSP!$F$18:$F$3617,"white")</f>
        <v>6</v>
      </c>
    </row>
    <row r="57">
      <c r="A57" s="38" t="s">
        <v>215</v>
      </c>
      <c r="B57" s="38">
        <v>6.0</v>
      </c>
      <c r="C57" s="38">
        <v>6.0</v>
      </c>
      <c r="D57" s="38">
        <v>0.0</v>
      </c>
      <c r="E57" s="38" t="str">
        <f>IFERROR(__xludf.DUMMYFUNCTION("""COMPUTED_VALUE"""),"CrazyLadyLisa")</f>
        <v>CrazyLadyLisa</v>
      </c>
      <c r="F57" s="38">
        <f t="shared" si="1"/>
        <v>2</v>
      </c>
      <c r="G57" s="38">
        <f>COUNTIFS(HH_FCSP!$G$18:$G$3617,$E57,HH_FCSP!$F$18:$F$3617,"catapult/crossbow")</f>
        <v>2</v>
      </c>
      <c r="H57" s="38">
        <f>COUNTIFS(HH_FCSP!$G$18:$G$3617,$E57,HH_FCSP!$F$18:$F$3617,"white")</f>
        <v>0</v>
      </c>
    </row>
    <row r="58">
      <c r="A58" s="38" t="s">
        <v>1005</v>
      </c>
      <c r="B58" s="38">
        <v>6.0</v>
      </c>
      <c r="C58" s="38">
        <v>6.0</v>
      </c>
      <c r="D58" s="38">
        <v>0.0</v>
      </c>
      <c r="E58" s="38" t="str">
        <f>IFERROR(__xludf.DUMMYFUNCTION("""COMPUTED_VALUE"""),"csThanner")</f>
        <v>csThanner</v>
      </c>
      <c r="F58" s="38">
        <f t="shared" si="1"/>
        <v>88</v>
      </c>
      <c r="G58" s="38">
        <f>COUNTIFS(HH_FCSP!$G$18:$G$3617,$E58,HH_FCSP!$F$18:$F$3617,"catapult/crossbow")</f>
        <v>86</v>
      </c>
      <c r="H58" s="38">
        <f>COUNTIFS(HH_FCSP!$G$18:$G$3617,$E58,HH_FCSP!$F$18:$F$3617,"white")</f>
        <v>2</v>
      </c>
    </row>
    <row r="59">
      <c r="A59" s="38" t="s">
        <v>191</v>
      </c>
      <c r="B59" s="38">
        <v>6.0</v>
      </c>
      <c r="C59" s="38">
        <v>6.0</v>
      </c>
      <c r="D59" s="38">
        <v>0.0</v>
      </c>
      <c r="E59" s="38" t="str">
        <f>IFERROR(__xludf.DUMMYFUNCTION("""COMPUTED_VALUE"""),"cuttingcrew")</f>
        <v>cuttingcrew</v>
      </c>
      <c r="F59" s="38">
        <f t="shared" si="1"/>
        <v>3</v>
      </c>
      <c r="G59" s="38">
        <f>COUNTIFS(HH_FCSP!$G$18:$G$3617,$E59,HH_FCSP!$F$18:$F$3617,"catapult/crossbow")</f>
        <v>3</v>
      </c>
      <c r="H59" s="38">
        <f>COUNTIFS(HH_FCSP!$G$18:$G$3617,$E59,HH_FCSP!$F$18:$F$3617,"white")</f>
        <v>0</v>
      </c>
    </row>
    <row r="60">
      <c r="A60" s="38" t="s">
        <v>317</v>
      </c>
      <c r="B60" s="38">
        <v>6.0</v>
      </c>
      <c r="C60" s="38">
        <v>6.0</v>
      </c>
      <c r="D60" s="38">
        <v>0.0</v>
      </c>
      <c r="E60" s="38" t="str">
        <f>IFERROR(__xludf.DUMMYFUNCTION("""COMPUTED_VALUE"""),"cuztedbop")</f>
        <v>cuztedbop</v>
      </c>
      <c r="F60" s="38">
        <f t="shared" si="1"/>
        <v>1</v>
      </c>
      <c r="G60" s="38">
        <f>COUNTIFS(HH_FCSP!$G$18:$G$3617,$E60,HH_FCSP!$F$18:$F$3617,"catapult/crossbow")</f>
        <v>1</v>
      </c>
      <c r="H60" s="38">
        <f>COUNTIFS(HH_FCSP!$G$18:$G$3617,$E60,HH_FCSP!$F$18:$F$3617,"white")</f>
        <v>0</v>
      </c>
    </row>
    <row r="61">
      <c r="A61" s="38" t="s">
        <v>310</v>
      </c>
      <c r="B61" s="38">
        <v>6.0</v>
      </c>
      <c r="C61" s="38">
        <v>6.0</v>
      </c>
      <c r="D61" s="38">
        <v>0.0</v>
      </c>
      <c r="E61" s="38" t="str">
        <f>IFERROR(__xludf.DUMMYFUNCTION("""COMPUTED_VALUE"""),"cvdchiller")</f>
        <v>cvdchiller</v>
      </c>
      <c r="F61" s="38">
        <f t="shared" si="1"/>
        <v>3</v>
      </c>
      <c r="G61" s="38">
        <f>COUNTIFS(HH_FCSP!$G$18:$G$3617,$E61,HH_FCSP!$F$18:$F$3617,"catapult/crossbow")</f>
        <v>0</v>
      </c>
      <c r="H61" s="38">
        <f>COUNTIFS(HH_FCSP!$G$18:$G$3617,$E61,HH_FCSP!$F$18:$F$3617,"white")</f>
        <v>3</v>
      </c>
    </row>
    <row r="62">
      <c r="A62" s="38" t="s">
        <v>58</v>
      </c>
      <c r="B62" s="38">
        <v>6.0</v>
      </c>
      <c r="C62" s="38">
        <v>5.0</v>
      </c>
      <c r="D62" s="38">
        <v>1.0</v>
      </c>
      <c r="E62" s="38" t="str">
        <f>IFERROR(__xludf.DUMMYFUNCTION("""COMPUTED_VALUE"""),"Dad35")</f>
        <v>Dad35</v>
      </c>
      <c r="F62" s="38">
        <f t="shared" si="1"/>
        <v>44</v>
      </c>
      <c r="G62" s="38">
        <f>COUNTIFS(HH_FCSP!$G$18:$G$3617,$E62,HH_FCSP!$F$18:$F$3617,"catapult/crossbow")</f>
        <v>32</v>
      </c>
      <c r="H62" s="38">
        <f>COUNTIFS(HH_FCSP!$G$18:$G$3617,$E62,HH_FCSP!$F$18:$F$3617,"white")</f>
        <v>12</v>
      </c>
    </row>
    <row r="63">
      <c r="A63" s="38" t="s">
        <v>51</v>
      </c>
      <c r="B63" s="38">
        <v>6.0</v>
      </c>
      <c r="C63" s="38">
        <v>5.0</v>
      </c>
      <c r="D63" s="38">
        <v>1.0</v>
      </c>
      <c r="E63" s="38" t="str">
        <f>IFERROR(__xludf.DUMMYFUNCTION("""COMPUTED_VALUE"""),"DarkHaribo")</f>
        <v>DarkHaribo</v>
      </c>
      <c r="F63" s="38">
        <f t="shared" si="1"/>
        <v>103</v>
      </c>
      <c r="G63" s="38">
        <f>COUNTIFS(HH_FCSP!$G$18:$G$3617,$E63,HH_FCSP!$F$18:$F$3617,"catapult/crossbow")</f>
        <v>30</v>
      </c>
      <c r="H63" s="38">
        <f>COUNTIFS(HH_FCSP!$G$18:$G$3617,$E63,HH_FCSP!$F$18:$F$3617,"white")</f>
        <v>73</v>
      </c>
    </row>
    <row r="64">
      <c r="A64" s="38" t="s">
        <v>32</v>
      </c>
      <c r="B64" s="38">
        <v>6.0</v>
      </c>
      <c r="C64" s="38">
        <v>4.0</v>
      </c>
      <c r="D64" s="38">
        <v>2.0</v>
      </c>
      <c r="E64" s="38" t="str">
        <f>IFERROR(__xludf.DUMMYFUNCTION("""COMPUTED_VALUE"""),"darrenjones")</f>
        <v>darrenjones</v>
      </c>
      <c r="F64" s="38">
        <f t="shared" si="1"/>
        <v>1</v>
      </c>
      <c r="G64" s="38">
        <f>COUNTIFS(HH_FCSP!$G$18:$G$3617,$E64,HH_FCSP!$F$18:$F$3617,"catapult/crossbow")</f>
        <v>1</v>
      </c>
      <c r="H64" s="38">
        <f>COUNTIFS(HH_FCSP!$G$18:$G$3617,$E64,HH_FCSP!$F$18:$F$3617,"white")</f>
        <v>0</v>
      </c>
    </row>
    <row r="65">
      <c r="A65" s="38" t="s">
        <v>48</v>
      </c>
      <c r="B65" s="38">
        <v>6.0</v>
      </c>
      <c r="C65" s="38">
        <v>2.0</v>
      </c>
      <c r="D65" s="38">
        <v>4.0</v>
      </c>
      <c r="E65" s="38" t="str">
        <f>IFERROR(__xludf.DUMMYFUNCTION("""COMPUTED_VALUE"""),"Dazzaf")</f>
        <v>Dazzaf</v>
      </c>
      <c r="F65" s="38">
        <f t="shared" si="1"/>
        <v>2</v>
      </c>
      <c r="G65" s="38">
        <f>COUNTIFS(HH_FCSP!$G$18:$G$3617,$E65,HH_FCSP!$F$18:$F$3617,"catapult/crossbow")</f>
        <v>2</v>
      </c>
      <c r="H65" s="38">
        <f>COUNTIFS(HH_FCSP!$G$18:$G$3617,$E65,HH_FCSP!$F$18:$F$3617,"white")</f>
        <v>0</v>
      </c>
    </row>
    <row r="66">
      <c r="A66" s="38" t="s">
        <v>66</v>
      </c>
      <c r="B66" s="38">
        <v>6.0</v>
      </c>
      <c r="C66" s="38">
        <v>0.0</v>
      </c>
      <c r="D66" s="38">
        <v>6.0</v>
      </c>
      <c r="E66" s="38" t="str">
        <f>IFERROR(__xludf.DUMMYFUNCTION("""COMPUTED_VALUE"""),"dazzaf")</f>
        <v>dazzaf</v>
      </c>
      <c r="F66" s="38">
        <f t="shared" si="1"/>
        <v>2</v>
      </c>
      <c r="G66" s="38">
        <f>COUNTIFS(HH_FCSP!$G$18:$G$3617,$E66,HH_FCSP!$F$18:$F$3617,"catapult/crossbow")</f>
        <v>2</v>
      </c>
      <c r="H66" s="38">
        <f>COUNTIFS(HH_FCSP!$G$18:$G$3617,$E66,HH_FCSP!$F$18:$F$3617,"white")</f>
        <v>0</v>
      </c>
    </row>
    <row r="67">
      <c r="A67" s="38" t="s">
        <v>181</v>
      </c>
      <c r="B67" s="38">
        <v>5.0</v>
      </c>
      <c r="C67" s="38">
        <v>5.0</v>
      </c>
      <c r="D67" s="38">
        <v>0.0</v>
      </c>
      <c r="E67" s="38" t="str">
        <f>IFERROR(__xludf.DUMMYFUNCTION("""COMPUTED_VALUE"""),"ddcards")</f>
        <v>ddcards</v>
      </c>
      <c r="F67" s="38">
        <f t="shared" si="1"/>
        <v>2</v>
      </c>
      <c r="G67" s="38">
        <f>COUNTIFS(HH_FCSP!$G$18:$G$3617,$E67,HH_FCSP!$F$18:$F$3617,"catapult/crossbow")</f>
        <v>0</v>
      </c>
      <c r="H67" s="38">
        <f>COUNTIFS(HH_FCSP!$G$18:$G$3617,$E67,HH_FCSP!$F$18:$F$3617,"white")</f>
        <v>2</v>
      </c>
    </row>
    <row r="68">
      <c r="A68" s="38" t="s">
        <v>867</v>
      </c>
      <c r="B68" s="38">
        <v>5.0</v>
      </c>
      <c r="C68" s="38">
        <v>5.0</v>
      </c>
      <c r="D68" s="38">
        <v>0.0</v>
      </c>
      <c r="E68" s="38" t="str">
        <f>IFERROR(__xludf.DUMMYFUNCTION("""COMPUTED_VALUE"""),"delaner46")</f>
        <v>delaner46</v>
      </c>
      <c r="F68" s="38">
        <f t="shared" si="1"/>
        <v>4</v>
      </c>
      <c r="G68" s="38">
        <f>COUNTIFS(HH_FCSP!$G$18:$G$3617,$E68,HH_FCSP!$F$18:$F$3617,"catapult/crossbow")</f>
        <v>4</v>
      </c>
      <c r="H68" s="38">
        <f>COUNTIFS(HH_FCSP!$G$18:$G$3617,$E68,HH_FCSP!$F$18:$F$3617,"white")</f>
        <v>0</v>
      </c>
    </row>
    <row r="69">
      <c r="A69" s="38" t="s">
        <v>448</v>
      </c>
      <c r="B69" s="38">
        <v>5.0</v>
      </c>
      <c r="C69" s="38">
        <v>5.0</v>
      </c>
      <c r="D69" s="38">
        <v>0.0</v>
      </c>
      <c r="E69" s="38" t="str">
        <f>IFERROR(__xludf.DUMMYFUNCTION("""COMPUTED_VALUE"""),"denali0407")</f>
        <v>denali0407</v>
      </c>
      <c r="F69" s="38">
        <f t="shared" si="1"/>
        <v>1</v>
      </c>
      <c r="G69" s="38">
        <f>COUNTIFS(HH_FCSP!$G$18:$G$3617,$E69,HH_FCSP!$F$18:$F$3617,"catapult/crossbow")</f>
        <v>1</v>
      </c>
      <c r="H69" s="38">
        <f>COUNTIFS(HH_FCSP!$G$18:$G$3617,$E69,HH_FCSP!$F$18:$F$3617,"white")</f>
        <v>0</v>
      </c>
    </row>
    <row r="70">
      <c r="A70" s="38" t="s">
        <v>169</v>
      </c>
      <c r="B70" s="38">
        <v>5.0</v>
      </c>
      <c r="C70" s="38">
        <v>5.0</v>
      </c>
      <c r="D70" s="38">
        <v>0.0</v>
      </c>
      <c r="E70" s="38" t="str">
        <f>IFERROR(__xludf.DUMMYFUNCTION("""COMPUTED_VALUE"""),"Derlame")</f>
        <v>Derlame</v>
      </c>
      <c r="F70" s="38">
        <f t="shared" si="1"/>
        <v>5</v>
      </c>
      <c r="G70" s="38">
        <f>COUNTIFS(HH_FCSP!$G$18:$G$3617,$E70,HH_FCSP!$F$18:$F$3617,"catapult/crossbow")</f>
        <v>5</v>
      </c>
      <c r="H70" s="38">
        <f>COUNTIFS(HH_FCSP!$G$18:$G$3617,$E70,HH_FCSP!$F$18:$F$3617,"white")</f>
        <v>0</v>
      </c>
    </row>
    <row r="71">
      <c r="A71" s="38" t="s">
        <v>629</v>
      </c>
      <c r="B71" s="38">
        <v>5.0</v>
      </c>
      <c r="C71" s="38">
        <v>5.0</v>
      </c>
      <c r="D71" s="38">
        <v>0.0</v>
      </c>
      <c r="E71" s="38" t="str">
        <f>IFERROR(__xludf.DUMMYFUNCTION("""COMPUTED_VALUE"""),"destolkjes4ever")</f>
        <v>destolkjes4ever</v>
      </c>
      <c r="F71" s="38">
        <f t="shared" si="1"/>
        <v>6</v>
      </c>
      <c r="G71" s="38">
        <f>COUNTIFS(HH_FCSP!$G$18:$G$3617,$E71,HH_FCSP!$F$18:$F$3617,"catapult/crossbow")</f>
        <v>6</v>
      </c>
      <c r="H71" s="38">
        <f>COUNTIFS(HH_FCSP!$G$18:$G$3617,$E71,HH_FCSP!$F$18:$F$3617,"white")</f>
        <v>0</v>
      </c>
    </row>
    <row r="72">
      <c r="A72" s="38" t="s">
        <v>178</v>
      </c>
      <c r="B72" s="38">
        <v>5.0</v>
      </c>
      <c r="C72" s="38">
        <v>5.0</v>
      </c>
      <c r="D72" s="38">
        <v>0.0</v>
      </c>
      <c r="E72" s="38" t="str">
        <f>IFERROR(__xludf.DUMMYFUNCTION("""COMPUTED_VALUE"""),"dofke220")</f>
        <v>dofke220</v>
      </c>
      <c r="F72" s="38">
        <f t="shared" si="1"/>
        <v>1</v>
      </c>
      <c r="G72" s="38">
        <f>COUNTIFS(HH_FCSP!$G$18:$G$3617,$E72,HH_FCSP!$F$18:$F$3617,"catapult/crossbow")</f>
        <v>1</v>
      </c>
      <c r="H72" s="38">
        <f>COUNTIFS(HH_FCSP!$G$18:$G$3617,$E72,HH_FCSP!$F$18:$F$3617,"white")</f>
        <v>0</v>
      </c>
    </row>
    <row r="73">
      <c r="A73" s="38" t="s">
        <v>45</v>
      </c>
      <c r="B73" s="38">
        <v>5.0</v>
      </c>
      <c r="C73" s="38">
        <v>4.0</v>
      </c>
      <c r="D73" s="38">
        <v>1.0</v>
      </c>
      <c r="E73" s="38" t="str">
        <f>IFERROR(__xludf.DUMMYFUNCTION("""COMPUTED_VALUE"""),"DonkoGu")</f>
        <v>DonkoGu</v>
      </c>
      <c r="F73" s="38">
        <f t="shared" si="1"/>
        <v>2</v>
      </c>
      <c r="G73" s="38">
        <f>COUNTIFS(HH_FCSP!$G$18:$G$3617,$E73,HH_FCSP!$F$18:$F$3617,"catapult/crossbow")</f>
        <v>0</v>
      </c>
      <c r="H73" s="38">
        <f>COUNTIFS(HH_FCSP!$G$18:$G$3617,$E73,HH_FCSP!$F$18:$F$3617,"white")</f>
        <v>2</v>
      </c>
    </row>
    <row r="74">
      <c r="A74" s="38" t="s">
        <v>1018</v>
      </c>
      <c r="B74" s="38">
        <v>5.0</v>
      </c>
      <c r="C74" s="38">
        <v>4.0</v>
      </c>
      <c r="D74" s="38">
        <v>1.0</v>
      </c>
      <c r="E74" s="38" t="str">
        <f>IFERROR(__xludf.DUMMYFUNCTION("""COMPUTED_VALUE"""),"Drazoria")</f>
        <v>Drazoria</v>
      </c>
      <c r="F74" s="38">
        <f t="shared" si="1"/>
        <v>8</v>
      </c>
      <c r="G74" s="38">
        <f>COUNTIFS(HH_FCSP!$G$18:$G$3617,$E74,HH_FCSP!$F$18:$F$3617,"catapult/crossbow")</f>
        <v>8</v>
      </c>
      <c r="H74" s="38">
        <f>COUNTIFS(HH_FCSP!$G$18:$G$3617,$E74,HH_FCSP!$F$18:$F$3617,"white")</f>
        <v>0</v>
      </c>
    </row>
    <row r="75">
      <c r="A75" s="38" t="s">
        <v>123</v>
      </c>
      <c r="B75" s="38">
        <v>5.0</v>
      </c>
      <c r="C75" s="38">
        <v>3.0</v>
      </c>
      <c r="D75" s="38">
        <v>2.0</v>
      </c>
      <c r="E75" s="38" t="str">
        <f>IFERROR(__xludf.DUMMYFUNCTION("""COMPUTED_VALUE"""),"dreiengel")</f>
        <v>dreiengel</v>
      </c>
      <c r="F75" s="38">
        <f t="shared" si="1"/>
        <v>9</v>
      </c>
      <c r="G75" s="38">
        <f>COUNTIFS(HH_FCSP!$G$18:$G$3617,$E75,HH_FCSP!$F$18:$F$3617,"catapult/crossbow")</f>
        <v>8</v>
      </c>
      <c r="H75" s="38">
        <f>COUNTIFS(HH_FCSP!$G$18:$G$3617,$E75,HH_FCSP!$F$18:$F$3617,"white")</f>
        <v>1</v>
      </c>
    </row>
    <row r="76">
      <c r="A76" s="38" t="s">
        <v>170</v>
      </c>
      <c r="B76" s="38">
        <v>5.0</v>
      </c>
      <c r="C76" s="38">
        <v>3.0</v>
      </c>
      <c r="D76" s="38">
        <v>2.0</v>
      </c>
      <c r="E76" s="38" t="str">
        <f>IFERROR(__xludf.DUMMYFUNCTION("""COMPUTED_VALUE"""),"driver582")</f>
        <v>driver582</v>
      </c>
      <c r="F76" s="38">
        <f t="shared" si="1"/>
        <v>6</v>
      </c>
      <c r="G76" s="38">
        <f>COUNTIFS(HH_FCSP!$G$18:$G$3617,$E76,HH_FCSP!$F$18:$F$3617,"catapult/crossbow")</f>
        <v>6</v>
      </c>
      <c r="H76" s="38">
        <f>COUNTIFS(HH_FCSP!$G$18:$G$3617,$E76,HH_FCSP!$F$18:$F$3617,"white")</f>
        <v>0</v>
      </c>
    </row>
    <row r="77">
      <c r="A77" s="38" t="s">
        <v>134</v>
      </c>
      <c r="B77" s="38">
        <v>5.0</v>
      </c>
      <c r="C77" s="38">
        <v>3.0</v>
      </c>
      <c r="D77" s="38">
        <v>2.0</v>
      </c>
      <c r="E77" s="38" t="str">
        <f>IFERROR(__xludf.DUMMYFUNCTION("""COMPUTED_VALUE"""),"dt07751")</f>
        <v>dt07751</v>
      </c>
      <c r="F77" s="38">
        <f t="shared" si="1"/>
        <v>1</v>
      </c>
      <c r="G77" s="38">
        <f>COUNTIFS(HH_FCSP!$G$18:$G$3617,$E77,HH_FCSP!$F$18:$F$3617,"catapult/crossbow")</f>
        <v>0</v>
      </c>
      <c r="H77" s="38">
        <f>COUNTIFS(HH_FCSP!$G$18:$G$3617,$E77,HH_FCSP!$F$18:$F$3617,"white")</f>
        <v>1</v>
      </c>
    </row>
    <row r="78">
      <c r="A78" s="38" t="s">
        <v>111</v>
      </c>
      <c r="B78" s="38">
        <v>5.0</v>
      </c>
      <c r="C78" s="38">
        <v>3.0</v>
      </c>
      <c r="D78" s="38">
        <v>2.0</v>
      </c>
      <c r="E78" s="38" t="str">
        <f>IFERROR(__xludf.DUMMYFUNCTION("""COMPUTED_VALUE"""),"dwyers5")</f>
        <v>dwyers5</v>
      </c>
      <c r="F78" s="38">
        <f t="shared" si="1"/>
        <v>3</v>
      </c>
      <c r="G78" s="38">
        <f>COUNTIFS(HH_FCSP!$G$18:$G$3617,$E78,HH_FCSP!$F$18:$F$3617,"catapult/crossbow")</f>
        <v>3</v>
      </c>
      <c r="H78" s="38">
        <f>COUNTIFS(HH_FCSP!$G$18:$G$3617,$E78,HH_FCSP!$F$18:$F$3617,"white")</f>
        <v>0</v>
      </c>
    </row>
    <row r="79">
      <c r="A79" s="38" t="s">
        <v>43</v>
      </c>
      <c r="B79" s="38">
        <v>5.0</v>
      </c>
      <c r="C79" s="38">
        <v>3.0</v>
      </c>
      <c r="D79" s="38">
        <v>2.0</v>
      </c>
      <c r="E79" s="38" t="str">
        <f>IFERROR(__xludf.DUMMYFUNCTION("""COMPUTED_VALUE"""),"EagleDadandXenia")</f>
        <v>EagleDadandXenia</v>
      </c>
      <c r="F79" s="38">
        <f t="shared" si="1"/>
        <v>1</v>
      </c>
      <c r="G79" s="38">
        <f>COUNTIFS(HH_FCSP!$G$18:$G$3617,$E79,HH_FCSP!$F$18:$F$3617,"catapult/crossbow")</f>
        <v>0</v>
      </c>
      <c r="H79" s="38">
        <f>COUNTIFS(HH_FCSP!$G$18:$G$3617,$E79,HH_FCSP!$F$18:$F$3617,"white")</f>
        <v>1</v>
      </c>
    </row>
    <row r="80">
      <c r="A80" s="38" t="s">
        <v>125</v>
      </c>
      <c r="B80" s="38">
        <v>5.0</v>
      </c>
      <c r="C80" s="38">
        <v>3.0</v>
      </c>
      <c r="D80" s="38">
        <v>2.0</v>
      </c>
      <c r="E80" s="38" t="str">
        <f>IFERROR(__xludf.DUMMYFUNCTION("""COMPUTED_VALUE"""),"easterb")</f>
        <v>easterb</v>
      </c>
      <c r="F80" s="38">
        <f t="shared" si="1"/>
        <v>3</v>
      </c>
      <c r="G80" s="38">
        <f>COUNTIFS(HH_FCSP!$G$18:$G$3617,$E80,HH_FCSP!$F$18:$F$3617,"catapult/crossbow")</f>
        <v>3</v>
      </c>
      <c r="H80" s="38">
        <f>COUNTIFS(HH_FCSP!$G$18:$G$3617,$E80,HH_FCSP!$F$18:$F$3617,"white")</f>
        <v>0</v>
      </c>
    </row>
    <row r="81">
      <c r="A81" s="38" t="s">
        <v>31</v>
      </c>
      <c r="B81" s="38">
        <v>5.0</v>
      </c>
      <c r="C81" s="38">
        <v>2.0</v>
      </c>
      <c r="D81" s="38">
        <v>3.0</v>
      </c>
      <c r="E81" s="38" t="str">
        <f>IFERROR(__xludf.DUMMYFUNCTION("""COMPUTED_VALUE"""),"edwin21")</f>
        <v>edwin21</v>
      </c>
      <c r="F81" s="38">
        <f t="shared" si="1"/>
        <v>1</v>
      </c>
      <c r="G81" s="38">
        <f>COUNTIFS(HH_FCSP!$G$18:$G$3617,$E81,HH_FCSP!$F$18:$F$3617,"catapult/crossbow")</f>
        <v>1</v>
      </c>
      <c r="H81" s="38">
        <f>COUNTIFS(HH_FCSP!$G$18:$G$3617,$E81,HH_FCSP!$F$18:$F$3617,"white")</f>
        <v>0</v>
      </c>
    </row>
    <row r="82">
      <c r="A82" s="38" t="s">
        <v>54</v>
      </c>
      <c r="B82" s="38">
        <v>5.0</v>
      </c>
      <c r="C82" s="38">
        <v>0.0</v>
      </c>
      <c r="D82" s="38">
        <v>5.0</v>
      </c>
      <c r="E82" s="38" t="str">
        <f>IFERROR(__xludf.DUMMYFUNCTION("""COMPUTED_VALUE"""),"einkilorind")</f>
        <v>einkilorind</v>
      </c>
      <c r="F82" s="38">
        <f t="shared" si="1"/>
        <v>17</v>
      </c>
      <c r="G82" s="38">
        <f>COUNTIFS(HH_FCSP!$G$18:$G$3617,$E82,HH_FCSP!$F$18:$F$3617,"catapult/crossbow")</f>
        <v>17</v>
      </c>
      <c r="H82" s="38">
        <f>COUNTIFS(HH_FCSP!$G$18:$G$3617,$E82,HH_FCSP!$F$18:$F$3617,"white")</f>
        <v>0</v>
      </c>
    </row>
    <row r="83">
      <c r="A83" s="38" t="s">
        <v>1021</v>
      </c>
      <c r="B83" s="38">
        <v>4.0</v>
      </c>
      <c r="C83" s="38">
        <v>4.0</v>
      </c>
      <c r="D83" s="38">
        <v>0.0</v>
      </c>
      <c r="E83" s="38" t="str">
        <f>IFERROR(__xludf.DUMMYFUNCTION("""COMPUTED_VALUE"""),"ekageo")</f>
        <v>ekageo</v>
      </c>
      <c r="F83" s="38">
        <f t="shared" si="1"/>
        <v>5</v>
      </c>
      <c r="G83" s="38">
        <f>COUNTIFS(HH_FCSP!$G$18:$G$3617,$E83,HH_FCSP!$F$18:$F$3617,"catapult/crossbow")</f>
        <v>3</v>
      </c>
      <c r="H83" s="38">
        <f>COUNTIFS(HH_FCSP!$G$18:$G$3617,$E83,HH_FCSP!$F$18:$F$3617,"white")</f>
        <v>2</v>
      </c>
    </row>
    <row r="84">
      <c r="A84" s="38" t="s">
        <v>176</v>
      </c>
      <c r="B84" s="38">
        <v>4.0</v>
      </c>
      <c r="C84" s="38">
        <v>4.0</v>
      </c>
      <c r="D84" s="38">
        <v>0.0</v>
      </c>
      <c r="E84" s="38" t="str">
        <f>IFERROR(__xludf.DUMMYFUNCTION("""COMPUTED_VALUE"""),"elefantoduck")</f>
        <v>elefantoduck</v>
      </c>
      <c r="F84" s="38">
        <f t="shared" si="1"/>
        <v>13</v>
      </c>
      <c r="G84" s="38">
        <f>COUNTIFS(HH_FCSP!$G$18:$G$3617,$E84,HH_FCSP!$F$18:$F$3617,"catapult/crossbow")</f>
        <v>13</v>
      </c>
      <c r="H84" s="38">
        <f>COUNTIFS(HH_FCSP!$G$18:$G$3617,$E84,HH_FCSP!$F$18:$F$3617,"white")</f>
        <v>0</v>
      </c>
    </row>
    <row r="85">
      <c r="A85" s="38" t="s">
        <v>764</v>
      </c>
      <c r="B85" s="38">
        <v>4.0</v>
      </c>
      <c r="C85" s="38">
        <v>4.0</v>
      </c>
      <c r="D85" s="38">
        <v>0.0</v>
      </c>
      <c r="E85" s="38" t="str">
        <f>IFERROR(__xludf.DUMMYFUNCTION("""COMPUTED_VALUE"""),"elisoft")</f>
        <v>elisoft</v>
      </c>
      <c r="F85" s="38">
        <f t="shared" si="1"/>
        <v>1</v>
      </c>
      <c r="G85" s="38">
        <f>COUNTIFS(HH_FCSP!$G$18:$G$3617,$E85,HH_FCSP!$F$18:$F$3617,"catapult/crossbow")</f>
        <v>1</v>
      </c>
      <c r="H85" s="38">
        <f>COUNTIFS(HH_FCSP!$G$18:$G$3617,$E85,HH_FCSP!$F$18:$F$3617,"white")</f>
        <v>0</v>
      </c>
    </row>
    <row r="86">
      <c r="A86" s="38" t="s">
        <v>213</v>
      </c>
      <c r="B86" s="38">
        <v>4.0</v>
      </c>
      <c r="C86" s="38">
        <v>4.0</v>
      </c>
      <c r="D86" s="38">
        <v>0.0</v>
      </c>
      <c r="E86" s="38" t="str">
        <f>IFERROR(__xludf.DUMMYFUNCTION("""COMPUTED_VALUE"""),"Ellesche")</f>
        <v>Ellesche</v>
      </c>
      <c r="F86" s="38">
        <f t="shared" si="1"/>
        <v>1</v>
      </c>
      <c r="G86" s="38">
        <f>COUNTIFS(HH_FCSP!$G$18:$G$3617,$E86,HH_FCSP!$F$18:$F$3617,"catapult/crossbow")</f>
        <v>1</v>
      </c>
      <c r="H86" s="38">
        <f>COUNTIFS(HH_FCSP!$G$18:$G$3617,$E86,HH_FCSP!$F$18:$F$3617,"white")</f>
        <v>0</v>
      </c>
    </row>
    <row r="87">
      <c r="A87" s="38" t="s">
        <v>568</v>
      </c>
      <c r="B87" s="38">
        <v>4.0</v>
      </c>
      <c r="C87" s="38">
        <v>4.0</v>
      </c>
      <c r="D87" s="38">
        <v>0.0</v>
      </c>
      <c r="E87" s="38" t="str">
        <f>IFERROR(__xludf.DUMMYFUNCTION("""COMPUTED_VALUE"""),"Elli")</f>
        <v>Elli</v>
      </c>
      <c r="F87" s="38">
        <f t="shared" si="1"/>
        <v>143</v>
      </c>
      <c r="G87" s="38">
        <f>COUNTIFS(HH_FCSP!$G$18:$G$3617,$E87,HH_FCSP!$F$18:$F$3617,"catapult/crossbow")</f>
        <v>82</v>
      </c>
      <c r="H87" s="38">
        <f>COUNTIFS(HH_FCSP!$G$18:$G$3617,$E87,HH_FCSP!$F$18:$F$3617,"white")</f>
        <v>61</v>
      </c>
    </row>
    <row r="88">
      <c r="A88" s="38" t="s">
        <v>497</v>
      </c>
      <c r="B88" s="38">
        <v>4.0</v>
      </c>
      <c r="C88" s="38">
        <v>4.0</v>
      </c>
      <c r="D88" s="38">
        <v>0.0</v>
      </c>
      <c r="E88" s="38" t="str">
        <f>IFERROR(__xludf.DUMMYFUNCTION("""COMPUTED_VALUE"""),"EmeraldAngel")</f>
        <v>EmeraldAngel</v>
      </c>
      <c r="F88" s="38">
        <f t="shared" si="1"/>
        <v>9</v>
      </c>
      <c r="G88" s="38">
        <f>COUNTIFS(HH_FCSP!$G$18:$G$3617,$E88,HH_FCSP!$F$18:$F$3617,"catapult/crossbow")</f>
        <v>6</v>
      </c>
      <c r="H88" s="38">
        <f>COUNTIFS(HH_FCSP!$G$18:$G$3617,$E88,HH_FCSP!$F$18:$F$3617,"white")</f>
        <v>3</v>
      </c>
    </row>
    <row r="89">
      <c r="A89" s="38" t="s">
        <v>284</v>
      </c>
      <c r="B89" s="38">
        <v>4.0</v>
      </c>
      <c r="C89" s="38">
        <v>4.0</v>
      </c>
      <c r="D89" s="38">
        <v>0.0</v>
      </c>
      <c r="E89" s="38" t="str">
        <f>IFERROR(__xludf.DUMMYFUNCTION("""COMPUTED_VALUE"""),"Engel19")</f>
        <v>Engel19</v>
      </c>
      <c r="F89" s="38">
        <f t="shared" si="1"/>
        <v>6</v>
      </c>
      <c r="G89" s="38">
        <f>COUNTIFS(HH_FCSP!$G$18:$G$3617,$E89,HH_FCSP!$F$18:$F$3617,"catapult/crossbow")</f>
        <v>5</v>
      </c>
      <c r="H89" s="38">
        <f>COUNTIFS(HH_FCSP!$G$18:$G$3617,$E89,HH_FCSP!$F$18:$F$3617,"white")</f>
        <v>1</v>
      </c>
    </row>
    <row r="90">
      <c r="A90" s="38" t="s">
        <v>233</v>
      </c>
      <c r="B90" s="38">
        <v>4.0</v>
      </c>
      <c r="C90" s="38">
        <v>4.0</v>
      </c>
      <c r="D90" s="38">
        <v>0.0</v>
      </c>
      <c r="E90" s="38" t="str">
        <f>IFERROR(__xludf.DUMMYFUNCTION("""COMPUTED_VALUE"""),"erictheump")</f>
        <v>erictheump</v>
      </c>
      <c r="F90" s="38">
        <f t="shared" si="1"/>
        <v>5</v>
      </c>
      <c r="G90" s="38">
        <f>COUNTIFS(HH_FCSP!$G$18:$G$3617,$E90,HH_FCSP!$F$18:$F$3617,"catapult/crossbow")</f>
        <v>5</v>
      </c>
      <c r="H90" s="38">
        <f>COUNTIFS(HH_FCSP!$G$18:$G$3617,$E90,HH_FCSP!$F$18:$F$3617,"white")</f>
        <v>0</v>
      </c>
    </row>
    <row r="91">
      <c r="A91" s="38" t="s">
        <v>532</v>
      </c>
      <c r="B91" s="38">
        <v>4.0</v>
      </c>
      <c r="C91" s="38">
        <v>4.0</v>
      </c>
      <c r="D91" s="38">
        <v>0.0</v>
      </c>
      <c r="E91" s="38" t="str">
        <f>IFERROR(__xludf.DUMMYFUNCTION("""COMPUTED_VALUE"""),"Faby")</f>
        <v>Faby</v>
      </c>
      <c r="F91" s="38">
        <f t="shared" si="1"/>
        <v>1</v>
      </c>
      <c r="G91" s="38">
        <f>COUNTIFS(HH_FCSP!$G$18:$G$3617,$E91,HH_FCSP!$F$18:$F$3617,"catapult/crossbow")</f>
        <v>1</v>
      </c>
      <c r="H91" s="38">
        <f>COUNTIFS(HH_FCSP!$G$18:$G$3617,$E91,HH_FCSP!$F$18:$F$3617,"white")</f>
        <v>0</v>
      </c>
    </row>
    <row r="92">
      <c r="A92" s="38" t="s">
        <v>308</v>
      </c>
      <c r="B92" s="38">
        <v>4.0</v>
      </c>
      <c r="C92" s="38">
        <v>4.0</v>
      </c>
      <c r="D92" s="38">
        <v>0.0</v>
      </c>
      <c r="E92" s="38" t="str">
        <f>IFERROR(__xludf.DUMMYFUNCTION("""COMPUTED_VALUE"""),"Felice01")</f>
        <v>Felice01</v>
      </c>
      <c r="F92" s="38">
        <f t="shared" si="1"/>
        <v>9</v>
      </c>
      <c r="G92" s="38">
        <f>COUNTIFS(HH_FCSP!$G$18:$G$3617,$E92,HH_FCSP!$F$18:$F$3617,"catapult/crossbow")</f>
        <v>0</v>
      </c>
      <c r="H92" s="38">
        <f>COUNTIFS(HH_FCSP!$G$18:$G$3617,$E92,HH_FCSP!$F$18:$F$3617,"white")</f>
        <v>9</v>
      </c>
    </row>
    <row r="93">
      <c r="A93" s="38" t="s">
        <v>382</v>
      </c>
      <c r="B93" s="38">
        <v>4.0</v>
      </c>
      <c r="C93" s="38">
        <v>4.0</v>
      </c>
      <c r="D93" s="38">
        <v>0.0</v>
      </c>
      <c r="E93" s="38" t="str">
        <f>IFERROR(__xludf.DUMMYFUNCTION("""COMPUTED_VALUE"""),"FeuerBrake")</f>
        <v>FeuerBrake</v>
      </c>
      <c r="F93" s="38">
        <f t="shared" si="1"/>
        <v>5</v>
      </c>
      <c r="G93" s="38">
        <f>COUNTIFS(HH_FCSP!$G$18:$G$3617,$E93,HH_FCSP!$F$18:$F$3617,"catapult/crossbow")</f>
        <v>2</v>
      </c>
      <c r="H93" s="38">
        <f>COUNTIFS(HH_FCSP!$G$18:$G$3617,$E93,HH_FCSP!$F$18:$F$3617,"white")</f>
        <v>3</v>
      </c>
    </row>
    <row r="94">
      <c r="A94" s="38" t="s">
        <v>702</v>
      </c>
      <c r="B94" s="38">
        <v>4.0</v>
      </c>
      <c r="C94" s="38">
        <v>4.0</v>
      </c>
      <c r="D94" s="38">
        <v>0.0</v>
      </c>
      <c r="E94" s="38" t="str">
        <f>IFERROR(__xludf.DUMMYFUNCTION("""COMPUTED_VALUE"""),"fezzman")</f>
        <v>fezzman</v>
      </c>
      <c r="F94" s="38">
        <f t="shared" si="1"/>
        <v>1</v>
      </c>
      <c r="G94" s="38">
        <f>COUNTIFS(HH_FCSP!$G$18:$G$3617,$E94,HH_FCSP!$F$18:$F$3617,"catapult/crossbow")</f>
        <v>1</v>
      </c>
      <c r="H94" s="38">
        <f>COUNTIFS(HH_FCSP!$G$18:$G$3617,$E94,HH_FCSP!$F$18:$F$3617,"white")</f>
        <v>0</v>
      </c>
    </row>
    <row r="95">
      <c r="A95" s="38" t="s">
        <v>647</v>
      </c>
      <c r="B95" s="38">
        <v>4.0</v>
      </c>
      <c r="C95" s="38">
        <v>4.0</v>
      </c>
      <c r="D95" s="38">
        <v>0.0</v>
      </c>
      <c r="E95" s="38" t="str">
        <f>IFERROR(__xludf.DUMMYFUNCTION("""COMPUTED_VALUE"""),"FINDER400")</f>
        <v>FINDER400</v>
      </c>
      <c r="F95" s="38">
        <f t="shared" si="1"/>
        <v>1</v>
      </c>
      <c r="G95" s="38">
        <f>COUNTIFS(HH_FCSP!$G$18:$G$3617,$E95,HH_FCSP!$F$18:$F$3617,"catapult/crossbow")</f>
        <v>1</v>
      </c>
      <c r="H95" s="38">
        <f>COUNTIFS(HH_FCSP!$G$18:$G$3617,$E95,HH_FCSP!$F$18:$F$3617,"white")</f>
        <v>0</v>
      </c>
    </row>
    <row r="96">
      <c r="A96" s="38" t="s">
        <v>130</v>
      </c>
      <c r="B96" s="38">
        <v>4.0</v>
      </c>
      <c r="C96" s="38">
        <v>3.0</v>
      </c>
      <c r="D96" s="38">
        <v>1.0</v>
      </c>
      <c r="E96" s="38" t="str">
        <f>IFERROR(__xludf.DUMMYFUNCTION("""COMPUTED_VALUE"""),"FindersGirl")</f>
        <v>FindersGirl</v>
      </c>
      <c r="F96" s="38">
        <f t="shared" si="1"/>
        <v>1</v>
      </c>
      <c r="G96" s="38">
        <f>COUNTIFS(HH_FCSP!$G$18:$G$3617,$E96,HH_FCSP!$F$18:$F$3617,"catapult/crossbow")</f>
        <v>1</v>
      </c>
      <c r="H96" s="38">
        <f>COUNTIFS(HH_FCSP!$G$18:$G$3617,$E96,HH_FCSP!$F$18:$F$3617,"white")</f>
        <v>0</v>
      </c>
    </row>
    <row r="97">
      <c r="A97" s="38" t="s">
        <v>138</v>
      </c>
      <c r="B97" s="38">
        <v>4.0</v>
      </c>
      <c r="C97" s="38">
        <v>3.0</v>
      </c>
      <c r="D97" s="38">
        <v>1.0</v>
      </c>
      <c r="E97" s="38" t="str">
        <f>IFERROR(__xludf.DUMMYFUNCTION("""COMPUTED_VALUE"""),"Finnleo")</f>
        <v>Finnleo</v>
      </c>
      <c r="F97" s="38">
        <f t="shared" si="1"/>
        <v>5</v>
      </c>
      <c r="G97" s="38">
        <f>COUNTIFS(HH_FCSP!$G$18:$G$3617,$E97,HH_FCSP!$F$18:$F$3617,"catapult/crossbow")</f>
        <v>3</v>
      </c>
      <c r="H97" s="38">
        <f>COUNTIFS(HH_FCSP!$G$18:$G$3617,$E97,HH_FCSP!$F$18:$F$3617,"white")</f>
        <v>2</v>
      </c>
    </row>
    <row r="98">
      <c r="A98" s="38" t="s">
        <v>89</v>
      </c>
      <c r="B98" s="38">
        <v>4.0</v>
      </c>
      <c r="C98" s="38">
        <v>3.0</v>
      </c>
      <c r="D98" s="38">
        <v>1.0</v>
      </c>
      <c r="E98" s="38" t="str">
        <f>IFERROR(__xludf.DUMMYFUNCTION("""COMPUTED_VALUE"""),"Flattermaus")</f>
        <v>Flattermaus</v>
      </c>
      <c r="F98" s="38">
        <f t="shared" si="1"/>
        <v>55</v>
      </c>
      <c r="G98" s="38">
        <f>COUNTIFS(HH_FCSP!$G$18:$G$3617,$E98,HH_FCSP!$F$18:$F$3617,"catapult/crossbow")</f>
        <v>46</v>
      </c>
      <c r="H98" s="38">
        <f>COUNTIFS(HH_FCSP!$G$18:$G$3617,$E98,HH_FCSP!$F$18:$F$3617,"white")</f>
        <v>9</v>
      </c>
    </row>
    <row r="99">
      <c r="A99" s="38" t="s">
        <v>120</v>
      </c>
      <c r="B99" s="38">
        <v>4.0</v>
      </c>
      <c r="C99" s="38">
        <v>3.0</v>
      </c>
      <c r="D99" s="38">
        <v>1.0</v>
      </c>
      <c r="E99" s="38" t="str">
        <f>IFERROR(__xludf.DUMMYFUNCTION("""COMPUTED_VALUE"""),"FredVomJupiter")</f>
        <v>FredVomJupiter</v>
      </c>
      <c r="F99" s="38">
        <f t="shared" si="1"/>
        <v>1</v>
      </c>
      <c r="G99" s="38">
        <f>COUNTIFS(HH_FCSP!$G$18:$G$3617,$E99,HH_FCSP!$F$18:$F$3617,"catapult/crossbow")</f>
        <v>1</v>
      </c>
      <c r="H99" s="38">
        <f>COUNTIFS(HH_FCSP!$G$18:$G$3617,$E99,HH_FCSP!$F$18:$F$3617,"white")</f>
        <v>0</v>
      </c>
    </row>
    <row r="100">
      <c r="A100" s="38" t="s">
        <v>619</v>
      </c>
      <c r="B100" s="38">
        <v>4.0</v>
      </c>
      <c r="C100" s="38">
        <v>3.0</v>
      </c>
      <c r="D100" s="38">
        <v>1.0</v>
      </c>
      <c r="E100" s="38" t="str">
        <f>IFERROR(__xludf.DUMMYFUNCTION("""COMPUTED_VALUE"""),"Frikandelbroodjes")</f>
        <v>Frikandelbroodjes</v>
      </c>
      <c r="F100" s="38">
        <f t="shared" si="1"/>
        <v>1</v>
      </c>
      <c r="G100" s="38">
        <f>COUNTIFS(HH_FCSP!$G$18:$G$3617,$E100,HH_FCSP!$F$18:$F$3617,"catapult/crossbow")</f>
        <v>1</v>
      </c>
      <c r="H100" s="38">
        <f>COUNTIFS(HH_FCSP!$G$18:$G$3617,$E100,HH_FCSP!$F$18:$F$3617,"white")</f>
        <v>0</v>
      </c>
    </row>
    <row r="101">
      <c r="A101" s="38" t="s">
        <v>268</v>
      </c>
      <c r="B101" s="38">
        <v>4.0</v>
      </c>
      <c r="C101" s="38">
        <v>3.0</v>
      </c>
      <c r="D101" s="38">
        <v>1.0</v>
      </c>
      <c r="E101" s="38" t="str">
        <f>IFERROR(__xludf.DUMMYFUNCTION("""COMPUTED_VALUE"""),"FRLK")</f>
        <v>FRLK</v>
      </c>
      <c r="F101" s="38">
        <f t="shared" si="1"/>
        <v>1</v>
      </c>
      <c r="G101" s="38">
        <f>COUNTIFS(HH_FCSP!$G$18:$G$3617,$E101,HH_FCSP!$F$18:$F$3617,"catapult/crossbow")</f>
        <v>1</v>
      </c>
      <c r="H101" s="38">
        <f>COUNTIFS(HH_FCSP!$G$18:$G$3617,$E101,HH_FCSP!$F$18:$F$3617,"white")</f>
        <v>0</v>
      </c>
    </row>
    <row r="102">
      <c r="A102" s="38" t="s">
        <v>1016</v>
      </c>
      <c r="B102" s="38">
        <v>4.0</v>
      </c>
      <c r="C102" s="38">
        <v>2.0</v>
      </c>
      <c r="D102" s="38">
        <v>2.0</v>
      </c>
      <c r="E102" s="38" t="str">
        <f>IFERROR(__xludf.DUMMYFUNCTION("""COMPUTED_VALUE"""),"fyrsel")</f>
        <v>fyrsel</v>
      </c>
      <c r="F102" s="38">
        <f t="shared" si="1"/>
        <v>3</v>
      </c>
      <c r="G102" s="38">
        <f>COUNTIFS(HH_FCSP!$G$18:$G$3617,$E102,HH_FCSP!$F$18:$F$3617,"catapult/crossbow")</f>
        <v>3</v>
      </c>
      <c r="H102" s="38">
        <f>COUNTIFS(HH_FCSP!$G$18:$G$3617,$E102,HH_FCSP!$F$18:$F$3617,"white")</f>
        <v>0</v>
      </c>
    </row>
    <row r="103">
      <c r="A103" s="38" t="s">
        <v>132</v>
      </c>
      <c r="B103" s="38">
        <v>4.0</v>
      </c>
      <c r="C103" s="38">
        <v>2.0</v>
      </c>
      <c r="D103" s="38">
        <v>2.0</v>
      </c>
      <c r="E103" s="38" t="str">
        <f>IFERROR(__xludf.DUMMYFUNCTION("""COMPUTED_VALUE"""),"Gamsci")</f>
        <v>Gamsci</v>
      </c>
      <c r="F103" s="38">
        <f t="shared" si="1"/>
        <v>10</v>
      </c>
      <c r="G103" s="38">
        <f>COUNTIFS(HH_FCSP!$G$18:$G$3617,$E103,HH_FCSP!$F$18:$F$3617,"catapult/crossbow")</f>
        <v>10</v>
      </c>
      <c r="H103" s="38">
        <f>COUNTIFS(HH_FCSP!$G$18:$G$3617,$E103,HH_FCSP!$F$18:$F$3617,"white")</f>
        <v>0</v>
      </c>
    </row>
    <row r="104">
      <c r="A104" s="38" t="s">
        <v>74</v>
      </c>
      <c r="B104" s="38">
        <v>4.0</v>
      </c>
      <c r="C104" s="38">
        <v>0.0</v>
      </c>
      <c r="D104" s="38">
        <v>4.0</v>
      </c>
      <c r="E104" s="38" t="str">
        <f>IFERROR(__xludf.DUMMYFUNCTION("""COMPUTED_VALUE"""),"geckofreund")</f>
        <v>geckofreund</v>
      </c>
      <c r="F104" s="38">
        <f t="shared" si="1"/>
        <v>8</v>
      </c>
      <c r="G104" s="38">
        <f>COUNTIFS(HH_FCSP!$G$18:$G$3617,$E104,HH_FCSP!$F$18:$F$3617,"catapult/crossbow")</f>
        <v>7</v>
      </c>
      <c r="H104" s="38">
        <f>COUNTIFS(HH_FCSP!$G$18:$G$3617,$E104,HH_FCSP!$F$18:$F$3617,"white")</f>
        <v>1</v>
      </c>
    </row>
    <row r="105">
      <c r="A105" s="38" t="s">
        <v>146</v>
      </c>
      <c r="B105" s="38">
        <v>4.0</v>
      </c>
      <c r="C105" s="38">
        <v>0.0</v>
      </c>
      <c r="D105" s="38">
        <v>4.0</v>
      </c>
      <c r="E105" s="38" t="str">
        <f>IFERROR(__xludf.DUMMYFUNCTION("""COMPUTED_VALUE"""),"granitente")</f>
        <v>granitente</v>
      </c>
      <c r="F105" s="38">
        <f t="shared" si="1"/>
        <v>4</v>
      </c>
      <c r="G105" s="38">
        <f>COUNTIFS(HH_FCSP!$G$18:$G$3617,$E105,HH_FCSP!$F$18:$F$3617,"catapult/crossbow")</f>
        <v>4</v>
      </c>
      <c r="H105" s="38">
        <f>COUNTIFS(HH_FCSP!$G$18:$G$3617,$E105,HH_FCSP!$F$18:$F$3617,"white")</f>
        <v>0</v>
      </c>
    </row>
    <row r="106">
      <c r="A106" s="38" t="s">
        <v>60</v>
      </c>
      <c r="B106" s="38">
        <v>4.0</v>
      </c>
      <c r="C106" s="38">
        <v>0.0</v>
      </c>
      <c r="D106" s="38">
        <v>4.0</v>
      </c>
      <c r="E106" s="38" t="str">
        <f>IFERROR(__xludf.DUMMYFUNCTION("""COMPUTED_VALUE"""),"GrimyMitts")</f>
        <v>GrimyMitts</v>
      </c>
      <c r="F106" s="38">
        <f t="shared" si="1"/>
        <v>2</v>
      </c>
      <c r="G106" s="38">
        <f>COUNTIFS(HH_FCSP!$G$18:$G$3617,$E106,HH_FCSP!$F$18:$F$3617,"catapult/crossbow")</f>
        <v>2</v>
      </c>
      <c r="H106" s="38">
        <f>COUNTIFS(HH_FCSP!$G$18:$G$3617,$E106,HH_FCSP!$F$18:$F$3617,"white")</f>
        <v>0</v>
      </c>
    </row>
    <row r="107">
      <c r="A107" s="38" t="s">
        <v>224</v>
      </c>
      <c r="B107" s="38">
        <v>3.0</v>
      </c>
      <c r="C107" s="38">
        <v>3.0</v>
      </c>
      <c r="D107" s="38">
        <v>0.0</v>
      </c>
      <c r="E107" s="38" t="str">
        <f>IFERROR(__xludf.DUMMYFUNCTION("""COMPUTED_VALUE"""),"HabakukTibatong")</f>
        <v>HabakukTibatong</v>
      </c>
      <c r="F107" s="38">
        <f t="shared" si="1"/>
        <v>10</v>
      </c>
      <c r="G107" s="38">
        <f>COUNTIFS(HH_FCSP!$G$18:$G$3617,$E107,HH_FCSP!$F$18:$F$3617,"catapult/crossbow")</f>
        <v>9</v>
      </c>
      <c r="H107" s="38">
        <f>COUNTIFS(HH_FCSP!$G$18:$G$3617,$E107,HH_FCSP!$F$18:$F$3617,"white")</f>
        <v>1</v>
      </c>
    </row>
    <row r="108">
      <c r="A108" s="38" t="s">
        <v>212</v>
      </c>
      <c r="B108" s="38">
        <v>3.0</v>
      </c>
      <c r="C108" s="38">
        <v>3.0</v>
      </c>
      <c r="D108" s="38">
        <v>0.0</v>
      </c>
      <c r="E108" s="38" t="str">
        <f>IFERROR(__xludf.DUMMYFUNCTION("""COMPUTED_VALUE"""),"habu")</f>
        <v>habu</v>
      </c>
      <c r="F108" s="38">
        <f t="shared" si="1"/>
        <v>3</v>
      </c>
      <c r="G108" s="38">
        <f>COUNTIFS(HH_FCSP!$G$18:$G$3617,$E108,HH_FCSP!$F$18:$F$3617,"catapult/crossbow")</f>
        <v>3</v>
      </c>
      <c r="H108" s="38">
        <f>COUNTIFS(HH_FCSP!$G$18:$G$3617,$E108,HH_FCSP!$F$18:$F$3617,"white")</f>
        <v>0</v>
      </c>
    </row>
    <row r="109">
      <c r="A109" s="38" t="s">
        <v>1117</v>
      </c>
      <c r="B109" s="38">
        <v>3.0</v>
      </c>
      <c r="C109" s="38">
        <v>3.0</v>
      </c>
      <c r="D109" s="38">
        <v>0.0</v>
      </c>
      <c r="E109" s="38" t="str">
        <f>IFERROR(__xludf.DUMMYFUNCTION("""COMPUTED_VALUE"""),"halizwein")</f>
        <v>halizwein</v>
      </c>
      <c r="F109" s="38">
        <f t="shared" si="1"/>
        <v>1</v>
      </c>
      <c r="G109" s="38">
        <f>COUNTIFS(HH_FCSP!$G$18:$G$3617,$E109,HH_FCSP!$F$18:$F$3617,"catapult/crossbow")</f>
        <v>1</v>
      </c>
      <c r="H109" s="38">
        <f>COUNTIFS(HH_FCSP!$G$18:$G$3617,$E109,HH_FCSP!$F$18:$F$3617,"white")</f>
        <v>0</v>
      </c>
    </row>
    <row r="110">
      <c r="A110" s="38" t="s">
        <v>182</v>
      </c>
      <c r="B110" s="38">
        <v>3.0</v>
      </c>
      <c r="C110" s="38">
        <v>3.0</v>
      </c>
      <c r="D110" s="38">
        <v>0.0</v>
      </c>
      <c r="E110" s="38" t="str">
        <f>IFERROR(__xludf.DUMMYFUNCTION("""COMPUTED_VALUE"""),"Hansa65")</f>
        <v>Hansa65</v>
      </c>
      <c r="F110" s="38">
        <f t="shared" si="1"/>
        <v>2</v>
      </c>
      <c r="G110" s="38">
        <f>COUNTIFS(HH_FCSP!$G$18:$G$3617,$E110,HH_FCSP!$F$18:$F$3617,"catapult/crossbow")</f>
        <v>1</v>
      </c>
      <c r="H110" s="38">
        <f>COUNTIFS(HH_FCSP!$G$18:$G$3617,$E110,HH_FCSP!$F$18:$F$3617,"white")</f>
        <v>1</v>
      </c>
    </row>
    <row r="111">
      <c r="A111" s="38" t="s">
        <v>307</v>
      </c>
      <c r="B111" s="38">
        <v>3.0</v>
      </c>
      <c r="C111" s="38">
        <v>3.0</v>
      </c>
      <c r="D111" s="38">
        <v>0.0</v>
      </c>
      <c r="E111" s="38" t="str">
        <f>IFERROR(__xludf.DUMMYFUNCTION("""COMPUTED_VALUE"""),"HansaRostock")</f>
        <v>HansaRostock</v>
      </c>
      <c r="F111" s="38">
        <f t="shared" si="1"/>
        <v>4</v>
      </c>
      <c r="G111" s="38">
        <f>COUNTIFS(HH_FCSP!$G$18:$G$3617,$E111,HH_FCSP!$F$18:$F$3617,"catapult/crossbow")</f>
        <v>3</v>
      </c>
      <c r="H111" s="38">
        <f>COUNTIFS(HH_FCSP!$G$18:$G$3617,$E111,HH_FCSP!$F$18:$F$3617,"white")</f>
        <v>1</v>
      </c>
    </row>
    <row r="112">
      <c r="A112" s="38" t="s">
        <v>285</v>
      </c>
      <c r="B112" s="38">
        <v>3.0</v>
      </c>
      <c r="C112" s="38">
        <v>3.0</v>
      </c>
      <c r="D112" s="38">
        <v>0.0</v>
      </c>
      <c r="E112" s="38" t="str">
        <f>IFERROR(__xludf.DUMMYFUNCTION("""COMPUTED_VALUE"""),"HansaRostockFans")</f>
        <v>HansaRostockFans</v>
      </c>
      <c r="F112" s="38">
        <f t="shared" si="1"/>
        <v>4</v>
      </c>
      <c r="G112" s="38">
        <f>COUNTIFS(HH_FCSP!$G$18:$G$3617,$E112,HH_FCSP!$F$18:$F$3617,"catapult/crossbow")</f>
        <v>2</v>
      </c>
      <c r="H112" s="38">
        <f>COUNTIFS(HH_FCSP!$G$18:$G$3617,$E112,HH_FCSP!$F$18:$F$3617,"white")</f>
        <v>2</v>
      </c>
    </row>
    <row r="113">
      <c r="A113" s="38" t="s">
        <v>280</v>
      </c>
      <c r="B113" s="38">
        <v>3.0</v>
      </c>
      <c r="C113" s="38">
        <v>3.0</v>
      </c>
      <c r="D113" s="38">
        <v>0.0</v>
      </c>
      <c r="E113" s="38" t="str">
        <f>IFERROR(__xludf.DUMMYFUNCTION("""COMPUTED_VALUE"""),"Heathcote07")</f>
        <v>Heathcote07</v>
      </c>
      <c r="F113" s="38">
        <f t="shared" si="1"/>
        <v>2</v>
      </c>
      <c r="G113" s="38">
        <f>COUNTIFS(HH_FCSP!$G$18:$G$3617,$E113,HH_FCSP!$F$18:$F$3617,"catapult/crossbow")</f>
        <v>2</v>
      </c>
      <c r="H113" s="38">
        <f>COUNTIFS(HH_FCSP!$G$18:$G$3617,$E113,HH_FCSP!$F$18:$F$3617,"white")</f>
        <v>0</v>
      </c>
    </row>
    <row r="114">
      <c r="A114" s="38" t="s">
        <v>248</v>
      </c>
      <c r="B114" s="38">
        <v>3.0</v>
      </c>
      <c r="C114" s="38">
        <v>3.0</v>
      </c>
      <c r="D114" s="38">
        <v>0.0</v>
      </c>
      <c r="E114" s="38" t="str">
        <f>IFERROR(__xludf.DUMMYFUNCTION("""COMPUTED_VALUE"""),"heinbloed")</f>
        <v>heinbloed</v>
      </c>
      <c r="F114" s="38">
        <f t="shared" si="1"/>
        <v>9</v>
      </c>
      <c r="G114" s="38">
        <f>COUNTIFS(HH_FCSP!$G$18:$G$3617,$E114,HH_FCSP!$F$18:$F$3617,"catapult/crossbow")</f>
        <v>7</v>
      </c>
      <c r="H114" s="38">
        <f>COUNTIFS(HH_FCSP!$G$18:$G$3617,$E114,HH_FCSP!$F$18:$F$3617,"white")</f>
        <v>2</v>
      </c>
    </row>
    <row r="115">
      <c r="A115" s="38" t="s">
        <v>631</v>
      </c>
      <c r="B115" s="38">
        <v>3.0</v>
      </c>
      <c r="C115" s="38">
        <v>3.0</v>
      </c>
      <c r="D115" s="38">
        <v>0.0</v>
      </c>
      <c r="E115" s="38" t="str">
        <f>IFERROR(__xludf.DUMMYFUNCTION("""COMPUTED_VALUE"""),"Herbie")</f>
        <v>Herbie</v>
      </c>
      <c r="F115" s="38">
        <f t="shared" si="1"/>
        <v>6</v>
      </c>
      <c r="G115" s="38">
        <f>COUNTIFS(HH_FCSP!$G$18:$G$3617,$E115,HH_FCSP!$F$18:$F$3617,"catapult/crossbow")</f>
        <v>2</v>
      </c>
      <c r="H115" s="38">
        <f>COUNTIFS(HH_FCSP!$G$18:$G$3617,$E115,HH_FCSP!$F$18:$F$3617,"white")</f>
        <v>4</v>
      </c>
    </row>
    <row r="116">
      <c r="A116" s="38" t="s">
        <v>192</v>
      </c>
      <c r="B116" s="38">
        <v>3.0</v>
      </c>
      <c r="C116" s="38">
        <v>3.0</v>
      </c>
      <c r="D116" s="38">
        <v>0.0</v>
      </c>
      <c r="E116" s="38" t="str">
        <f>IFERROR(__xludf.DUMMYFUNCTION("""COMPUTED_VALUE"""),"Hogglespike")</f>
        <v>Hogglespike</v>
      </c>
      <c r="F116" s="38">
        <f t="shared" si="1"/>
        <v>1</v>
      </c>
      <c r="G116" s="38">
        <f>COUNTIFS(HH_FCSP!$G$18:$G$3617,$E116,HH_FCSP!$F$18:$F$3617,"catapult/crossbow")</f>
        <v>1</v>
      </c>
      <c r="H116" s="38">
        <f>COUNTIFS(HH_FCSP!$G$18:$G$3617,$E116,HH_FCSP!$F$18:$F$3617,"white")</f>
        <v>0</v>
      </c>
    </row>
    <row r="117">
      <c r="A117" s="38" t="s">
        <v>281</v>
      </c>
      <c r="B117" s="38">
        <v>3.0</v>
      </c>
      <c r="C117" s="38">
        <v>3.0</v>
      </c>
      <c r="D117" s="38">
        <v>0.0</v>
      </c>
      <c r="E117" s="38" t="str">
        <f>IFERROR(__xludf.DUMMYFUNCTION("""COMPUTED_VALUE"""),"HtV")</f>
        <v>HtV</v>
      </c>
      <c r="F117" s="38">
        <f t="shared" si="1"/>
        <v>10</v>
      </c>
      <c r="G117" s="38">
        <f>COUNTIFS(HH_FCSP!$G$18:$G$3617,$E117,HH_FCSP!$F$18:$F$3617,"catapult/crossbow")</f>
        <v>5</v>
      </c>
      <c r="H117" s="38">
        <f>COUNTIFS(HH_FCSP!$G$18:$G$3617,$E117,HH_FCSP!$F$18:$F$3617,"white")</f>
        <v>5</v>
      </c>
    </row>
    <row r="118">
      <c r="A118" s="38" t="s">
        <v>361</v>
      </c>
      <c r="B118" s="38">
        <v>3.0</v>
      </c>
      <c r="C118" s="38">
        <v>3.0</v>
      </c>
      <c r="D118" s="38">
        <v>0.0</v>
      </c>
      <c r="E118" s="38" t="str">
        <f>IFERROR(__xludf.DUMMYFUNCTION("""COMPUTED_VALUE"""),"hulapalu")</f>
        <v>hulapalu</v>
      </c>
      <c r="F118" s="38">
        <f t="shared" si="1"/>
        <v>4</v>
      </c>
      <c r="G118" s="38">
        <f>COUNTIFS(HH_FCSP!$G$18:$G$3617,$E118,HH_FCSP!$F$18:$F$3617,"catapult/crossbow")</f>
        <v>4</v>
      </c>
      <c r="H118" s="38">
        <f>COUNTIFS(HH_FCSP!$G$18:$G$3617,$E118,HH_FCSP!$F$18:$F$3617,"white")</f>
        <v>0</v>
      </c>
    </row>
    <row r="119">
      <c r="A119" s="38" t="s">
        <v>643</v>
      </c>
      <c r="B119" s="38">
        <v>3.0</v>
      </c>
      <c r="C119" s="38">
        <v>3.0</v>
      </c>
      <c r="D119" s="38">
        <v>0.0</v>
      </c>
      <c r="E119" s="38" t="str">
        <f>IFERROR(__xludf.DUMMYFUNCTION("""COMPUTED_VALUE"""),"humbird7")</f>
        <v>humbird7</v>
      </c>
      <c r="F119" s="38">
        <f t="shared" si="1"/>
        <v>5</v>
      </c>
      <c r="G119" s="38">
        <f>COUNTIFS(HH_FCSP!$G$18:$G$3617,$E119,HH_FCSP!$F$18:$F$3617,"catapult/crossbow")</f>
        <v>5</v>
      </c>
      <c r="H119" s="38">
        <f>COUNTIFS(HH_FCSP!$G$18:$G$3617,$E119,HH_FCSP!$F$18:$F$3617,"white")</f>
        <v>0</v>
      </c>
    </row>
    <row r="120">
      <c r="A120" s="38" t="s">
        <v>251</v>
      </c>
      <c r="B120" s="38">
        <v>3.0</v>
      </c>
      <c r="C120" s="38">
        <v>3.0</v>
      </c>
      <c r="D120" s="38">
        <v>0.0</v>
      </c>
      <c r="E120" s="38" t="str">
        <f>IFERROR(__xludf.DUMMYFUNCTION("""COMPUTED_VALUE"""),"Hummechen")</f>
        <v>Hummechen</v>
      </c>
      <c r="F120" s="38">
        <f t="shared" si="1"/>
        <v>1</v>
      </c>
      <c r="G120" s="38">
        <f>COUNTIFS(HH_FCSP!$G$18:$G$3617,$E120,HH_FCSP!$F$18:$F$3617,"catapult/crossbow")</f>
        <v>1</v>
      </c>
      <c r="H120" s="38">
        <f>COUNTIFS(HH_FCSP!$G$18:$G$3617,$E120,HH_FCSP!$F$18:$F$3617,"white")</f>
        <v>0</v>
      </c>
    </row>
    <row r="121">
      <c r="A121" s="38" t="s">
        <v>306</v>
      </c>
      <c r="B121" s="38">
        <v>3.0</v>
      </c>
      <c r="C121" s="38">
        <v>3.0</v>
      </c>
      <c r="D121" s="38">
        <v>0.0</v>
      </c>
      <c r="E121" s="38" t="str">
        <f>IFERROR(__xludf.DUMMYFUNCTION("""COMPUTED_VALUE"""),"hunniees")</f>
        <v>hunniees</v>
      </c>
      <c r="F121" s="38">
        <f t="shared" si="1"/>
        <v>1</v>
      </c>
      <c r="G121" s="38">
        <f>COUNTIFS(HH_FCSP!$G$18:$G$3617,$E121,HH_FCSP!$F$18:$F$3617,"catapult/crossbow")</f>
        <v>0</v>
      </c>
      <c r="H121" s="38">
        <f>COUNTIFS(HH_FCSP!$G$18:$G$3617,$E121,HH_FCSP!$F$18:$F$3617,"white")</f>
        <v>1</v>
      </c>
    </row>
    <row r="122">
      <c r="A122" s="38" t="s">
        <v>246</v>
      </c>
      <c r="B122" s="38">
        <v>3.0</v>
      </c>
      <c r="C122" s="38">
        <v>2.0</v>
      </c>
      <c r="D122" s="38">
        <v>1.0</v>
      </c>
      <c r="E122" s="38" t="str">
        <f>IFERROR(__xludf.DUMMYFUNCTION("""COMPUTED_VALUE"""),"hz")</f>
        <v>hz</v>
      </c>
      <c r="F122" s="38">
        <f t="shared" si="1"/>
        <v>4</v>
      </c>
      <c r="G122" s="38">
        <f>COUNTIFS(HH_FCSP!$G$18:$G$3617,$E122,HH_FCSP!$F$18:$F$3617,"catapult/crossbow")</f>
        <v>4</v>
      </c>
      <c r="H122" s="38">
        <f>COUNTIFS(HH_FCSP!$G$18:$G$3617,$E122,HH_FCSP!$F$18:$F$3617,"white")</f>
        <v>0</v>
      </c>
    </row>
    <row r="123">
      <c r="A123" s="38" t="s">
        <v>88</v>
      </c>
      <c r="B123" s="38">
        <v>3.0</v>
      </c>
      <c r="C123" s="38">
        <v>2.0</v>
      </c>
      <c r="D123" s="38">
        <v>1.0</v>
      </c>
      <c r="E123" s="38" t="str">
        <f>IFERROR(__xludf.DUMMYFUNCTION("""COMPUTED_VALUE"""),"IanZ")</f>
        <v>IanZ</v>
      </c>
      <c r="F123" s="38">
        <f t="shared" si="1"/>
        <v>1</v>
      </c>
      <c r="G123" s="38">
        <f>COUNTIFS(HH_FCSP!$G$18:$G$3617,$E123,HH_FCSP!$F$18:$F$3617,"catapult/crossbow")</f>
        <v>1</v>
      </c>
      <c r="H123" s="38">
        <f>COUNTIFS(HH_FCSP!$G$18:$G$3617,$E123,HH_FCSP!$F$18:$F$3617,"white")</f>
        <v>0</v>
      </c>
    </row>
    <row r="124">
      <c r="A124" s="38" t="s">
        <v>29</v>
      </c>
      <c r="B124" s="38">
        <v>3.0</v>
      </c>
      <c r="C124" s="38">
        <v>1.0</v>
      </c>
      <c r="D124" s="38">
        <v>2.0</v>
      </c>
      <c r="E124" s="38" t="str">
        <f>IFERROR(__xludf.DUMMYFUNCTION("""COMPUTED_VALUE"""),"ibike4m")</f>
        <v>ibike4m</v>
      </c>
      <c r="F124" s="38">
        <f t="shared" si="1"/>
        <v>1</v>
      </c>
      <c r="G124" s="38">
        <f>COUNTIFS(HH_FCSP!$G$18:$G$3617,$E124,HH_FCSP!$F$18:$F$3617,"catapult/crossbow")</f>
        <v>1</v>
      </c>
      <c r="H124" s="38">
        <f>COUNTIFS(HH_FCSP!$G$18:$G$3617,$E124,HH_FCSP!$F$18:$F$3617,"white")</f>
        <v>0</v>
      </c>
    </row>
    <row r="125">
      <c r="A125" s="38" t="s">
        <v>42</v>
      </c>
      <c r="B125" s="38">
        <v>3.0</v>
      </c>
      <c r="C125" s="38">
        <v>1.0</v>
      </c>
      <c r="D125" s="38">
        <v>2.0</v>
      </c>
      <c r="E125" s="38" t="str">
        <f>IFERROR(__xludf.DUMMYFUNCTION("""COMPUTED_VALUE"""),"ichbinderneue")</f>
        <v>ichbinderneue</v>
      </c>
      <c r="F125" s="38">
        <f t="shared" si="1"/>
        <v>10</v>
      </c>
      <c r="G125" s="38">
        <f>COUNTIFS(HH_FCSP!$G$18:$G$3617,$E125,HH_FCSP!$F$18:$F$3617,"catapult/crossbow")</f>
        <v>10</v>
      </c>
      <c r="H125" s="38">
        <f>COUNTIFS(HH_FCSP!$G$18:$G$3617,$E125,HH_FCSP!$F$18:$F$3617,"white")</f>
        <v>0</v>
      </c>
    </row>
    <row r="126">
      <c r="A126" s="38" t="s">
        <v>41</v>
      </c>
      <c r="B126" s="38">
        <v>3.0</v>
      </c>
      <c r="C126" s="38">
        <v>0.0</v>
      </c>
      <c r="D126" s="38">
        <v>3.0</v>
      </c>
      <c r="E126" s="38" t="str">
        <f>IFERROR(__xludf.DUMMYFUNCTION("""COMPUTED_VALUE"""),"IggiePiggie")</f>
        <v>IggiePiggie</v>
      </c>
      <c r="F126" s="38">
        <f t="shared" si="1"/>
        <v>4</v>
      </c>
      <c r="G126" s="38">
        <f>COUNTIFS(HH_FCSP!$G$18:$G$3617,$E126,HH_FCSP!$F$18:$F$3617,"catapult/crossbow")</f>
        <v>3</v>
      </c>
      <c r="H126" s="38">
        <f>COUNTIFS(HH_FCSP!$G$18:$G$3617,$E126,HH_FCSP!$F$18:$F$3617,"white")</f>
        <v>1</v>
      </c>
    </row>
    <row r="127">
      <c r="A127" s="38" t="s">
        <v>79</v>
      </c>
      <c r="B127" s="38">
        <v>3.0</v>
      </c>
      <c r="C127" s="38">
        <v>0.0</v>
      </c>
      <c r="D127" s="38">
        <v>3.0</v>
      </c>
      <c r="E127" s="38" t="str">
        <f>IFERROR(__xludf.DUMMYFUNCTION("""COMPUTED_VALUE"""),"InaausWien")</f>
        <v>InaausWien</v>
      </c>
      <c r="F127" s="38">
        <f t="shared" si="1"/>
        <v>3</v>
      </c>
      <c r="G127" s="38">
        <f>COUNTIFS(HH_FCSP!$G$18:$G$3617,$E127,HH_FCSP!$F$18:$F$3617,"catapult/crossbow")</f>
        <v>1</v>
      </c>
      <c r="H127" s="38">
        <f>COUNTIFS(HH_FCSP!$G$18:$G$3617,$E127,HH_FCSP!$F$18:$F$3617,"white")</f>
        <v>2</v>
      </c>
    </row>
    <row r="128">
      <c r="A128" s="38" t="s">
        <v>298</v>
      </c>
      <c r="B128" s="38">
        <v>3.0</v>
      </c>
      <c r="C128" s="38">
        <v>0.0</v>
      </c>
      <c r="D128" s="38">
        <v>3.0</v>
      </c>
      <c r="E128" s="38" t="str">
        <f>IFERROR(__xludf.DUMMYFUNCTION("""COMPUTED_VALUE"""),"Inspector1")</f>
        <v>Inspector1</v>
      </c>
      <c r="F128" s="38">
        <f t="shared" si="1"/>
        <v>4</v>
      </c>
      <c r="G128" s="38">
        <f>COUNTIFS(HH_FCSP!$G$18:$G$3617,$E128,HH_FCSP!$F$18:$F$3617,"catapult/crossbow")</f>
        <v>0</v>
      </c>
      <c r="H128" s="38">
        <f>COUNTIFS(HH_FCSP!$G$18:$G$3617,$E128,HH_FCSP!$F$18:$F$3617,"white")</f>
        <v>4</v>
      </c>
    </row>
    <row r="129">
      <c r="A129" s="38" t="s">
        <v>366</v>
      </c>
      <c r="B129" s="38">
        <v>2.0</v>
      </c>
      <c r="C129" s="38">
        <v>2.0</v>
      </c>
      <c r="D129" s="38">
        <v>0.0</v>
      </c>
      <c r="E129" s="38" t="str">
        <f>IFERROR(__xludf.DUMMYFUNCTION("""COMPUTED_VALUE"""),"iScreamBIue")</f>
        <v>iScreamBIue</v>
      </c>
      <c r="F129" s="38">
        <f t="shared" si="1"/>
        <v>1</v>
      </c>
      <c r="G129" s="38">
        <f>COUNTIFS(HH_FCSP!$G$18:$G$3617,$E129,HH_FCSP!$F$18:$F$3617,"catapult/crossbow")</f>
        <v>1</v>
      </c>
      <c r="H129" s="38">
        <f>COUNTIFS(HH_FCSP!$G$18:$G$3617,$E129,HH_FCSP!$F$18:$F$3617,"white")</f>
        <v>0</v>
      </c>
    </row>
    <row r="130">
      <c r="A130" s="38" t="s">
        <v>626</v>
      </c>
      <c r="B130" s="38">
        <v>2.0</v>
      </c>
      <c r="C130" s="38">
        <v>2.0</v>
      </c>
      <c r="D130" s="38">
        <v>0.0</v>
      </c>
      <c r="E130" s="38" t="str">
        <f>IFERROR(__xludf.DUMMYFUNCTION("""COMPUTED_VALUE"""),"ivwarrior")</f>
        <v>ivwarrior</v>
      </c>
      <c r="F130" s="38">
        <f t="shared" si="1"/>
        <v>6</v>
      </c>
      <c r="G130" s="38">
        <f>COUNTIFS(HH_FCSP!$G$18:$G$3617,$E130,HH_FCSP!$F$18:$F$3617,"catapult/crossbow")</f>
        <v>6</v>
      </c>
      <c r="H130" s="38">
        <f>COUNTIFS(HH_FCSP!$G$18:$G$3617,$E130,HH_FCSP!$F$18:$F$3617,"white")</f>
        <v>0</v>
      </c>
    </row>
    <row r="131">
      <c r="A131" s="38" t="s">
        <v>250</v>
      </c>
      <c r="B131" s="38">
        <v>2.0</v>
      </c>
      <c r="C131" s="38">
        <v>2.0</v>
      </c>
      <c r="D131" s="38">
        <v>0.0</v>
      </c>
      <c r="E131" s="38" t="str">
        <f>IFERROR(__xludf.DUMMYFUNCTION("""COMPUTED_VALUE"""),"JackSparrow")</f>
        <v>JackSparrow</v>
      </c>
      <c r="F131" s="38">
        <f t="shared" si="1"/>
        <v>2</v>
      </c>
      <c r="G131" s="38">
        <f>COUNTIFS(HH_FCSP!$G$18:$G$3617,$E131,HH_FCSP!$F$18:$F$3617,"catapult/crossbow")</f>
        <v>1</v>
      </c>
      <c r="H131" s="38">
        <f>COUNTIFS(HH_FCSP!$G$18:$G$3617,$E131,HH_FCSP!$F$18:$F$3617,"white")</f>
        <v>1</v>
      </c>
    </row>
    <row r="132">
      <c r="A132" s="38" t="s">
        <v>902</v>
      </c>
      <c r="B132" s="38">
        <v>2.0</v>
      </c>
      <c r="C132" s="38">
        <v>2.0</v>
      </c>
      <c r="D132" s="38">
        <v>0.0</v>
      </c>
      <c r="E132" s="38" t="str">
        <f>IFERROR(__xludf.DUMMYFUNCTION("""COMPUTED_VALUE"""),"Jafo43")</f>
        <v>Jafo43</v>
      </c>
      <c r="F132" s="38">
        <f t="shared" si="1"/>
        <v>4</v>
      </c>
      <c r="G132" s="38">
        <f>COUNTIFS(HH_FCSP!$G$18:$G$3617,$E132,HH_FCSP!$F$18:$F$3617,"catapult/crossbow")</f>
        <v>4</v>
      </c>
      <c r="H132" s="38">
        <f>COUNTIFS(HH_FCSP!$G$18:$G$3617,$E132,HH_FCSP!$F$18:$F$3617,"white")</f>
        <v>0</v>
      </c>
    </row>
    <row r="133">
      <c r="A133" s="38" t="s">
        <v>405</v>
      </c>
      <c r="B133" s="38">
        <v>2.0</v>
      </c>
      <c r="C133" s="38">
        <v>2.0</v>
      </c>
      <c r="D133" s="38">
        <v>0.0</v>
      </c>
      <c r="E133" s="38" t="str">
        <f>IFERROR(__xludf.DUMMYFUNCTION("""COMPUTED_VALUE"""),"janzattic")</f>
        <v>janzattic</v>
      </c>
      <c r="F133" s="38">
        <f t="shared" si="1"/>
        <v>2</v>
      </c>
      <c r="G133" s="38">
        <f>COUNTIFS(HH_FCSP!$G$18:$G$3617,$E133,HH_FCSP!$F$18:$F$3617,"catapult/crossbow")</f>
        <v>2</v>
      </c>
      <c r="H133" s="38">
        <f>COUNTIFS(HH_FCSP!$G$18:$G$3617,$E133,HH_FCSP!$F$18:$F$3617,"white")</f>
        <v>0</v>
      </c>
    </row>
    <row r="134">
      <c r="A134" s="38" t="s">
        <v>1056</v>
      </c>
      <c r="B134" s="38">
        <v>2.0</v>
      </c>
      <c r="C134" s="38">
        <v>2.0</v>
      </c>
      <c r="D134" s="38">
        <v>0.0</v>
      </c>
      <c r="E134" s="38" t="str">
        <f>IFERROR(__xludf.DUMMYFUNCTION("""COMPUTED_VALUE"""),"JaroslavKaas")</f>
        <v>JaroslavKaas</v>
      </c>
      <c r="F134" s="38">
        <f t="shared" si="1"/>
        <v>1</v>
      </c>
      <c r="G134" s="38">
        <f>COUNTIFS(HH_FCSP!$G$18:$G$3617,$E134,HH_FCSP!$F$18:$F$3617,"catapult/crossbow")</f>
        <v>1</v>
      </c>
      <c r="H134" s="38">
        <f>COUNTIFS(HH_FCSP!$G$18:$G$3617,$E134,HH_FCSP!$F$18:$F$3617,"white")</f>
        <v>0</v>
      </c>
    </row>
    <row r="135">
      <c r="A135" s="38" t="s">
        <v>180</v>
      </c>
      <c r="B135" s="38">
        <v>2.0</v>
      </c>
      <c r="C135" s="38">
        <v>2.0</v>
      </c>
      <c r="D135" s="38">
        <v>0.0</v>
      </c>
      <c r="E135" s="38" t="str">
        <f>IFERROR(__xludf.DUMMYFUNCTION("""COMPUTED_VALUE"""),"jinta29")</f>
        <v>jinta29</v>
      </c>
      <c r="F135" s="38">
        <f t="shared" si="1"/>
        <v>2</v>
      </c>
      <c r="G135" s="38">
        <f>COUNTIFS(HH_FCSP!$G$18:$G$3617,$E135,HH_FCSP!$F$18:$F$3617,"catapult/crossbow")</f>
        <v>2</v>
      </c>
      <c r="H135" s="38">
        <f>COUNTIFS(HH_FCSP!$G$18:$G$3617,$E135,HH_FCSP!$F$18:$F$3617,"white")</f>
        <v>0</v>
      </c>
    </row>
    <row r="136">
      <c r="A136" s="38" t="s">
        <v>313</v>
      </c>
      <c r="B136" s="38">
        <v>2.0</v>
      </c>
      <c r="C136" s="38">
        <v>2.0</v>
      </c>
      <c r="D136" s="38">
        <v>0.0</v>
      </c>
      <c r="E136" s="38" t="str">
        <f>IFERROR(__xludf.DUMMYFUNCTION("""COMPUTED_VALUE"""),"jldh")</f>
        <v>jldh</v>
      </c>
      <c r="F136" s="38">
        <f t="shared" si="1"/>
        <v>1</v>
      </c>
      <c r="G136" s="38">
        <f>COUNTIFS(HH_FCSP!$G$18:$G$3617,$E136,HH_FCSP!$F$18:$F$3617,"catapult/crossbow")</f>
        <v>1</v>
      </c>
      <c r="H136" s="38">
        <f>COUNTIFS(HH_FCSP!$G$18:$G$3617,$E136,HH_FCSP!$F$18:$F$3617,"white")</f>
        <v>0</v>
      </c>
    </row>
    <row r="137">
      <c r="A137" s="38" t="s">
        <v>309</v>
      </c>
      <c r="B137" s="38">
        <v>2.0</v>
      </c>
      <c r="C137" s="38">
        <v>2.0</v>
      </c>
      <c r="D137" s="38">
        <v>0.0</v>
      </c>
      <c r="E137" s="38" t="str">
        <f>IFERROR(__xludf.DUMMYFUNCTION("""COMPUTED_VALUE"""),"jokerFG")</f>
        <v>jokerFG</v>
      </c>
      <c r="F137" s="38">
        <f t="shared" si="1"/>
        <v>10</v>
      </c>
      <c r="G137" s="38">
        <f>COUNTIFS(HH_FCSP!$G$18:$G$3617,$E137,HH_FCSP!$F$18:$F$3617,"catapult/crossbow")</f>
        <v>10</v>
      </c>
      <c r="H137" s="38">
        <f>COUNTIFS(HH_FCSP!$G$18:$G$3617,$E137,HH_FCSP!$F$18:$F$3617,"white")</f>
        <v>0</v>
      </c>
    </row>
    <row r="138">
      <c r="A138" s="38" t="s">
        <v>173</v>
      </c>
      <c r="B138" s="38">
        <v>2.0</v>
      </c>
      <c r="C138" s="38">
        <v>2.0</v>
      </c>
      <c r="D138" s="38">
        <v>0.0</v>
      </c>
      <c r="E138" s="38" t="str">
        <f>IFERROR(__xludf.DUMMYFUNCTION("""COMPUTED_VALUE"""),"Joroma80")</f>
        <v>Joroma80</v>
      </c>
      <c r="F138" s="38">
        <f t="shared" si="1"/>
        <v>1</v>
      </c>
      <c r="G138" s="38">
        <f>COUNTIFS(HH_FCSP!$G$18:$G$3617,$E138,HH_FCSP!$F$18:$F$3617,"catapult/crossbow")</f>
        <v>1</v>
      </c>
      <c r="H138" s="38">
        <f>COUNTIFS(HH_FCSP!$G$18:$G$3617,$E138,HH_FCSP!$F$18:$F$3617,"white")</f>
        <v>0</v>
      </c>
    </row>
    <row r="139">
      <c r="A139" s="38" t="s">
        <v>551</v>
      </c>
      <c r="B139" s="38">
        <v>2.0</v>
      </c>
      <c r="C139" s="38">
        <v>2.0</v>
      </c>
      <c r="D139" s="38">
        <v>0.0</v>
      </c>
      <c r="E139" s="38" t="str">
        <f>IFERROR(__xludf.DUMMYFUNCTION("""COMPUTED_VALUE"""),"JRdaBoss")</f>
        <v>JRdaBoss</v>
      </c>
      <c r="F139" s="38">
        <f t="shared" si="1"/>
        <v>10</v>
      </c>
      <c r="G139" s="38">
        <f>COUNTIFS(HH_FCSP!$G$18:$G$3617,$E139,HH_FCSP!$F$18:$F$3617,"catapult/crossbow")</f>
        <v>10</v>
      </c>
      <c r="H139" s="38">
        <f>COUNTIFS(HH_FCSP!$G$18:$G$3617,$E139,HH_FCSP!$F$18:$F$3617,"white")</f>
        <v>0</v>
      </c>
    </row>
    <row r="140">
      <c r="A140" s="38" t="s">
        <v>201</v>
      </c>
      <c r="B140" s="38">
        <v>2.0</v>
      </c>
      <c r="C140" s="38">
        <v>2.0</v>
      </c>
      <c r="D140" s="38">
        <v>0.0</v>
      </c>
      <c r="E140" s="38" t="str">
        <f>IFERROR(__xludf.DUMMYFUNCTION("""COMPUTED_VALUE"""),"KaraReke")</f>
        <v>KaraReke</v>
      </c>
      <c r="F140" s="38">
        <f t="shared" si="1"/>
        <v>4</v>
      </c>
      <c r="G140" s="38">
        <f>COUNTIFS(HH_FCSP!$G$18:$G$3617,$E140,HH_FCSP!$F$18:$F$3617,"catapult/crossbow")</f>
        <v>3</v>
      </c>
      <c r="H140" s="38">
        <f>COUNTIFS(HH_FCSP!$G$18:$G$3617,$E140,HH_FCSP!$F$18:$F$3617,"white")</f>
        <v>1</v>
      </c>
    </row>
    <row r="141">
      <c r="A141" s="38" t="s">
        <v>444</v>
      </c>
      <c r="B141" s="38">
        <v>2.0</v>
      </c>
      <c r="C141" s="38">
        <v>2.0</v>
      </c>
      <c r="D141" s="38">
        <v>0.0</v>
      </c>
      <c r="E141" s="38" t="str">
        <f>IFERROR(__xludf.DUMMYFUNCTION("""COMPUTED_VALUE"""),"kazzee")</f>
        <v>kazzee</v>
      </c>
      <c r="F141" s="38">
        <f t="shared" si="1"/>
        <v>1</v>
      </c>
      <c r="G141" s="38">
        <f>COUNTIFS(HH_FCSP!$G$18:$G$3617,$E141,HH_FCSP!$F$18:$F$3617,"catapult/crossbow")</f>
        <v>1</v>
      </c>
      <c r="H141" s="38">
        <f>COUNTIFS(HH_FCSP!$G$18:$G$3617,$E141,HH_FCSP!$F$18:$F$3617,"white")</f>
        <v>0</v>
      </c>
    </row>
    <row r="142">
      <c r="A142" s="38" t="s">
        <v>320</v>
      </c>
      <c r="B142" s="38">
        <v>2.0</v>
      </c>
      <c r="C142" s="38">
        <v>2.0</v>
      </c>
      <c r="D142" s="38">
        <v>0.0</v>
      </c>
      <c r="E142" s="38" t="str">
        <f>IFERROR(__xludf.DUMMYFUNCTION("""COMPUTED_VALUE"""),"KeddyKids")</f>
        <v>KeddyKids</v>
      </c>
      <c r="F142" s="38">
        <f t="shared" si="1"/>
        <v>1</v>
      </c>
      <c r="G142" s="38">
        <f>COUNTIFS(HH_FCSP!$G$18:$G$3617,$E142,HH_FCSP!$F$18:$F$3617,"catapult/crossbow")</f>
        <v>1</v>
      </c>
      <c r="H142" s="38">
        <f>COUNTIFS(HH_FCSP!$G$18:$G$3617,$E142,HH_FCSP!$F$18:$F$3617,"white")</f>
        <v>0</v>
      </c>
    </row>
    <row r="143">
      <c r="A143" s="38" t="s">
        <v>814</v>
      </c>
      <c r="B143" s="38">
        <v>2.0</v>
      </c>
      <c r="C143" s="38">
        <v>2.0</v>
      </c>
      <c r="D143" s="38">
        <v>0.0</v>
      </c>
      <c r="E143" s="38" t="str">
        <f>IFERROR(__xludf.DUMMYFUNCTION("""COMPUTED_VALUE"""),"Keni")</f>
        <v>Keni</v>
      </c>
      <c r="F143" s="38">
        <f t="shared" si="1"/>
        <v>3</v>
      </c>
      <c r="G143" s="38">
        <f>COUNTIFS(HH_FCSP!$G$18:$G$3617,$E143,HH_FCSP!$F$18:$F$3617,"catapult/crossbow")</f>
        <v>3</v>
      </c>
      <c r="H143" s="38">
        <f>COUNTIFS(HH_FCSP!$G$18:$G$3617,$E143,HH_FCSP!$F$18:$F$3617,"white")</f>
        <v>0</v>
      </c>
    </row>
    <row r="144">
      <c r="A144" s="38" t="s">
        <v>368</v>
      </c>
      <c r="B144" s="38">
        <v>2.0</v>
      </c>
      <c r="C144" s="38">
        <v>2.0</v>
      </c>
      <c r="D144" s="38">
        <v>0.0</v>
      </c>
      <c r="E144" s="38" t="str">
        <f>IFERROR(__xludf.DUMMYFUNCTION("""COMPUTED_VALUE"""),"Kiitokurre")</f>
        <v>Kiitokurre</v>
      </c>
      <c r="F144" s="38">
        <f t="shared" si="1"/>
        <v>1</v>
      </c>
      <c r="G144" s="38">
        <f>COUNTIFS(HH_FCSP!$G$18:$G$3617,$E144,HH_FCSP!$F$18:$F$3617,"catapult/crossbow")</f>
        <v>1</v>
      </c>
      <c r="H144" s="38">
        <f>COUNTIFS(HH_FCSP!$G$18:$G$3617,$E144,HH_FCSP!$F$18:$F$3617,"white")</f>
        <v>0</v>
      </c>
    </row>
    <row r="145">
      <c r="A145" s="38" t="s">
        <v>668</v>
      </c>
      <c r="B145" s="38">
        <v>2.0</v>
      </c>
      <c r="C145" s="38">
        <v>2.0</v>
      </c>
      <c r="D145" s="38">
        <v>0.0</v>
      </c>
      <c r="E145" s="38" t="str">
        <f>IFERROR(__xludf.DUMMYFUNCTION("""COMPUTED_VALUE"""),"kiwipanther")</f>
        <v>kiwipanther</v>
      </c>
      <c r="F145" s="38">
        <f t="shared" si="1"/>
        <v>2</v>
      </c>
      <c r="G145" s="38">
        <f>COUNTIFS(HH_FCSP!$G$18:$G$3617,$E145,HH_FCSP!$F$18:$F$3617,"catapult/crossbow")</f>
        <v>2</v>
      </c>
      <c r="H145" s="38">
        <f>COUNTIFS(HH_FCSP!$G$18:$G$3617,$E145,HH_FCSP!$F$18:$F$3617,"white")</f>
        <v>0</v>
      </c>
    </row>
    <row r="146">
      <c r="A146" s="38" t="s">
        <v>279</v>
      </c>
      <c r="B146" s="38">
        <v>2.0</v>
      </c>
      <c r="C146" s="38">
        <v>2.0</v>
      </c>
      <c r="D146" s="38">
        <v>0.0</v>
      </c>
      <c r="E146" s="38" t="str">
        <f>IFERROR(__xludf.DUMMYFUNCTION("""COMPUTED_VALUE"""),"kohalas")</f>
        <v>kohalas</v>
      </c>
      <c r="F146" s="38">
        <f t="shared" si="1"/>
        <v>2</v>
      </c>
      <c r="G146" s="38">
        <f>COUNTIFS(HH_FCSP!$G$18:$G$3617,$E146,HH_FCSP!$F$18:$F$3617,"catapult/crossbow")</f>
        <v>1</v>
      </c>
      <c r="H146" s="38">
        <f>COUNTIFS(HH_FCSP!$G$18:$G$3617,$E146,HH_FCSP!$F$18:$F$3617,"white")</f>
        <v>1</v>
      </c>
    </row>
    <row r="147">
      <c r="A147" s="38" t="s">
        <v>187</v>
      </c>
      <c r="B147" s="38">
        <v>2.0</v>
      </c>
      <c r="C147" s="38">
        <v>2.0</v>
      </c>
      <c r="D147" s="38">
        <v>0.0</v>
      </c>
      <c r="E147" s="38" t="str">
        <f>IFERROR(__xludf.DUMMYFUNCTION("""COMPUTED_VALUE"""),"Kumadog")</f>
        <v>Kumadog</v>
      </c>
      <c r="F147" s="38">
        <f t="shared" si="1"/>
        <v>3</v>
      </c>
      <c r="G147" s="38">
        <f>COUNTIFS(HH_FCSP!$G$18:$G$3617,$E147,HH_FCSP!$F$18:$F$3617,"catapult/crossbow")</f>
        <v>3</v>
      </c>
      <c r="H147" s="38">
        <f>COUNTIFS(HH_FCSP!$G$18:$G$3617,$E147,HH_FCSP!$F$18:$F$3617,"white")</f>
        <v>0</v>
      </c>
    </row>
    <row r="148">
      <c r="A148" s="38" t="s">
        <v>231</v>
      </c>
      <c r="B148" s="38">
        <v>2.0</v>
      </c>
      <c r="C148" s="38">
        <v>2.0</v>
      </c>
      <c r="D148" s="38">
        <v>0.0</v>
      </c>
      <c r="E148" s="38" t="str">
        <f>IFERROR(__xludf.DUMMYFUNCTION("""COMPUTED_VALUE"""),"kwd")</f>
        <v>kwd</v>
      </c>
      <c r="F148" s="38">
        <f t="shared" si="1"/>
        <v>40</v>
      </c>
      <c r="G148" s="38">
        <f>COUNTIFS(HH_FCSP!$G$18:$G$3617,$E148,HH_FCSP!$F$18:$F$3617,"catapult/crossbow")</f>
        <v>40</v>
      </c>
      <c r="H148" s="38">
        <f>COUNTIFS(HH_FCSP!$G$18:$G$3617,$E148,HH_FCSP!$F$18:$F$3617,"white")</f>
        <v>0</v>
      </c>
    </row>
    <row r="149">
      <c r="A149" s="38" t="s">
        <v>442</v>
      </c>
      <c r="B149" s="38">
        <v>2.0</v>
      </c>
      <c r="C149" s="38">
        <v>2.0</v>
      </c>
      <c r="D149" s="38">
        <v>0.0</v>
      </c>
      <c r="E149" s="38" t="str">
        <f>IFERROR(__xludf.DUMMYFUNCTION("""COMPUTED_VALUE"""),"Kyrandia")</f>
        <v>Kyrandia</v>
      </c>
      <c r="F149" s="38">
        <f t="shared" si="1"/>
        <v>1</v>
      </c>
      <c r="G149" s="38">
        <f>COUNTIFS(HH_FCSP!$G$18:$G$3617,$E149,HH_FCSP!$F$18:$F$3617,"catapult/crossbow")</f>
        <v>1</v>
      </c>
      <c r="H149" s="38">
        <f>COUNTIFS(HH_FCSP!$G$18:$G$3617,$E149,HH_FCSP!$F$18:$F$3617,"white")</f>
        <v>0</v>
      </c>
    </row>
    <row r="150">
      <c r="A150" s="38" t="s">
        <v>1027</v>
      </c>
      <c r="B150" s="38">
        <v>2.0</v>
      </c>
      <c r="C150" s="38">
        <v>2.0</v>
      </c>
      <c r="D150" s="38">
        <v>0.0</v>
      </c>
      <c r="E150" s="38" t="str">
        <f>IFERROR(__xludf.DUMMYFUNCTION("""COMPUTED_VALUE"""),"Ladyl89")</f>
        <v>Ladyl89</v>
      </c>
      <c r="F150" s="38">
        <f t="shared" si="1"/>
        <v>1</v>
      </c>
      <c r="G150" s="38">
        <f>COUNTIFS(HH_FCSP!$G$18:$G$3617,$E150,HH_FCSP!$F$18:$F$3617,"catapult/crossbow")</f>
        <v>1</v>
      </c>
      <c r="H150" s="38">
        <f>COUNTIFS(HH_FCSP!$G$18:$G$3617,$E150,HH_FCSP!$F$18:$F$3617,"white")</f>
        <v>0</v>
      </c>
    </row>
    <row r="151">
      <c r="A151" s="38" t="s">
        <v>209</v>
      </c>
      <c r="B151" s="38">
        <v>2.0</v>
      </c>
      <c r="C151" s="38">
        <v>2.0</v>
      </c>
      <c r="D151" s="38">
        <v>0.0</v>
      </c>
      <c r="E151" s="38" t="str">
        <f>IFERROR(__xludf.DUMMYFUNCTION("""COMPUTED_VALUE"""),"LailaBP")</f>
        <v>LailaBP</v>
      </c>
      <c r="F151" s="38">
        <f t="shared" si="1"/>
        <v>5</v>
      </c>
      <c r="G151" s="38">
        <f>COUNTIFS(HH_FCSP!$G$18:$G$3617,$E151,HH_FCSP!$F$18:$F$3617,"catapult/crossbow")</f>
        <v>3</v>
      </c>
      <c r="H151" s="38">
        <f>COUNTIFS(HH_FCSP!$G$18:$G$3617,$E151,HH_FCSP!$F$18:$F$3617,"white")</f>
        <v>2</v>
      </c>
    </row>
    <row r="152">
      <c r="A152" s="38" t="s">
        <v>827</v>
      </c>
      <c r="B152" s="38">
        <v>2.0</v>
      </c>
      <c r="C152" s="38">
        <v>2.0</v>
      </c>
      <c r="D152" s="38">
        <v>0.0</v>
      </c>
      <c r="E152" s="38" t="str">
        <f>IFERROR(__xludf.DUMMYFUNCTION("""COMPUTED_VALUE"""),"Lanyasummer")</f>
        <v>Lanyasummer</v>
      </c>
      <c r="F152" s="38">
        <f t="shared" si="1"/>
        <v>1</v>
      </c>
      <c r="G152" s="38">
        <f>COUNTIFS(HH_FCSP!$G$18:$G$3617,$E152,HH_FCSP!$F$18:$F$3617,"catapult/crossbow")</f>
        <v>0</v>
      </c>
      <c r="H152" s="38">
        <f>COUNTIFS(HH_FCSP!$G$18:$G$3617,$E152,HH_FCSP!$F$18:$F$3617,"white")</f>
        <v>1</v>
      </c>
    </row>
    <row r="153">
      <c r="A153" s="38" t="s">
        <v>318</v>
      </c>
      <c r="B153" s="38">
        <v>2.0</v>
      </c>
      <c r="C153" s="38">
        <v>2.0</v>
      </c>
      <c r="D153" s="38">
        <v>0.0</v>
      </c>
      <c r="E153" s="38" t="str">
        <f>IFERROR(__xludf.DUMMYFUNCTION("""COMPUTED_VALUE"""),"Lehmis")</f>
        <v>Lehmis</v>
      </c>
      <c r="F153" s="38">
        <f t="shared" si="1"/>
        <v>1</v>
      </c>
      <c r="G153" s="38">
        <f>COUNTIFS(HH_FCSP!$G$18:$G$3617,$E153,HH_FCSP!$F$18:$F$3617,"catapult/crossbow")</f>
        <v>1</v>
      </c>
      <c r="H153" s="38">
        <f>COUNTIFS(HH_FCSP!$G$18:$G$3617,$E153,HH_FCSP!$F$18:$F$3617,"white")</f>
        <v>0</v>
      </c>
    </row>
    <row r="154">
      <c r="A154" s="38" t="s">
        <v>360</v>
      </c>
      <c r="B154" s="38">
        <v>2.0</v>
      </c>
      <c r="C154" s="38">
        <v>2.0</v>
      </c>
      <c r="D154" s="38">
        <v>0.0</v>
      </c>
      <c r="E154" s="38" t="str">
        <f>IFERROR(__xludf.DUMMYFUNCTION("""COMPUTED_VALUE"""),"Lewini")</f>
        <v>Lewini</v>
      </c>
      <c r="F154" s="38">
        <f t="shared" si="1"/>
        <v>6</v>
      </c>
      <c r="G154" s="38">
        <f>COUNTIFS(HH_FCSP!$G$18:$G$3617,$E154,HH_FCSP!$F$18:$F$3617,"catapult/crossbow")</f>
        <v>4</v>
      </c>
      <c r="H154" s="38">
        <f>COUNTIFS(HH_FCSP!$G$18:$G$3617,$E154,HH_FCSP!$F$18:$F$3617,"white")</f>
        <v>2</v>
      </c>
    </row>
    <row r="155">
      <c r="A155" s="38" t="s">
        <v>258</v>
      </c>
      <c r="B155" s="38">
        <v>2.0</v>
      </c>
      <c r="C155" s="38">
        <v>2.0</v>
      </c>
      <c r="D155" s="38">
        <v>0.0</v>
      </c>
      <c r="E155" s="38" t="str">
        <f>IFERROR(__xludf.DUMMYFUNCTION("""COMPUTED_VALUE"""),"LilCrab")</f>
        <v>LilCrab</v>
      </c>
      <c r="F155" s="38">
        <f t="shared" si="1"/>
        <v>1</v>
      </c>
      <c r="G155" s="38">
        <f>COUNTIFS(HH_FCSP!$G$18:$G$3617,$E155,HH_FCSP!$F$18:$F$3617,"catapult/crossbow")</f>
        <v>1</v>
      </c>
      <c r="H155" s="38">
        <f>COUNTIFS(HH_FCSP!$G$18:$G$3617,$E155,HH_FCSP!$F$18:$F$3617,"white")</f>
        <v>0</v>
      </c>
    </row>
    <row r="156">
      <c r="A156" s="38" t="s">
        <v>252</v>
      </c>
      <c r="B156" s="38">
        <v>2.0</v>
      </c>
      <c r="C156" s="38">
        <v>2.0</v>
      </c>
      <c r="D156" s="38">
        <v>0.0</v>
      </c>
      <c r="E156" s="38" t="str">
        <f>IFERROR(__xludf.DUMMYFUNCTION("""COMPUTED_VALUE"""),"Loewenjaeger")</f>
        <v>Loewenjaeger</v>
      </c>
      <c r="F156" s="38">
        <f t="shared" si="1"/>
        <v>12</v>
      </c>
      <c r="G156" s="38">
        <f>COUNTIFS(HH_FCSP!$G$18:$G$3617,$E156,HH_FCSP!$F$18:$F$3617,"catapult/crossbow")</f>
        <v>12</v>
      </c>
      <c r="H156" s="38">
        <f>COUNTIFS(HH_FCSP!$G$18:$G$3617,$E156,HH_FCSP!$F$18:$F$3617,"white")</f>
        <v>0</v>
      </c>
    </row>
    <row r="157">
      <c r="A157" s="38" t="s">
        <v>384</v>
      </c>
      <c r="B157" s="38">
        <v>2.0</v>
      </c>
      <c r="C157" s="38">
        <v>2.0</v>
      </c>
      <c r="D157" s="38">
        <v>0.0</v>
      </c>
      <c r="E157" s="38" t="str">
        <f>IFERROR(__xludf.DUMMYFUNCTION("""COMPUTED_VALUE"""),"LVBuccsFan")</f>
        <v>LVBuccsFan</v>
      </c>
      <c r="F157" s="38">
        <f t="shared" si="1"/>
        <v>1</v>
      </c>
      <c r="G157" s="38">
        <f>COUNTIFS(HH_FCSP!$G$18:$G$3617,$E157,HH_FCSP!$F$18:$F$3617,"catapult/crossbow")</f>
        <v>1</v>
      </c>
      <c r="H157" s="38">
        <f>COUNTIFS(HH_FCSP!$G$18:$G$3617,$E157,HH_FCSP!$F$18:$F$3617,"white")</f>
        <v>0</v>
      </c>
    </row>
    <row r="158">
      <c r="A158" s="38" t="s">
        <v>1073</v>
      </c>
      <c r="B158" s="38">
        <v>2.0</v>
      </c>
      <c r="C158" s="38">
        <v>2.0</v>
      </c>
      <c r="D158" s="38">
        <v>0.0</v>
      </c>
      <c r="E158" s="38" t="str">
        <f>IFERROR(__xludf.DUMMYFUNCTION("""COMPUTED_VALUE"""),"Lyal")</f>
        <v>Lyal</v>
      </c>
      <c r="F158" s="38">
        <f t="shared" si="1"/>
        <v>4</v>
      </c>
      <c r="G158" s="38">
        <f>COUNTIFS(HH_FCSP!$G$18:$G$3617,$E158,HH_FCSP!$F$18:$F$3617,"catapult/crossbow")</f>
        <v>3</v>
      </c>
      <c r="H158" s="38">
        <f>COUNTIFS(HH_FCSP!$G$18:$G$3617,$E158,HH_FCSP!$F$18:$F$3617,"white")</f>
        <v>1</v>
      </c>
    </row>
    <row r="159">
      <c r="A159" s="38" t="s">
        <v>1079</v>
      </c>
      <c r="B159" s="38">
        <v>2.0</v>
      </c>
      <c r="C159" s="38">
        <v>2.0</v>
      </c>
      <c r="D159" s="38">
        <v>0.0</v>
      </c>
      <c r="E159" s="38" t="str">
        <f>IFERROR(__xludf.DUMMYFUNCTION("""COMPUTED_VALUE"""),"Majsan")</f>
        <v>Majsan</v>
      </c>
      <c r="F159" s="38">
        <f t="shared" si="1"/>
        <v>2</v>
      </c>
      <c r="G159" s="38">
        <f>COUNTIFS(HH_FCSP!$G$18:$G$3617,$E159,HH_FCSP!$F$18:$F$3617,"catapult/crossbow")</f>
        <v>2</v>
      </c>
      <c r="H159" s="38">
        <f>COUNTIFS(HH_FCSP!$G$18:$G$3617,$E159,HH_FCSP!$F$18:$F$3617,"white")</f>
        <v>0</v>
      </c>
    </row>
    <row r="160">
      <c r="A160" s="38" t="s">
        <v>225</v>
      </c>
      <c r="B160" s="38">
        <v>2.0</v>
      </c>
      <c r="C160" s="38">
        <v>2.0</v>
      </c>
      <c r="D160" s="38">
        <v>0.0</v>
      </c>
      <c r="E160" s="38" t="str">
        <f>IFERROR(__xludf.DUMMYFUNCTION("""COMPUTED_VALUE"""),"Malik44")</f>
        <v>Malik44</v>
      </c>
      <c r="F160" s="38">
        <f t="shared" si="1"/>
        <v>2</v>
      </c>
      <c r="G160" s="38">
        <f>COUNTIFS(HH_FCSP!$G$18:$G$3617,$E160,HH_FCSP!$F$18:$F$3617,"catapult/crossbow")</f>
        <v>0</v>
      </c>
      <c r="H160" s="38">
        <f>COUNTIFS(HH_FCSP!$G$18:$G$3617,$E160,HH_FCSP!$F$18:$F$3617,"white")</f>
        <v>2</v>
      </c>
    </row>
    <row r="161">
      <c r="A161" s="38" t="s">
        <v>393</v>
      </c>
      <c r="B161" s="38">
        <v>2.0</v>
      </c>
      <c r="C161" s="38">
        <v>2.0</v>
      </c>
      <c r="D161" s="38">
        <v>0.0</v>
      </c>
      <c r="E161" s="38" t="str">
        <f>IFERROR(__xludf.DUMMYFUNCTION("""COMPUTED_VALUE"""),"malof")</f>
        <v>malof</v>
      </c>
      <c r="F161" s="38">
        <f t="shared" si="1"/>
        <v>5</v>
      </c>
      <c r="G161" s="38">
        <f>COUNTIFS(HH_FCSP!$G$18:$G$3617,$E161,HH_FCSP!$F$18:$F$3617,"catapult/crossbow")</f>
        <v>0</v>
      </c>
      <c r="H161" s="38">
        <f>COUNTIFS(HH_FCSP!$G$18:$G$3617,$E161,HH_FCSP!$F$18:$F$3617,"white")</f>
        <v>5</v>
      </c>
    </row>
    <row r="162">
      <c r="A162" s="38" t="s">
        <v>234</v>
      </c>
      <c r="B162" s="38">
        <v>2.0</v>
      </c>
      <c r="C162" s="38">
        <v>2.0</v>
      </c>
      <c r="D162" s="38">
        <v>0.0</v>
      </c>
      <c r="E162" s="38" t="str">
        <f>IFERROR(__xludf.DUMMYFUNCTION("""COMPUTED_VALUE"""),"Mamuti")</f>
        <v>Mamuti</v>
      </c>
      <c r="F162" s="38">
        <f t="shared" si="1"/>
        <v>4</v>
      </c>
      <c r="G162" s="38">
        <f>COUNTIFS(HH_FCSP!$G$18:$G$3617,$E162,HH_FCSP!$F$18:$F$3617,"catapult/crossbow")</f>
        <v>2</v>
      </c>
      <c r="H162" s="38">
        <f>COUNTIFS(HH_FCSP!$G$18:$G$3617,$E162,HH_FCSP!$F$18:$F$3617,"white")</f>
        <v>2</v>
      </c>
    </row>
    <row r="163">
      <c r="A163" s="38" t="s">
        <v>257</v>
      </c>
      <c r="B163" s="38">
        <v>2.0</v>
      </c>
      <c r="C163" s="38">
        <v>2.0</v>
      </c>
      <c r="D163" s="38">
        <v>0.0</v>
      </c>
      <c r="E163" s="38" t="str">
        <f>IFERROR(__xludf.DUMMYFUNCTION("""COMPUTED_VALUE"""),"mandello")</f>
        <v>mandello</v>
      </c>
      <c r="F163" s="38">
        <f t="shared" si="1"/>
        <v>3</v>
      </c>
      <c r="G163" s="38">
        <f>COUNTIFS(HH_FCSP!$G$18:$G$3617,$E163,HH_FCSP!$F$18:$F$3617,"catapult/crossbow")</f>
        <v>3</v>
      </c>
      <c r="H163" s="38">
        <f>COUNTIFS(HH_FCSP!$G$18:$G$3617,$E163,HH_FCSP!$F$18:$F$3617,"white")</f>
        <v>0</v>
      </c>
    </row>
    <row r="164">
      <c r="A164" s="38" t="s">
        <v>377</v>
      </c>
      <c r="B164" s="38">
        <v>2.0</v>
      </c>
      <c r="C164" s="38">
        <v>2.0</v>
      </c>
      <c r="D164" s="38">
        <v>0.0</v>
      </c>
      <c r="E164" s="38" t="str">
        <f>IFERROR(__xludf.DUMMYFUNCTION("""COMPUTED_VALUE"""),"Mariabettina")</f>
        <v>Mariabettina</v>
      </c>
      <c r="F164" s="38">
        <f t="shared" si="1"/>
        <v>5</v>
      </c>
      <c r="G164" s="38">
        <f>COUNTIFS(HH_FCSP!$G$18:$G$3617,$E164,HH_FCSP!$F$18:$F$3617,"catapult/crossbow")</f>
        <v>3</v>
      </c>
      <c r="H164" s="38">
        <f>COUNTIFS(HH_FCSP!$G$18:$G$3617,$E164,HH_FCSP!$F$18:$F$3617,"white")</f>
        <v>2</v>
      </c>
    </row>
    <row r="165">
      <c r="A165" s="38" t="s">
        <v>883</v>
      </c>
      <c r="B165" s="38">
        <v>2.0</v>
      </c>
      <c r="C165" s="38">
        <v>1.0</v>
      </c>
      <c r="D165" s="38">
        <v>1.0</v>
      </c>
      <c r="E165" s="38" t="str">
        <f>IFERROR(__xludf.DUMMYFUNCTION("""COMPUTED_VALUE"""),"MariaBr")</f>
        <v>MariaBr</v>
      </c>
      <c r="F165" s="38">
        <f t="shared" si="1"/>
        <v>1</v>
      </c>
      <c r="G165" s="38">
        <f>COUNTIFS(HH_FCSP!$G$18:$G$3617,$E165,HH_FCSP!$F$18:$F$3617,"catapult/crossbow")</f>
        <v>1</v>
      </c>
      <c r="H165" s="38">
        <f>COUNTIFS(HH_FCSP!$G$18:$G$3617,$E165,HH_FCSP!$F$18:$F$3617,"white")</f>
        <v>0</v>
      </c>
    </row>
    <row r="166">
      <c r="A166" s="38" t="s">
        <v>195</v>
      </c>
      <c r="B166" s="38">
        <v>2.0</v>
      </c>
      <c r="C166" s="38">
        <v>1.0</v>
      </c>
      <c r="D166" s="38">
        <v>1.0</v>
      </c>
      <c r="E166" s="38" t="str">
        <f>IFERROR(__xludf.DUMMYFUNCTION("""COMPUTED_VALUE"""),"markcase")</f>
        <v>markcase</v>
      </c>
      <c r="F166" s="38">
        <f t="shared" si="1"/>
        <v>1</v>
      </c>
      <c r="G166" s="38">
        <f>COUNTIFS(HH_FCSP!$G$18:$G$3617,$E166,HH_FCSP!$F$18:$F$3617,"catapult/crossbow")</f>
        <v>1</v>
      </c>
      <c r="H166" s="38">
        <f>COUNTIFS(HH_FCSP!$G$18:$G$3617,$E166,HH_FCSP!$F$18:$F$3617,"white")</f>
        <v>0</v>
      </c>
    </row>
    <row r="167">
      <c r="A167" s="38" t="s">
        <v>229</v>
      </c>
      <c r="B167" s="38">
        <v>2.0</v>
      </c>
      <c r="C167" s="38">
        <v>1.0</v>
      </c>
      <c r="D167" s="38">
        <v>1.0</v>
      </c>
      <c r="E167" s="38" t="str">
        <f>IFERROR(__xludf.DUMMYFUNCTION("""COMPUTED_VALUE"""),"marleyfanct")</f>
        <v>marleyfanct</v>
      </c>
      <c r="F167" s="38">
        <f t="shared" si="1"/>
        <v>1</v>
      </c>
      <c r="G167" s="38">
        <f>COUNTIFS(HH_FCSP!$G$18:$G$3617,$E167,HH_FCSP!$F$18:$F$3617,"catapult/crossbow")</f>
        <v>0</v>
      </c>
      <c r="H167" s="38">
        <f>COUNTIFS(HH_FCSP!$G$18:$G$3617,$E167,HH_FCSP!$F$18:$F$3617,"white")</f>
        <v>1</v>
      </c>
    </row>
    <row r="168">
      <c r="A168" s="38" t="s">
        <v>62</v>
      </c>
      <c r="B168" s="38">
        <v>2.0</v>
      </c>
      <c r="C168" s="38">
        <v>1.0</v>
      </c>
      <c r="D168" s="38">
        <v>1.0</v>
      </c>
      <c r="E168" s="38" t="str">
        <f>IFERROR(__xludf.DUMMYFUNCTION("""COMPUTED_VALUE"""),"Matiee")</f>
        <v>Matiee</v>
      </c>
      <c r="F168" s="38">
        <f t="shared" si="1"/>
        <v>1</v>
      </c>
      <c r="G168" s="38">
        <f>COUNTIFS(HH_FCSP!$G$18:$G$3617,$E168,HH_FCSP!$F$18:$F$3617,"catapult/crossbow")</f>
        <v>1</v>
      </c>
      <c r="H168" s="38">
        <f>COUNTIFS(HH_FCSP!$G$18:$G$3617,$E168,HH_FCSP!$F$18:$F$3617,"white")</f>
        <v>0</v>
      </c>
    </row>
    <row r="169">
      <c r="A169" s="38" t="s">
        <v>390</v>
      </c>
      <c r="B169" s="38">
        <v>2.0</v>
      </c>
      <c r="C169" s="38">
        <v>1.0</v>
      </c>
      <c r="D169" s="38">
        <v>1.0</v>
      </c>
      <c r="E169" s="38" t="str">
        <f>IFERROR(__xludf.DUMMYFUNCTION("""COMPUTED_VALUE"""),"Maxi72")</f>
        <v>Maxi72</v>
      </c>
      <c r="F169" s="38">
        <f t="shared" si="1"/>
        <v>1</v>
      </c>
      <c r="G169" s="38">
        <f>COUNTIFS(HH_FCSP!$G$18:$G$3617,$E169,HH_FCSP!$F$18:$F$3617,"catapult/crossbow")</f>
        <v>1</v>
      </c>
      <c r="H169" s="38">
        <f>COUNTIFS(HH_FCSP!$G$18:$G$3617,$E169,HH_FCSP!$F$18:$F$3617,"white")</f>
        <v>0</v>
      </c>
    </row>
    <row r="170">
      <c r="A170" s="38" t="s">
        <v>1050</v>
      </c>
      <c r="B170" s="38">
        <v>2.0</v>
      </c>
      <c r="C170" s="38">
        <v>1.0</v>
      </c>
      <c r="D170" s="38">
        <v>1.0</v>
      </c>
      <c r="E170" s="38" t="str">
        <f>IFERROR(__xludf.DUMMYFUNCTION("""COMPUTED_VALUE"""),"meka")</f>
        <v>meka</v>
      </c>
      <c r="F170" s="38">
        <f t="shared" si="1"/>
        <v>2</v>
      </c>
      <c r="G170" s="38">
        <f>COUNTIFS(HH_FCSP!$G$18:$G$3617,$E170,HH_FCSP!$F$18:$F$3617,"catapult/crossbow")</f>
        <v>2</v>
      </c>
      <c r="H170" s="38">
        <f>COUNTIFS(HH_FCSP!$G$18:$G$3617,$E170,HH_FCSP!$F$18:$F$3617,"white")</f>
        <v>0</v>
      </c>
    </row>
    <row r="171">
      <c r="A171" s="38" t="s">
        <v>272</v>
      </c>
      <c r="B171" s="38">
        <v>2.0</v>
      </c>
      <c r="C171" s="38">
        <v>0.0</v>
      </c>
      <c r="D171" s="38">
        <v>2.0</v>
      </c>
      <c r="E171" s="38" t="str">
        <f>IFERROR(__xludf.DUMMYFUNCTION("""COMPUTED_VALUE"""),"MetteS")</f>
        <v>MetteS</v>
      </c>
      <c r="F171" s="38">
        <f t="shared" si="1"/>
        <v>10</v>
      </c>
      <c r="G171" s="38">
        <f>COUNTIFS(HH_FCSP!$G$18:$G$3617,$E171,HH_FCSP!$F$18:$F$3617,"catapult/crossbow")</f>
        <v>10</v>
      </c>
      <c r="H171" s="38">
        <f>COUNTIFS(HH_FCSP!$G$18:$G$3617,$E171,HH_FCSP!$F$18:$F$3617,"white")</f>
        <v>0</v>
      </c>
    </row>
    <row r="172">
      <c r="A172" s="38" t="s">
        <v>109</v>
      </c>
      <c r="B172" s="38">
        <v>2.0</v>
      </c>
      <c r="C172" s="38">
        <v>0.0</v>
      </c>
      <c r="D172" s="38">
        <v>2.0</v>
      </c>
      <c r="E172" s="38" t="str">
        <f>IFERROR(__xludf.DUMMYFUNCTION("""COMPUTED_VALUE"""),"Mierischclan")</f>
        <v>Mierischclan</v>
      </c>
      <c r="F172" s="38">
        <f t="shared" si="1"/>
        <v>2</v>
      </c>
      <c r="G172" s="38">
        <f>COUNTIFS(HH_FCSP!$G$18:$G$3617,$E172,HH_FCSP!$F$18:$F$3617,"catapult/crossbow")</f>
        <v>1</v>
      </c>
      <c r="H172" s="38">
        <f>COUNTIFS(HH_FCSP!$G$18:$G$3617,$E172,HH_FCSP!$F$18:$F$3617,"white")</f>
        <v>1</v>
      </c>
    </row>
    <row r="173">
      <c r="A173" s="38" t="s">
        <v>238</v>
      </c>
      <c r="B173" s="38">
        <v>2.0</v>
      </c>
      <c r="C173" s="38">
        <v>0.0</v>
      </c>
      <c r="D173" s="38">
        <v>2.0</v>
      </c>
      <c r="E173" s="38" t="str">
        <f>IFERROR(__xludf.DUMMYFUNCTION("""COMPUTED_VALUE"""),"mihul")</f>
        <v>mihul</v>
      </c>
      <c r="F173" s="38">
        <f t="shared" si="1"/>
        <v>6</v>
      </c>
      <c r="G173" s="38">
        <f>COUNTIFS(HH_FCSP!$G$18:$G$3617,$E173,HH_FCSP!$F$18:$F$3617,"catapult/crossbow")</f>
        <v>6</v>
      </c>
      <c r="H173" s="38">
        <f>COUNTIFS(HH_FCSP!$G$18:$G$3617,$E173,HH_FCSP!$F$18:$F$3617,"white")</f>
        <v>0</v>
      </c>
    </row>
    <row r="174">
      <c r="A174" s="38" t="s">
        <v>326</v>
      </c>
      <c r="B174" s="38">
        <v>2.0</v>
      </c>
      <c r="C174" s="38">
        <v>0.0</v>
      </c>
      <c r="D174" s="38">
        <v>2.0</v>
      </c>
      <c r="E174" s="38" t="str">
        <f>IFERROR(__xludf.DUMMYFUNCTION("""COMPUTED_VALUE"""),"mik007")</f>
        <v>mik007</v>
      </c>
      <c r="F174" s="38">
        <f t="shared" si="1"/>
        <v>2</v>
      </c>
      <c r="G174" s="38">
        <f>COUNTIFS(HH_FCSP!$G$18:$G$3617,$E174,HH_FCSP!$F$18:$F$3617,"catapult/crossbow")</f>
        <v>1</v>
      </c>
      <c r="H174" s="38">
        <f>COUNTIFS(HH_FCSP!$G$18:$G$3617,$E174,HH_FCSP!$F$18:$F$3617,"white")</f>
        <v>1</v>
      </c>
    </row>
    <row r="175">
      <c r="A175" s="38" t="s">
        <v>300</v>
      </c>
      <c r="B175" s="38">
        <v>2.0</v>
      </c>
      <c r="C175" s="38">
        <v>0.0</v>
      </c>
      <c r="D175" s="38">
        <v>2.0</v>
      </c>
      <c r="E175" s="38" t="str">
        <f>IFERROR(__xludf.DUMMYFUNCTION("""COMPUTED_VALUE"""),"MiniKara")</f>
        <v>MiniKara</v>
      </c>
      <c r="F175" s="38">
        <f t="shared" si="1"/>
        <v>2</v>
      </c>
      <c r="G175" s="38">
        <f>COUNTIFS(HH_FCSP!$G$18:$G$3617,$E175,HH_FCSP!$F$18:$F$3617,"catapult/crossbow")</f>
        <v>2</v>
      </c>
      <c r="H175" s="38">
        <f>COUNTIFS(HH_FCSP!$G$18:$G$3617,$E175,HH_FCSP!$F$18:$F$3617,"white")</f>
        <v>0</v>
      </c>
    </row>
    <row r="176">
      <c r="A176" s="38" t="s">
        <v>71</v>
      </c>
      <c r="B176" s="38">
        <v>2.0</v>
      </c>
      <c r="C176" s="38">
        <v>0.0</v>
      </c>
      <c r="D176" s="38">
        <v>2.0</v>
      </c>
      <c r="E176" s="38" t="str">
        <f>IFERROR(__xludf.DUMMYFUNCTION("""COMPUTED_VALUE"""),"MrIVV")</f>
        <v>MrIVV</v>
      </c>
      <c r="F176" s="38">
        <f t="shared" si="1"/>
        <v>20</v>
      </c>
      <c r="G176" s="38">
        <f>COUNTIFS(HH_FCSP!$G$18:$G$3617,$E176,HH_FCSP!$F$18:$F$3617,"catapult/crossbow")</f>
        <v>20</v>
      </c>
      <c r="H176" s="38">
        <f>COUNTIFS(HH_FCSP!$G$18:$G$3617,$E176,HH_FCSP!$F$18:$F$3617,"white")</f>
        <v>0</v>
      </c>
    </row>
    <row r="177">
      <c r="A177" s="38" t="s">
        <v>328</v>
      </c>
      <c r="B177" s="38">
        <v>2.0</v>
      </c>
      <c r="C177" s="38">
        <v>0.0</v>
      </c>
      <c r="D177" s="38">
        <v>2.0</v>
      </c>
      <c r="E177" s="38" t="str">
        <f>IFERROR(__xludf.DUMMYFUNCTION("""COMPUTED_VALUE"""),"mrsg9064")</f>
        <v>mrsg9064</v>
      </c>
      <c r="F177" s="38">
        <f t="shared" si="1"/>
        <v>3</v>
      </c>
      <c r="G177" s="38">
        <f>COUNTIFS(HH_FCSP!$G$18:$G$3617,$E177,HH_FCSP!$F$18:$F$3617,"catapult/crossbow")</f>
        <v>3</v>
      </c>
      <c r="H177" s="38">
        <f>COUNTIFS(HH_FCSP!$G$18:$G$3617,$E177,HH_FCSP!$F$18:$F$3617,"white")</f>
        <v>0</v>
      </c>
    </row>
    <row r="178">
      <c r="A178" s="38" t="s">
        <v>240</v>
      </c>
      <c r="B178" s="38">
        <v>2.0</v>
      </c>
      <c r="C178" s="38">
        <v>0.0</v>
      </c>
      <c r="D178" s="38">
        <v>2.0</v>
      </c>
      <c r="E178" s="38" t="str">
        <f>IFERROR(__xludf.DUMMYFUNCTION("""COMPUTED_VALUE"""),"MrsPommelhorst")</f>
        <v>MrsPommelhorst</v>
      </c>
      <c r="F178" s="38">
        <f t="shared" si="1"/>
        <v>3</v>
      </c>
      <c r="G178" s="38">
        <f>COUNTIFS(HH_FCSP!$G$18:$G$3617,$E178,HH_FCSP!$F$18:$F$3617,"catapult/crossbow")</f>
        <v>3</v>
      </c>
      <c r="H178" s="38">
        <f>COUNTIFS(HH_FCSP!$G$18:$G$3617,$E178,HH_FCSP!$F$18:$F$3617,"white")</f>
        <v>0</v>
      </c>
    </row>
    <row r="179">
      <c r="A179" s="38" t="s">
        <v>104</v>
      </c>
      <c r="B179" s="38">
        <v>2.0</v>
      </c>
      <c r="C179" s="38">
        <v>0.0</v>
      </c>
      <c r="D179" s="38">
        <v>2.0</v>
      </c>
      <c r="E179" s="38" t="str">
        <f>IFERROR(__xludf.DUMMYFUNCTION("""COMPUTED_VALUE"""),"mrvolkswagen")</f>
        <v>mrvolkswagen</v>
      </c>
      <c r="F179" s="38">
        <f t="shared" si="1"/>
        <v>1</v>
      </c>
      <c r="G179" s="38">
        <f>COUNTIFS(HH_FCSP!$G$18:$G$3617,$E179,HH_FCSP!$F$18:$F$3617,"catapult/crossbow")</f>
        <v>1</v>
      </c>
      <c r="H179" s="38">
        <f>COUNTIFS(HH_FCSP!$G$18:$G$3617,$E179,HH_FCSP!$F$18:$F$3617,"white")</f>
        <v>0</v>
      </c>
    </row>
    <row r="180">
      <c r="A180" s="38" t="s">
        <v>324</v>
      </c>
      <c r="B180" s="38">
        <v>2.0</v>
      </c>
      <c r="C180" s="38">
        <v>0.0</v>
      </c>
      <c r="D180" s="38">
        <v>2.0</v>
      </c>
      <c r="E180" s="38" t="str">
        <f>IFERROR(__xludf.DUMMYFUNCTION("""COMPUTED_VALUE"""),"MS1721")</f>
        <v>MS1721</v>
      </c>
      <c r="F180" s="38">
        <f t="shared" si="1"/>
        <v>1</v>
      </c>
      <c r="G180" s="38">
        <f>COUNTIFS(HH_FCSP!$G$18:$G$3617,$E180,HH_FCSP!$F$18:$F$3617,"catapult/crossbow")</f>
        <v>0</v>
      </c>
      <c r="H180" s="38">
        <f>COUNTIFS(HH_FCSP!$G$18:$G$3617,$E180,HH_FCSP!$F$18:$F$3617,"white")</f>
        <v>1</v>
      </c>
    </row>
    <row r="181">
      <c r="A181" s="38" t="s">
        <v>322</v>
      </c>
      <c r="B181" s="38">
        <v>2.0</v>
      </c>
      <c r="C181" s="38">
        <v>0.0</v>
      </c>
      <c r="D181" s="38">
        <v>2.0</v>
      </c>
      <c r="E181" s="38" t="str">
        <f>IFERROR(__xludf.DUMMYFUNCTION("""COMPUTED_VALUE"""),"MSgtUSMC")</f>
        <v>MSgtUSMC</v>
      </c>
      <c r="F181" s="38">
        <f t="shared" si="1"/>
        <v>2</v>
      </c>
      <c r="G181" s="38">
        <f>COUNTIFS(HH_FCSP!$G$18:$G$3617,$E181,HH_FCSP!$F$18:$F$3617,"catapult/crossbow")</f>
        <v>2</v>
      </c>
      <c r="H181" s="38">
        <f>COUNTIFS(HH_FCSP!$G$18:$G$3617,$E181,HH_FCSP!$F$18:$F$3617,"white")</f>
        <v>0</v>
      </c>
    </row>
    <row r="182">
      <c r="A182" s="38" t="s">
        <v>294</v>
      </c>
      <c r="B182" s="38">
        <v>2.0</v>
      </c>
      <c r="C182" s="38">
        <v>0.0</v>
      </c>
      <c r="D182" s="38">
        <v>2.0</v>
      </c>
      <c r="E182" s="38" t="str">
        <f>IFERROR(__xludf.DUMMYFUNCTION("""COMPUTED_VALUE"""),"mtbiker64")</f>
        <v>mtbiker64</v>
      </c>
      <c r="F182" s="38">
        <f t="shared" si="1"/>
        <v>4</v>
      </c>
      <c r="G182" s="38">
        <f>COUNTIFS(HH_FCSP!$G$18:$G$3617,$E182,HH_FCSP!$F$18:$F$3617,"catapult/crossbow")</f>
        <v>4</v>
      </c>
      <c r="H182" s="38">
        <f>COUNTIFS(HH_FCSP!$G$18:$G$3617,$E182,HH_FCSP!$F$18:$F$3617,"white")</f>
        <v>0</v>
      </c>
    </row>
    <row r="183">
      <c r="A183" s="38" t="s">
        <v>526</v>
      </c>
      <c r="B183" s="38">
        <v>1.0</v>
      </c>
      <c r="C183" s="38">
        <v>1.0</v>
      </c>
      <c r="D183" s="38">
        <v>0.0</v>
      </c>
      <c r="E183" s="38" t="str">
        <f>IFERROR(__xludf.DUMMYFUNCTION("""COMPUTED_VALUE"""),"Muecke10")</f>
        <v>Muecke10</v>
      </c>
      <c r="F183" s="38">
        <f t="shared" si="1"/>
        <v>5</v>
      </c>
      <c r="G183" s="38">
        <f>COUNTIFS(HH_FCSP!$G$18:$G$3617,$E183,HH_FCSP!$F$18:$F$3617,"catapult/crossbow")</f>
        <v>5</v>
      </c>
      <c r="H183" s="38">
        <f>COUNTIFS(HH_FCSP!$G$18:$G$3617,$E183,HH_FCSP!$F$18:$F$3617,"white")</f>
        <v>0</v>
      </c>
    </row>
    <row r="184">
      <c r="A184" s="38" t="s">
        <v>198</v>
      </c>
      <c r="B184" s="38">
        <v>1.0</v>
      </c>
      <c r="C184" s="38">
        <v>1.0</v>
      </c>
      <c r="D184" s="38">
        <v>0.0</v>
      </c>
      <c r="E184" s="38" t="str">
        <f>IFERROR(__xludf.DUMMYFUNCTION("""COMPUTED_VALUE"""),"munz619")</f>
        <v>munz619</v>
      </c>
      <c r="F184" s="38">
        <f t="shared" si="1"/>
        <v>7</v>
      </c>
      <c r="G184" s="38">
        <f>COUNTIFS(HH_FCSP!$G$18:$G$3617,$E184,HH_FCSP!$F$18:$F$3617,"catapult/crossbow")</f>
        <v>6</v>
      </c>
      <c r="H184" s="38">
        <f>COUNTIFS(HH_FCSP!$G$18:$G$3617,$E184,HH_FCSP!$F$18:$F$3617,"white")</f>
        <v>1</v>
      </c>
    </row>
    <row r="185">
      <c r="A185" s="38" t="s">
        <v>1103</v>
      </c>
      <c r="B185" s="38">
        <v>1.0</v>
      </c>
      <c r="C185" s="38">
        <v>1.0</v>
      </c>
      <c r="D185" s="38">
        <v>0.0</v>
      </c>
      <c r="E185" s="38" t="str">
        <f>IFERROR(__xludf.DUMMYFUNCTION("""COMPUTED_VALUE"""),"munzeeprof")</f>
        <v>munzeeprof</v>
      </c>
      <c r="F185" s="38">
        <f t="shared" si="1"/>
        <v>4</v>
      </c>
      <c r="G185" s="38">
        <f>COUNTIFS(HH_FCSP!$G$18:$G$3617,$E185,HH_FCSP!$F$18:$F$3617,"catapult/crossbow")</f>
        <v>4</v>
      </c>
      <c r="H185" s="38">
        <f>COUNTIFS(HH_FCSP!$G$18:$G$3617,$E185,HH_FCSP!$F$18:$F$3617,"white")</f>
        <v>0</v>
      </c>
    </row>
    <row r="186">
      <c r="A186" s="38" t="s">
        <v>207</v>
      </c>
      <c r="B186" s="38">
        <v>1.0</v>
      </c>
      <c r="C186" s="38">
        <v>1.0</v>
      </c>
      <c r="D186" s="38">
        <v>0.0</v>
      </c>
      <c r="E186" s="38" t="str">
        <f>IFERROR(__xludf.DUMMYFUNCTION("""COMPUTED_VALUE"""),"Muskratmarie")</f>
        <v>Muskratmarie</v>
      </c>
      <c r="F186" s="38">
        <f t="shared" si="1"/>
        <v>3</v>
      </c>
      <c r="G186" s="38">
        <f>COUNTIFS(HH_FCSP!$G$18:$G$3617,$E186,HH_FCSP!$F$18:$F$3617,"catapult/crossbow")</f>
        <v>2</v>
      </c>
      <c r="H186" s="38">
        <f>COUNTIFS(HH_FCSP!$G$18:$G$3617,$E186,HH_FCSP!$F$18:$F$3617,"white")</f>
        <v>1</v>
      </c>
    </row>
    <row r="187">
      <c r="A187" s="38" t="s">
        <v>403</v>
      </c>
      <c r="B187" s="38">
        <v>1.0</v>
      </c>
      <c r="C187" s="38">
        <v>1.0</v>
      </c>
      <c r="D187" s="38">
        <v>0.0</v>
      </c>
      <c r="E187" s="38" t="str">
        <f>IFERROR(__xludf.DUMMYFUNCTION("""COMPUTED_VALUE"""),"Naturelover")</f>
        <v>Naturelover</v>
      </c>
      <c r="F187" s="38">
        <f t="shared" si="1"/>
        <v>2</v>
      </c>
      <c r="G187" s="38">
        <f>COUNTIFS(HH_FCSP!$G$18:$G$3617,$E187,HH_FCSP!$F$18:$F$3617,"catapult/crossbow")</f>
        <v>2</v>
      </c>
      <c r="H187" s="38">
        <f>COUNTIFS(HH_FCSP!$G$18:$G$3617,$E187,HH_FCSP!$F$18:$F$3617,"white")</f>
        <v>0</v>
      </c>
    </row>
    <row r="188">
      <c r="A188" s="38" t="s">
        <v>560</v>
      </c>
      <c r="B188" s="38">
        <v>1.0</v>
      </c>
      <c r="C188" s="38">
        <v>1.0</v>
      </c>
      <c r="D188" s="38">
        <v>0.0</v>
      </c>
      <c r="E188" s="38" t="str">
        <f>IFERROR(__xludf.DUMMYFUNCTION("""COMPUTED_VALUE"""),"Ncc1701e")</f>
        <v>Ncc1701e</v>
      </c>
      <c r="F188" s="38">
        <f t="shared" si="1"/>
        <v>2</v>
      </c>
      <c r="G188" s="38">
        <f>COUNTIFS(HH_FCSP!$G$18:$G$3617,$E188,HH_FCSP!$F$18:$F$3617,"catapult/crossbow")</f>
        <v>0</v>
      </c>
      <c r="H188" s="38">
        <f>COUNTIFS(HH_FCSP!$G$18:$G$3617,$E188,HH_FCSP!$F$18:$F$3617,"white")</f>
        <v>2</v>
      </c>
    </row>
    <row r="189">
      <c r="A189" s="38" t="s">
        <v>205</v>
      </c>
      <c r="B189" s="38">
        <v>1.0</v>
      </c>
      <c r="C189" s="38">
        <v>1.0</v>
      </c>
      <c r="D189" s="38">
        <v>0.0</v>
      </c>
      <c r="E189" s="38" t="str">
        <f>IFERROR(__xludf.DUMMYFUNCTION("""COMPUTED_VALUE"""),"Nenuorama")</f>
        <v>Nenuorama</v>
      </c>
      <c r="F189" s="38">
        <f t="shared" si="1"/>
        <v>7</v>
      </c>
      <c r="G189" s="38">
        <f>COUNTIFS(HH_FCSP!$G$18:$G$3617,$E189,HH_FCSP!$F$18:$F$3617,"catapult/crossbow")</f>
        <v>7</v>
      </c>
      <c r="H189" s="38">
        <f>COUNTIFS(HH_FCSP!$G$18:$G$3617,$E189,HH_FCSP!$F$18:$F$3617,"white")</f>
        <v>0</v>
      </c>
    </row>
    <row r="190">
      <c r="A190" s="38" t="s">
        <v>446</v>
      </c>
      <c r="B190" s="38">
        <v>1.0</v>
      </c>
      <c r="C190" s="38">
        <v>1.0</v>
      </c>
      <c r="D190" s="38">
        <v>0.0</v>
      </c>
      <c r="E190" s="38" t="str">
        <f>IFERROR(__xludf.DUMMYFUNCTION("""COMPUTED_VALUE"""),"Newbee")</f>
        <v>Newbee</v>
      </c>
      <c r="F190" s="38">
        <f t="shared" si="1"/>
        <v>1</v>
      </c>
      <c r="G190" s="38">
        <f>COUNTIFS(HH_FCSP!$G$18:$G$3617,$E190,HH_FCSP!$F$18:$F$3617,"catapult/crossbow")</f>
        <v>1</v>
      </c>
      <c r="H190" s="38">
        <f>COUNTIFS(HH_FCSP!$G$18:$G$3617,$E190,HH_FCSP!$F$18:$F$3617,"white")</f>
        <v>0</v>
      </c>
    </row>
    <row r="191">
      <c r="A191" s="38" t="s">
        <v>183</v>
      </c>
      <c r="B191" s="38">
        <v>1.0</v>
      </c>
      <c r="C191" s="38">
        <v>1.0</v>
      </c>
      <c r="D191" s="38">
        <v>0.0</v>
      </c>
      <c r="E191" s="38" t="str">
        <f>IFERROR(__xludf.DUMMYFUNCTION("""COMPUTED_VALUE"""),"Newfruit")</f>
        <v>Newfruit</v>
      </c>
      <c r="F191" s="38">
        <f t="shared" si="1"/>
        <v>1</v>
      </c>
      <c r="G191" s="38">
        <f>COUNTIFS(HH_FCSP!$G$18:$G$3617,$E191,HH_FCSP!$F$18:$F$3617,"catapult/crossbow")</f>
        <v>1</v>
      </c>
      <c r="H191" s="38">
        <f>COUNTIFS(HH_FCSP!$G$18:$G$3617,$E191,HH_FCSP!$F$18:$F$3617,"white")</f>
        <v>0</v>
      </c>
    </row>
    <row r="192">
      <c r="A192" s="38" t="s">
        <v>752</v>
      </c>
      <c r="B192" s="38">
        <v>1.0</v>
      </c>
      <c r="C192" s="38">
        <v>1.0</v>
      </c>
      <c r="D192" s="38">
        <v>0.0</v>
      </c>
      <c r="E192" s="38" t="str">
        <f>IFERROR(__xludf.DUMMYFUNCTION("""COMPUTED_VALUE"""),"NikitaStolk")</f>
        <v>NikitaStolk</v>
      </c>
      <c r="F192" s="38">
        <f t="shared" si="1"/>
        <v>2</v>
      </c>
      <c r="G192" s="38">
        <f>COUNTIFS(HH_FCSP!$G$18:$G$3617,$E192,HH_FCSP!$F$18:$F$3617,"catapult/crossbow")</f>
        <v>2</v>
      </c>
      <c r="H192" s="38">
        <f>COUNTIFS(HH_FCSP!$G$18:$G$3617,$E192,HH_FCSP!$F$18:$F$3617,"white")</f>
        <v>0</v>
      </c>
    </row>
    <row r="193">
      <c r="A193" s="38" t="s">
        <v>254</v>
      </c>
      <c r="B193" s="38">
        <v>1.0</v>
      </c>
      <c r="C193" s="38">
        <v>1.0</v>
      </c>
      <c r="D193" s="38">
        <v>0.0</v>
      </c>
      <c r="E193" s="38" t="str">
        <f>IFERROR(__xludf.DUMMYFUNCTION("""COMPUTED_VALUE"""),"Niks13")</f>
        <v>Niks13</v>
      </c>
      <c r="F193" s="38">
        <f t="shared" si="1"/>
        <v>8</v>
      </c>
      <c r="G193" s="38">
        <f>COUNTIFS(HH_FCSP!$G$18:$G$3617,$E193,HH_FCSP!$F$18:$F$3617,"catapult/crossbow")</f>
        <v>8</v>
      </c>
      <c r="H193" s="38">
        <f>COUNTIFS(HH_FCSP!$G$18:$G$3617,$E193,HH_FCSP!$F$18:$F$3617,"white")</f>
        <v>0</v>
      </c>
    </row>
    <row r="194">
      <c r="A194" s="38" t="s">
        <v>663</v>
      </c>
      <c r="B194" s="38">
        <v>1.0</v>
      </c>
      <c r="C194" s="38">
        <v>1.0</v>
      </c>
      <c r="D194" s="38">
        <v>0.0</v>
      </c>
      <c r="E194" s="38" t="str">
        <f>IFERROR(__xludf.DUMMYFUNCTION("""COMPUTED_VALUE"""),"NoahCache")</f>
        <v>NoahCache</v>
      </c>
      <c r="F194" s="38">
        <f t="shared" si="1"/>
        <v>8</v>
      </c>
      <c r="G194" s="38">
        <f>COUNTIFS(HH_FCSP!$G$18:$G$3617,$E194,HH_FCSP!$F$18:$F$3617,"catapult/crossbow")</f>
        <v>8</v>
      </c>
      <c r="H194" s="38">
        <f>COUNTIFS(HH_FCSP!$G$18:$G$3617,$E194,HH_FCSP!$F$18:$F$3617,"white")</f>
        <v>0</v>
      </c>
    </row>
    <row r="195">
      <c r="A195" s="38" t="s">
        <v>794</v>
      </c>
      <c r="B195" s="38">
        <v>1.0</v>
      </c>
      <c r="C195" s="38">
        <v>1.0</v>
      </c>
      <c r="D195" s="38">
        <v>0.0</v>
      </c>
      <c r="E195" s="38" t="str">
        <f>IFERROR(__xludf.DUMMYFUNCTION("""COMPUTED_VALUE"""),"NYBOSS")</f>
        <v>NYBOSS</v>
      </c>
      <c r="F195" s="38">
        <f t="shared" si="1"/>
        <v>1</v>
      </c>
      <c r="G195" s="38">
        <f>COUNTIFS(HH_FCSP!$G$18:$G$3617,$E195,HH_FCSP!$F$18:$F$3617,"catapult/crossbow")</f>
        <v>1</v>
      </c>
      <c r="H195" s="38">
        <f>COUNTIFS(HH_FCSP!$G$18:$G$3617,$E195,HH_FCSP!$F$18:$F$3617,"white")</f>
        <v>0</v>
      </c>
    </row>
    <row r="196">
      <c r="A196" s="38" t="s">
        <v>689</v>
      </c>
      <c r="B196" s="38">
        <v>1.0</v>
      </c>
      <c r="C196" s="38">
        <v>1.0</v>
      </c>
      <c r="D196" s="38">
        <v>0.0</v>
      </c>
      <c r="E196" s="38" t="str">
        <f>IFERROR(__xludf.DUMMYFUNCTION("""COMPUTED_VALUE"""),"oesel123")</f>
        <v>oesel123</v>
      </c>
      <c r="F196" s="38">
        <f t="shared" si="1"/>
        <v>2</v>
      </c>
      <c r="G196" s="38">
        <f>COUNTIFS(HH_FCSP!$G$18:$G$3617,$E196,HH_FCSP!$F$18:$F$3617,"catapult/crossbow")</f>
        <v>2</v>
      </c>
      <c r="H196" s="38">
        <f>COUNTIFS(HH_FCSP!$G$18:$G$3617,$E196,HH_FCSP!$F$18:$F$3617,"white")</f>
        <v>0</v>
      </c>
    </row>
    <row r="197">
      <c r="A197" s="38" t="s">
        <v>685</v>
      </c>
      <c r="B197" s="38">
        <v>1.0</v>
      </c>
      <c r="C197" s="38">
        <v>1.0</v>
      </c>
      <c r="D197" s="38">
        <v>0.0</v>
      </c>
      <c r="E197" s="38" t="str">
        <f>IFERROR(__xludf.DUMMYFUNCTION("""COMPUTED_VALUE"""),"OHail")</f>
        <v>OHail</v>
      </c>
      <c r="F197" s="38">
        <f t="shared" si="1"/>
        <v>7</v>
      </c>
      <c r="G197" s="38">
        <f>COUNTIFS(HH_FCSP!$G$18:$G$3617,$E197,HH_FCSP!$F$18:$F$3617,"catapult/crossbow")</f>
        <v>7</v>
      </c>
      <c r="H197" s="38">
        <f>COUNTIFS(HH_FCSP!$G$18:$G$3617,$E197,HH_FCSP!$F$18:$F$3617,"white")</f>
        <v>0</v>
      </c>
    </row>
    <row r="198">
      <c r="A198" s="38" t="s">
        <v>365</v>
      </c>
      <c r="B198" s="38">
        <v>1.0</v>
      </c>
      <c r="C198" s="38">
        <v>1.0</v>
      </c>
      <c r="D198" s="38">
        <v>0.0</v>
      </c>
      <c r="E198" s="38" t="str">
        <f>IFERROR(__xludf.DUMMYFUNCTION("""COMPUTED_VALUE"""),"ol0n0lo")</f>
        <v>ol0n0lo</v>
      </c>
      <c r="F198" s="38">
        <f t="shared" si="1"/>
        <v>3</v>
      </c>
      <c r="G198" s="38">
        <f>COUNTIFS(HH_FCSP!$G$18:$G$3617,$E198,HH_FCSP!$F$18:$F$3617,"catapult/crossbow")</f>
        <v>3</v>
      </c>
      <c r="H198" s="38">
        <f>COUNTIFS(HH_FCSP!$G$18:$G$3617,$E198,HH_FCSP!$F$18:$F$3617,"white")</f>
        <v>0</v>
      </c>
    </row>
    <row r="199">
      <c r="A199" s="38" t="s">
        <v>206</v>
      </c>
      <c r="B199" s="38">
        <v>1.0</v>
      </c>
      <c r="C199" s="38">
        <v>1.0</v>
      </c>
      <c r="D199" s="38">
        <v>0.0</v>
      </c>
      <c r="E199" s="38" t="str">
        <f>IFERROR(__xludf.DUMMYFUNCTION("""COMPUTED_VALUE"""),"OldFruits")</f>
        <v>OldFruits</v>
      </c>
      <c r="F199" s="38">
        <f t="shared" si="1"/>
        <v>1</v>
      </c>
      <c r="G199" s="38">
        <f>COUNTIFS(HH_FCSP!$G$18:$G$3617,$E199,HH_FCSP!$F$18:$F$3617,"catapult/crossbow")</f>
        <v>1</v>
      </c>
      <c r="H199" s="38">
        <f>COUNTIFS(HH_FCSP!$G$18:$G$3617,$E199,HH_FCSP!$F$18:$F$3617,"white")</f>
        <v>0</v>
      </c>
    </row>
    <row r="200">
      <c r="A200" s="38" t="s">
        <v>750</v>
      </c>
      <c r="B200" s="38">
        <v>1.0</v>
      </c>
      <c r="C200" s="38">
        <v>1.0</v>
      </c>
      <c r="D200" s="38">
        <v>0.0</v>
      </c>
      <c r="E200" s="38" t="str">
        <f>IFERROR(__xludf.DUMMYFUNCTION("""COMPUTED_VALUE"""),"ozarkcheryl")</f>
        <v>ozarkcheryl</v>
      </c>
      <c r="F200" s="38">
        <f t="shared" si="1"/>
        <v>2</v>
      </c>
      <c r="G200" s="38">
        <f>COUNTIFS(HH_FCSP!$G$18:$G$3617,$E200,HH_FCSP!$F$18:$F$3617,"catapult/crossbow")</f>
        <v>2</v>
      </c>
      <c r="H200" s="38">
        <f>COUNTIFS(HH_FCSP!$G$18:$G$3617,$E200,HH_FCSP!$F$18:$F$3617,"white")</f>
        <v>0</v>
      </c>
    </row>
    <row r="201">
      <c r="A201" s="38" t="s">
        <v>230</v>
      </c>
      <c r="B201" s="38">
        <v>1.0</v>
      </c>
      <c r="C201" s="38">
        <v>1.0</v>
      </c>
      <c r="D201" s="38">
        <v>0.0</v>
      </c>
      <c r="E201" s="38" t="str">
        <f>IFERROR(__xludf.DUMMYFUNCTION("""COMPUTED_VALUE"""),"paulus2012")</f>
        <v>paulus2012</v>
      </c>
      <c r="F201" s="38">
        <f t="shared" si="1"/>
        <v>1</v>
      </c>
      <c r="G201" s="38">
        <f>COUNTIFS(HH_FCSP!$G$18:$G$3617,$E201,HH_FCSP!$F$18:$F$3617,"catapult/crossbow")</f>
        <v>0</v>
      </c>
      <c r="H201" s="38">
        <f>COUNTIFS(HH_FCSP!$G$18:$G$3617,$E201,HH_FCSP!$F$18:$F$3617,"white")</f>
        <v>1</v>
      </c>
    </row>
    <row r="202">
      <c r="A202" s="38" t="s">
        <v>1093</v>
      </c>
      <c r="B202" s="38">
        <v>1.0</v>
      </c>
      <c r="C202" s="38">
        <v>1.0</v>
      </c>
      <c r="D202" s="38">
        <v>0.0</v>
      </c>
      <c r="E202" s="38" t="str">
        <f>IFERROR(__xludf.DUMMYFUNCTION("""COMPUTED_VALUE"""),"paupau")</f>
        <v>paupau</v>
      </c>
      <c r="F202" s="38">
        <f t="shared" si="1"/>
        <v>2</v>
      </c>
      <c r="G202" s="38">
        <f>COUNTIFS(HH_FCSP!$G$18:$G$3617,$E202,HH_FCSP!$F$18:$F$3617,"catapult/crossbow")</f>
        <v>2</v>
      </c>
      <c r="H202" s="38">
        <f>COUNTIFS(HH_FCSP!$G$18:$G$3617,$E202,HH_FCSP!$F$18:$F$3617,"white")</f>
        <v>0</v>
      </c>
    </row>
    <row r="203">
      <c r="A203" s="38" t="s">
        <v>216</v>
      </c>
      <c r="B203" s="38">
        <v>1.0</v>
      </c>
      <c r="C203" s="38">
        <v>1.0</v>
      </c>
      <c r="D203" s="38">
        <v>0.0</v>
      </c>
      <c r="E203" s="38" t="str">
        <f>IFERROR(__xludf.DUMMYFUNCTION("""COMPUTED_VALUE"""),"PeeBee")</f>
        <v>PeeBee</v>
      </c>
      <c r="F203" s="38">
        <f t="shared" si="1"/>
        <v>1</v>
      </c>
      <c r="G203" s="38">
        <f>COUNTIFS(HH_FCSP!$G$18:$G$3617,$E203,HH_FCSP!$F$18:$F$3617,"catapult/crossbow")</f>
        <v>1</v>
      </c>
      <c r="H203" s="38">
        <f>COUNTIFS(HH_FCSP!$G$18:$G$3617,$E203,HH_FCSP!$F$18:$F$3617,"white")</f>
        <v>0</v>
      </c>
    </row>
    <row r="204">
      <c r="A204" s="38" t="s">
        <v>199</v>
      </c>
      <c r="B204" s="38">
        <v>1.0</v>
      </c>
      <c r="C204" s="38">
        <v>1.0</v>
      </c>
      <c r="D204" s="38">
        <v>0.0</v>
      </c>
      <c r="E204" s="38" t="str">
        <f>IFERROR(__xludf.DUMMYFUNCTION("""COMPUTED_VALUE"""),"PelicanRouge")</f>
        <v>PelicanRouge</v>
      </c>
      <c r="F204" s="38">
        <f t="shared" si="1"/>
        <v>1</v>
      </c>
      <c r="G204" s="38">
        <f>COUNTIFS(HH_FCSP!$G$18:$G$3617,$E204,HH_FCSP!$F$18:$F$3617,"catapult/crossbow")</f>
        <v>1</v>
      </c>
      <c r="H204" s="38">
        <f>COUNTIFS(HH_FCSP!$G$18:$G$3617,$E204,HH_FCSP!$F$18:$F$3617,"white")</f>
        <v>0</v>
      </c>
    </row>
    <row r="205">
      <c r="A205" s="38" t="s">
        <v>217</v>
      </c>
      <c r="B205" s="38">
        <v>1.0</v>
      </c>
      <c r="C205" s="38">
        <v>1.0</v>
      </c>
      <c r="D205" s="38">
        <v>0.0</v>
      </c>
      <c r="E205" s="38" t="str">
        <f>IFERROR(__xludf.DUMMYFUNCTION("""COMPUTED_VALUE"""),"Peter1980")</f>
        <v>Peter1980</v>
      </c>
      <c r="F205" s="38">
        <f t="shared" si="1"/>
        <v>1</v>
      </c>
      <c r="G205" s="38">
        <f>COUNTIFS(HH_FCSP!$G$18:$G$3617,$E205,HH_FCSP!$F$18:$F$3617,"catapult/crossbow")</f>
        <v>1</v>
      </c>
      <c r="H205" s="38">
        <f>COUNTIFS(HH_FCSP!$G$18:$G$3617,$E205,HH_FCSP!$F$18:$F$3617,"white")</f>
        <v>0</v>
      </c>
    </row>
    <row r="206">
      <c r="A206" s="38" t="s">
        <v>289</v>
      </c>
      <c r="B206" s="38">
        <v>1.0</v>
      </c>
      <c r="C206" s="38">
        <v>1.0</v>
      </c>
      <c r="D206" s="38">
        <v>0.0</v>
      </c>
      <c r="E206" s="38" t="str">
        <f>IFERROR(__xludf.DUMMYFUNCTION("""COMPUTED_VALUE"""),"PrincessMeli")</f>
        <v>PrincessMeli</v>
      </c>
      <c r="F206" s="38">
        <f t="shared" si="1"/>
        <v>1</v>
      </c>
      <c r="G206" s="38">
        <f>COUNTIFS(HH_FCSP!$G$18:$G$3617,$E206,HH_FCSP!$F$18:$F$3617,"catapult/crossbow")</f>
        <v>1</v>
      </c>
      <c r="H206" s="38">
        <f>COUNTIFS(HH_FCSP!$G$18:$G$3617,$E206,HH_FCSP!$F$18:$F$3617,"white")</f>
        <v>0</v>
      </c>
    </row>
    <row r="207">
      <c r="A207" s="38" t="s">
        <v>208</v>
      </c>
      <c r="B207" s="38">
        <v>1.0</v>
      </c>
      <c r="C207" s="38">
        <v>1.0</v>
      </c>
      <c r="D207" s="38">
        <v>0.0</v>
      </c>
      <c r="E207" s="38" t="str">
        <f>IFERROR(__xludf.DUMMYFUNCTION("""COMPUTED_VALUE"""),"q22q17")</f>
        <v>q22q17</v>
      </c>
      <c r="F207" s="38">
        <f t="shared" si="1"/>
        <v>1</v>
      </c>
      <c r="G207" s="38">
        <f>COUNTIFS(HH_FCSP!$G$18:$G$3617,$E207,HH_FCSP!$F$18:$F$3617,"catapult/crossbow")</f>
        <v>0</v>
      </c>
      <c r="H207" s="38">
        <f>COUNTIFS(HH_FCSP!$G$18:$G$3617,$E207,HH_FCSP!$F$18:$F$3617,"white")</f>
        <v>1</v>
      </c>
    </row>
    <row r="208">
      <c r="A208" s="38" t="s">
        <v>534</v>
      </c>
      <c r="B208" s="38">
        <v>1.0</v>
      </c>
      <c r="C208" s="38">
        <v>1.0</v>
      </c>
      <c r="D208" s="38">
        <v>0.0</v>
      </c>
      <c r="E208" s="38" t="str">
        <f>IFERROR(__xludf.DUMMYFUNCTION("""COMPUTED_VALUE"""),"Queenlynz")</f>
        <v>Queenlynz</v>
      </c>
      <c r="F208" s="38">
        <f t="shared" si="1"/>
        <v>1</v>
      </c>
      <c r="G208" s="38">
        <f>COUNTIFS(HH_FCSP!$G$18:$G$3617,$E208,HH_FCSP!$F$18:$F$3617,"catapult/crossbow")</f>
        <v>1</v>
      </c>
      <c r="H208" s="38">
        <f>COUNTIFS(HH_FCSP!$G$18:$G$3617,$E208,HH_FCSP!$F$18:$F$3617,"white")</f>
        <v>0</v>
      </c>
    </row>
    <row r="209">
      <c r="A209" s="38" t="s">
        <v>259</v>
      </c>
      <c r="B209" s="38">
        <v>1.0</v>
      </c>
      <c r="C209" s="38">
        <v>1.0</v>
      </c>
      <c r="D209" s="38">
        <v>0.0</v>
      </c>
      <c r="E209" s="38" t="str">
        <f>IFERROR(__xludf.DUMMYFUNCTION("""COMPUTED_VALUE"""),"rabe85")</f>
        <v>rabe85</v>
      </c>
      <c r="F209" s="38">
        <f t="shared" si="1"/>
        <v>1</v>
      </c>
      <c r="G209" s="38">
        <f>COUNTIFS(HH_FCSP!$G$18:$G$3617,$E209,HH_FCSP!$F$18:$F$3617,"catapult/crossbow")</f>
        <v>0</v>
      </c>
      <c r="H209" s="38">
        <f>COUNTIFS(HH_FCSP!$G$18:$G$3617,$E209,HH_FCSP!$F$18:$F$3617,"white")</f>
        <v>1</v>
      </c>
    </row>
    <row r="210">
      <c r="A210" s="38" t="s">
        <v>367</v>
      </c>
      <c r="B210" s="38">
        <v>1.0</v>
      </c>
      <c r="C210" s="38">
        <v>1.0</v>
      </c>
      <c r="D210" s="38">
        <v>0.0</v>
      </c>
      <c r="E210" s="38" t="str">
        <f>IFERROR(__xludf.DUMMYFUNCTION("""COMPUTED_VALUE"""),"radschlaeger")</f>
        <v>radschlaeger</v>
      </c>
      <c r="F210" s="38">
        <f t="shared" si="1"/>
        <v>10</v>
      </c>
      <c r="G210" s="38">
        <f>COUNTIFS(HH_FCSP!$G$18:$G$3617,$E210,HH_FCSP!$F$18:$F$3617,"catapult/crossbow")</f>
        <v>10</v>
      </c>
      <c r="H210" s="38">
        <f>COUNTIFS(HH_FCSP!$G$18:$G$3617,$E210,HH_FCSP!$F$18:$F$3617,"white")</f>
        <v>0</v>
      </c>
    </row>
    <row r="211">
      <c r="A211" s="38" t="s">
        <v>1014</v>
      </c>
      <c r="B211" s="38">
        <v>1.0</v>
      </c>
      <c r="C211" s="38">
        <v>1.0</v>
      </c>
      <c r="D211" s="38">
        <v>0.0</v>
      </c>
      <c r="E211" s="38" t="str">
        <f>IFERROR(__xludf.DUMMYFUNCTION("""COMPUTED_VALUE"""),"RafMar78")</f>
        <v>RafMar78</v>
      </c>
      <c r="F211" s="38">
        <f t="shared" si="1"/>
        <v>1</v>
      </c>
      <c r="G211" s="38">
        <f>COUNTIFS(HH_FCSP!$G$18:$G$3617,$E211,HH_FCSP!$F$18:$F$3617,"catapult/crossbow")</f>
        <v>1</v>
      </c>
      <c r="H211" s="38">
        <f>COUNTIFS(HH_FCSP!$G$18:$G$3617,$E211,HH_FCSP!$F$18:$F$3617,"white")</f>
        <v>0</v>
      </c>
    </row>
    <row r="212">
      <c r="A212" s="38" t="s">
        <v>937</v>
      </c>
      <c r="B212" s="38">
        <v>1.0</v>
      </c>
      <c r="C212" s="38">
        <v>1.0</v>
      </c>
      <c r="D212" s="38">
        <v>0.0</v>
      </c>
      <c r="E212" s="38" t="str">
        <f>IFERROR(__xludf.DUMMYFUNCTION("""COMPUTED_VALUE"""),"raunas")</f>
        <v>raunas</v>
      </c>
      <c r="F212" s="38">
        <f t="shared" si="1"/>
        <v>2</v>
      </c>
      <c r="G212" s="38">
        <f>COUNTIFS(HH_FCSP!$G$18:$G$3617,$E212,HH_FCSP!$F$18:$F$3617,"catapult/crossbow")</f>
        <v>2</v>
      </c>
      <c r="H212" s="38">
        <f>COUNTIFS(HH_FCSP!$G$18:$G$3617,$E212,HH_FCSP!$F$18:$F$3617,"white")</f>
        <v>0</v>
      </c>
    </row>
    <row r="213">
      <c r="A213" s="38" t="s">
        <v>186</v>
      </c>
      <c r="B213" s="38">
        <v>1.0</v>
      </c>
      <c r="C213" s="38">
        <v>1.0</v>
      </c>
      <c r="D213" s="38">
        <v>0.0</v>
      </c>
      <c r="E213" s="38" t="str">
        <f>IFERROR(__xludf.DUMMYFUNCTION("""COMPUTED_VALUE"""),"Reart")</f>
        <v>Reart</v>
      </c>
      <c r="F213" s="38">
        <f t="shared" si="1"/>
        <v>1</v>
      </c>
      <c r="G213" s="38">
        <f>COUNTIFS(HH_FCSP!$G$18:$G$3617,$E213,HH_FCSP!$F$18:$F$3617,"catapult/crossbow")</f>
        <v>1</v>
      </c>
      <c r="H213" s="38">
        <f>COUNTIFS(HH_FCSP!$G$18:$G$3617,$E213,HH_FCSP!$F$18:$F$3617,"white")</f>
        <v>0</v>
      </c>
    </row>
    <row r="214">
      <c r="A214" s="38" t="s">
        <v>748</v>
      </c>
      <c r="B214" s="38">
        <v>1.0</v>
      </c>
      <c r="C214" s="38">
        <v>1.0</v>
      </c>
      <c r="D214" s="38">
        <v>0.0</v>
      </c>
      <c r="E214" s="38" t="str">
        <f>IFERROR(__xludf.DUMMYFUNCTION("""COMPUTED_VALUE"""),"res2100")</f>
        <v>res2100</v>
      </c>
      <c r="F214" s="38">
        <f t="shared" si="1"/>
        <v>1</v>
      </c>
      <c r="G214" s="38">
        <f>COUNTIFS(HH_FCSP!$G$18:$G$3617,$E214,HH_FCSP!$F$18:$F$3617,"catapult/crossbow")</f>
        <v>1</v>
      </c>
      <c r="H214" s="38">
        <f>COUNTIFS(HH_FCSP!$G$18:$G$3617,$E214,HH_FCSP!$F$18:$F$3617,"white")</f>
        <v>0</v>
      </c>
    </row>
    <row r="215">
      <c r="A215" s="38" t="s">
        <v>337</v>
      </c>
      <c r="B215" s="38">
        <v>1.0</v>
      </c>
      <c r="C215" s="38">
        <v>1.0</v>
      </c>
      <c r="D215" s="38">
        <v>0.0</v>
      </c>
      <c r="E215" s="38" t="str">
        <f>IFERROR(__xludf.DUMMYFUNCTION("""COMPUTED_VALUE"""),"rgforsythe")</f>
        <v>rgforsythe</v>
      </c>
      <c r="F215" s="38">
        <f t="shared" si="1"/>
        <v>3</v>
      </c>
      <c r="G215" s="38">
        <f>COUNTIFS(HH_FCSP!$G$18:$G$3617,$E215,HH_FCSP!$F$18:$F$3617,"catapult/crossbow")</f>
        <v>3</v>
      </c>
      <c r="H215" s="38">
        <f>COUNTIFS(HH_FCSP!$G$18:$G$3617,$E215,HH_FCSP!$F$18:$F$3617,"white")</f>
        <v>0</v>
      </c>
    </row>
    <row r="216">
      <c r="A216" s="38" t="s">
        <v>624</v>
      </c>
      <c r="B216" s="38">
        <v>1.0</v>
      </c>
      <c r="C216" s="38">
        <v>1.0</v>
      </c>
      <c r="D216" s="38">
        <v>0.0</v>
      </c>
      <c r="E216" s="38" t="str">
        <f>IFERROR(__xludf.DUMMYFUNCTION("""COMPUTED_VALUE"""),"RNils")</f>
        <v>RNils</v>
      </c>
      <c r="F216" s="38">
        <f t="shared" si="1"/>
        <v>4</v>
      </c>
      <c r="G216" s="38">
        <f>COUNTIFS(HH_FCSP!$G$18:$G$3617,$E216,HH_FCSP!$F$18:$F$3617,"catapult/crossbow")</f>
        <v>3</v>
      </c>
      <c r="H216" s="38">
        <f>COUNTIFS(HH_FCSP!$G$18:$G$3617,$E216,HH_FCSP!$F$18:$F$3617,"white")</f>
        <v>1</v>
      </c>
    </row>
    <row r="217">
      <c r="A217" s="38" t="s">
        <v>746</v>
      </c>
      <c r="B217" s="38">
        <v>1.0</v>
      </c>
      <c r="C217" s="38">
        <v>1.0</v>
      </c>
      <c r="D217" s="38">
        <v>0.0</v>
      </c>
      <c r="E217" s="38" t="str">
        <f>IFERROR(__xludf.DUMMYFUNCTION("""COMPUTED_VALUE"""),"RobieSterling")</f>
        <v>RobieSterling</v>
      </c>
      <c r="F217" s="38">
        <f t="shared" si="1"/>
        <v>4</v>
      </c>
      <c r="G217" s="38">
        <f>COUNTIFS(HH_FCSP!$G$18:$G$3617,$E217,HH_FCSP!$F$18:$F$3617,"catapult/crossbow")</f>
        <v>4</v>
      </c>
      <c r="H217" s="38">
        <f>COUNTIFS(HH_FCSP!$G$18:$G$3617,$E217,HH_FCSP!$F$18:$F$3617,"white")</f>
        <v>0</v>
      </c>
    </row>
    <row r="218">
      <c r="A218" s="38" t="s">
        <v>340</v>
      </c>
      <c r="B218" s="38">
        <v>1.0</v>
      </c>
      <c r="C218" s="38">
        <v>1.0</v>
      </c>
      <c r="D218" s="38">
        <v>0.0</v>
      </c>
      <c r="E218" s="38" t="str">
        <f>IFERROR(__xludf.DUMMYFUNCTION("""COMPUTED_VALUE"""),"RoversEnd")</f>
        <v>RoversEnd</v>
      </c>
      <c r="F218" s="38">
        <f t="shared" si="1"/>
        <v>3</v>
      </c>
      <c r="G218" s="38">
        <f>COUNTIFS(HH_FCSP!$G$18:$G$3617,$E218,HH_FCSP!$F$18:$F$3617,"catapult/crossbow")</f>
        <v>2</v>
      </c>
      <c r="H218" s="38">
        <f>COUNTIFS(HH_FCSP!$G$18:$G$3617,$E218,HH_FCSP!$F$18:$F$3617,"white")</f>
        <v>1</v>
      </c>
    </row>
    <row r="219">
      <c r="A219" s="38" t="s">
        <v>1008</v>
      </c>
      <c r="B219" s="38">
        <v>1.0</v>
      </c>
      <c r="C219" s="38">
        <v>1.0</v>
      </c>
      <c r="D219" s="38">
        <v>0.0</v>
      </c>
      <c r="E219" s="38" t="str">
        <f>IFERROR(__xludf.DUMMYFUNCTION("""COMPUTED_VALUE"""),"SachensucherHB")</f>
        <v>SachensucherHB</v>
      </c>
      <c r="F219" s="38">
        <f t="shared" si="1"/>
        <v>62</v>
      </c>
      <c r="G219" s="38">
        <f>COUNTIFS(HH_FCSP!$G$18:$G$3617,$E219,HH_FCSP!$F$18:$F$3617,"catapult/crossbow")</f>
        <v>17</v>
      </c>
      <c r="H219" s="38">
        <f>COUNTIFS(HH_FCSP!$G$18:$G$3617,$E219,HH_FCSP!$F$18:$F$3617,"white")</f>
        <v>45</v>
      </c>
    </row>
    <row r="220">
      <c r="A220" s="38" t="s">
        <v>193</v>
      </c>
      <c r="B220" s="38">
        <v>1.0</v>
      </c>
      <c r="C220" s="38">
        <v>1.0</v>
      </c>
      <c r="D220" s="38">
        <v>0.0</v>
      </c>
      <c r="E220" s="38" t="str">
        <f>IFERROR(__xludf.DUMMYFUNCTION("""COMPUTED_VALUE"""),"Savardfamily")</f>
        <v>Savardfamily</v>
      </c>
      <c r="F220" s="38">
        <f t="shared" si="1"/>
        <v>1</v>
      </c>
      <c r="G220" s="38">
        <f>COUNTIFS(HH_FCSP!$G$18:$G$3617,$E220,HH_FCSP!$F$18:$F$3617,"catapult/crossbow")</f>
        <v>1</v>
      </c>
      <c r="H220" s="38">
        <f>COUNTIFS(HH_FCSP!$G$18:$G$3617,$E220,HH_FCSP!$F$18:$F$3617,"white")</f>
        <v>0</v>
      </c>
    </row>
    <row r="221">
      <c r="A221" s="38" t="s">
        <v>931</v>
      </c>
      <c r="B221" s="38">
        <v>1.0</v>
      </c>
      <c r="C221" s="38">
        <v>1.0</v>
      </c>
      <c r="D221" s="38">
        <v>0.0</v>
      </c>
      <c r="E221" s="38" t="str">
        <f>IFERROR(__xludf.DUMMYFUNCTION("""COMPUTED_VALUE"""),"SAVVY18")</f>
        <v>SAVVY18</v>
      </c>
      <c r="F221" s="38">
        <f t="shared" si="1"/>
        <v>1</v>
      </c>
      <c r="G221" s="38">
        <f>COUNTIFS(HH_FCSP!$G$18:$G$3617,$E221,HH_FCSP!$F$18:$F$3617,"catapult/crossbow")</f>
        <v>1</v>
      </c>
      <c r="H221" s="38">
        <f>COUNTIFS(HH_FCSP!$G$18:$G$3617,$E221,HH_FCSP!$F$18:$F$3617,"white")</f>
        <v>0</v>
      </c>
    </row>
    <row r="222">
      <c r="A222" s="38" t="s">
        <v>1076</v>
      </c>
      <c r="B222" s="38">
        <v>1.0</v>
      </c>
      <c r="C222" s="38">
        <v>1.0</v>
      </c>
      <c r="D222" s="38">
        <v>0.0</v>
      </c>
      <c r="E222" s="38" t="str">
        <f>IFERROR(__xludf.DUMMYFUNCTION("""COMPUTED_VALUE"""),"Scanmaster")</f>
        <v>Scanmaster</v>
      </c>
      <c r="F222" s="38">
        <f t="shared" si="1"/>
        <v>2</v>
      </c>
      <c r="G222" s="38">
        <f>COUNTIFS(HH_FCSP!$G$18:$G$3617,$E222,HH_FCSP!$F$18:$F$3617,"catapult/crossbow")</f>
        <v>0</v>
      </c>
      <c r="H222" s="38">
        <f>COUNTIFS(HH_FCSP!$G$18:$G$3617,$E222,HH_FCSP!$F$18:$F$3617,"white")</f>
        <v>2</v>
      </c>
    </row>
    <row r="223">
      <c r="A223" s="38" t="s">
        <v>400</v>
      </c>
      <c r="B223" s="38">
        <v>1.0</v>
      </c>
      <c r="C223" s="38">
        <v>1.0</v>
      </c>
      <c r="D223" s="38">
        <v>0.0</v>
      </c>
      <c r="E223" s="38" t="str">
        <f>IFERROR(__xludf.DUMMYFUNCTION("""COMPUTED_VALUE"""),"Schlappentiger")</f>
        <v>Schlappentiger</v>
      </c>
      <c r="F223" s="38">
        <f t="shared" si="1"/>
        <v>1</v>
      </c>
      <c r="G223" s="38">
        <f>COUNTIFS(HH_FCSP!$G$18:$G$3617,$E223,HH_FCSP!$F$18:$F$3617,"catapult/crossbow")</f>
        <v>1</v>
      </c>
      <c r="H223" s="38">
        <f>COUNTIFS(HH_FCSP!$G$18:$G$3617,$E223,HH_FCSP!$F$18:$F$3617,"white")</f>
        <v>0</v>
      </c>
    </row>
    <row r="224">
      <c r="A224" s="38" t="s">
        <v>218</v>
      </c>
      <c r="B224" s="38">
        <v>1.0</v>
      </c>
      <c r="C224" s="38">
        <v>1.0</v>
      </c>
      <c r="D224" s="38">
        <v>0.0</v>
      </c>
      <c r="E224" s="38" t="str">
        <f>IFERROR(__xludf.DUMMYFUNCTION("""COMPUTED_VALUE"""),"seal")</f>
        <v>seal</v>
      </c>
      <c r="F224" s="38">
        <f t="shared" si="1"/>
        <v>3</v>
      </c>
      <c r="G224" s="38">
        <f>COUNTIFS(HH_FCSP!$G$18:$G$3617,$E224,HH_FCSP!$F$18:$F$3617,"catapult/crossbow")</f>
        <v>0</v>
      </c>
      <c r="H224" s="38">
        <f>COUNTIFS(HH_FCSP!$G$18:$G$3617,$E224,HH_FCSP!$F$18:$F$3617,"white")</f>
        <v>3</v>
      </c>
    </row>
    <row r="225">
      <c r="A225" s="38" t="s">
        <v>290</v>
      </c>
      <c r="B225" s="38">
        <v>1.0</v>
      </c>
      <c r="C225" s="38">
        <v>1.0</v>
      </c>
      <c r="D225" s="38">
        <v>0.0</v>
      </c>
      <c r="E225" s="38" t="str">
        <f>IFERROR(__xludf.DUMMYFUNCTION("""COMPUTED_VALUE"""),"Shrekmiester")</f>
        <v>Shrekmiester</v>
      </c>
      <c r="F225" s="38">
        <f t="shared" si="1"/>
        <v>1</v>
      </c>
      <c r="G225" s="38">
        <f>COUNTIFS(HH_FCSP!$G$18:$G$3617,$E225,HH_FCSP!$F$18:$F$3617,"catapult/crossbow")</f>
        <v>1</v>
      </c>
      <c r="H225" s="38">
        <f>COUNTIFS(HH_FCSP!$G$18:$G$3617,$E225,HH_FCSP!$F$18:$F$3617,"white")</f>
        <v>0</v>
      </c>
    </row>
    <row r="226">
      <c r="A226" s="38" t="s">
        <v>288</v>
      </c>
      <c r="B226" s="38">
        <v>1.0</v>
      </c>
      <c r="C226" s="38">
        <v>1.0</v>
      </c>
      <c r="D226" s="38">
        <v>0.0</v>
      </c>
      <c r="E226" s="38" t="str">
        <f>IFERROR(__xludf.DUMMYFUNCTION("""COMPUTED_VALUE"""),"shrlock")</f>
        <v>shrlock</v>
      </c>
      <c r="F226" s="38">
        <f t="shared" si="1"/>
        <v>2</v>
      </c>
      <c r="G226" s="38">
        <f>COUNTIFS(HH_FCSP!$G$18:$G$3617,$E226,HH_FCSP!$F$18:$F$3617,"catapult/crossbow")</f>
        <v>0</v>
      </c>
      <c r="H226" s="38">
        <f>COUNTIFS(HH_FCSP!$G$18:$G$3617,$E226,HH_FCSP!$F$18:$F$3617,"white")</f>
        <v>2</v>
      </c>
    </row>
    <row r="227">
      <c r="A227" s="38" t="s">
        <v>204</v>
      </c>
      <c r="B227" s="38">
        <v>1.0</v>
      </c>
      <c r="C227" s="38">
        <v>1.0</v>
      </c>
      <c r="D227" s="38">
        <v>0.0</v>
      </c>
      <c r="E227" s="38" t="str">
        <f>IFERROR(__xludf.DUMMYFUNCTION("""COMPUTED_VALUE"""),"sickman")</f>
        <v>sickman</v>
      </c>
      <c r="F227" s="38">
        <f t="shared" si="1"/>
        <v>2</v>
      </c>
      <c r="G227" s="38">
        <f>COUNTIFS(HH_FCSP!$G$18:$G$3617,$E227,HH_FCSP!$F$18:$F$3617,"catapult/crossbow")</f>
        <v>2</v>
      </c>
      <c r="H227" s="38">
        <f>COUNTIFS(HH_FCSP!$G$18:$G$3617,$E227,HH_FCSP!$F$18:$F$3617,"white")</f>
        <v>0</v>
      </c>
    </row>
    <row r="228">
      <c r="A228" s="38" t="s">
        <v>255</v>
      </c>
      <c r="B228" s="38">
        <v>1.0</v>
      </c>
      <c r="C228" s="38">
        <v>1.0</v>
      </c>
      <c r="D228" s="38">
        <v>0.0</v>
      </c>
      <c r="E228" s="38" t="str">
        <f>IFERROR(__xludf.DUMMYFUNCTION("""COMPUTED_VALUE"""),"silversurfer47")</f>
        <v>silversurfer47</v>
      </c>
      <c r="F228" s="38">
        <f t="shared" si="1"/>
        <v>6</v>
      </c>
      <c r="G228" s="38">
        <f>COUNTIFS(HH_FCSP!$G$18:$G$3617,$E228,HH_FCSP!$F$18:$F$3617,"catapult/crossbow")</f>
        <v>5</v>
      </c>
      <c r="H228" s="38">
        <f>COUNTIFS(HH_FCSP!$G$18:$G$3617,$E228,HH_FCSP!$F$18:$F$3617,"white")</f>
        <v>1</v>
      </c>
    </row>
    <row r="229">
      <c r="A229" s="38" t="s">
        <v>801</v>
      </c>
      <c r="B229" s="38">
        <v>1.0</v>
      </c>
      <c r="C229" s="38">
        <v>1.0</v>
      </c>
      <c r="D229" s="38">
        <v>0.0</v>
      </c>
      <c r="E229" s="38" t="str">
        <f>IFERROR(__xludf.DUMMYFUNCTION("""COMPUTED_VALUE"""),"Sivontim")</f>
        <v>Sivontim</v>
      </c>
      <c r="F229" s="38">
        <f t="shared" si="1"/>
        <v>2</v>
      </c>
      <c r="G229" s="38">
        <f>COUNTIFS(HH_FCSP!$G$18:$G$3617,$E229,HH_FCSP!$F$18:$F$3617,"catapult/crossbow")</f>
        <v>0</v>
      </c>
      <c r="H229" s="38">
        <f>COUNTIFS(HH_FCSP!$G$18:$G$3617,$E229,HH_FCSP!$F$18:$F$3617,"white")</f>
        <v>2</v>
      </c>
    </row>
    <row r="230">
      <c r="A230" s="38" t="s">
        <v>286</v>
      </c>
      <c r="B230" s="38">
        <v>1.0</v>
      </c>
      <c r="C230" s="38">
        <v>1.0</v>
      </c>
      <c r="D230" s="38">
        <v>0.0</v>
      </c>
      <c r="E230" s="38" t="str">
        <f>IFERROR(__xludf.DUMMYFUNCTION("""COMPUTED_VALUE"""),"Sjael")</f>
        <v>Sjael</v>
      </c>
      <c r="F230" s="38">
        <f t="shared" si="1"/>
        <v>13</v>
      </c>
      <c r="G230" s="38">
        <f>COUNTIFS(HH_FCSP!$G$18:$G$3617,$E230,HH_FCSP!$F$18:$F$3617,"catapult/crossbow")</f>
        <v>11</v>
      </c>
      <c r="H230" s="38">
        <f>COUNTIFS(HH_FCSP!$G$18:$G$3617,$E230,HH_FCSP!$F$18:$F$3617,"white")</f>
        <v>2</v>
      </c>
    </row>
    <row r="231">
      <c r="A231" s="38" t="s">
        <v>175</v>
      </c>
      <c r="B231" s="38">
        <v>1.0</v>
      </c>
      <c r="C231" s="38">
        <v>1.0</v>
      </c>
      <c r="D231" s="38">
        <v>0.0</v>
      </c>
      <c r="E231" s="38" t="str">
        <f>IFERROR(__xludf.DUMMYFUNCTION("""COMPUTED_VALUE"""),"SLAUGY")</f>
        <v>SLAUGY</v>
      </c>
      <c r="F231" s="38">
        <f t="shared" si="1"/>
        <v>8</v>
      </c>
      <c r="G231" s="38">
        <f>COUNTIFS(HH_FCSP!$G$18:$G$3617,$E231,HH_FCSP!$F$18:$F$3617,"catapult/crossbow")</f>
        <v>3</v>
      </c>
      <c r="H231" s="38">
        <f>COUNTIFS(HH_FCSP!$G$18:$G$3617,$E231,HH_FCSP!$F$18:$F$3617,"white")</f>
        <v>5</v>
      </c>
    </row>
    <row r="232">
      <c r="A232" s="38" t="s">
        <v>522</v>
      </c>
      <c r="B232" s="38">
        <v>1.0</v>
      </c>
      <c r="C232" s="38">
        <v>1.0</v>
      </c>
      <c r="D232" s="38">
        <v>0.0</v>
      </c>
      <c r="E232" s="38" t="str">
        <f>IFERROR(__xludf.DUMMYFUNCTION("""COMPUTED_VALUE"""),"Smith2190")</f>
        <v>Smith2190</v>
      </c>
      <c r="F232" s="38">
        <f t="shared" si="1"/>
        <v>1</v>
      </c>
      <c r="G232" s="38">
        <f>COUNTIFS(HH_FCSP!$G$18:$G$3617,$E232,HH_FCSP!$F$18:$F$3617,"catapult/crossbow")</f>
        <v>1</v>
      </c>
      <c r="H232" s="38">
        <f>COUNTIFS(HH_FCSP!$G$18:$G$3617,$E232,HH_FCSP!$F$18:$F$3617,"white")</f>
        <v>0</v>
      </c>
    </row>
    <row r="233">
      <c r="A233" s="38" t="s">
        <v>740</v>
      </c>
      <c r="B233" s="38">
        <v>1.0</v>
      </c>
      <c r="C233" s="38">
        <v>1.0</v>
      </c>
      <c r="D233" s="38">
        <v>0.0</v>
      </c>
      <c r="E233" s="38" t="str">
        <f>IFERROR(__xludf.DUMMYFUNCTION("""COMPUTED_VALUE"""),"Soitenlysue")</f>
        <v>Soitenlysue</v>
      </c>
      <c r="F233" s="38">
        <f t="shared" si="1"/>
        <v>3</v>
      </c>
      <c r="G233" s="38">
        <f>COUNTIFS(HH_FCSP!$G$18:$G$3617,$E233,HH_FCSP!$F$18:$F$3617,"catapult/crossbow")</f>
        <v>1</v>
      </c>
      <c r="H233" s="38">
        <f>COUNTIFS(HH_FCSP!$G$18:$G$3617,$E233,HH_FCSP!$F$18:$F$3617,"white")</f>
        <v>2</v>
      </c>
    </row>
    <row r="234">
      <c r="A234" s="38" t="s">
        <v>196</v>
      </c>
      <c r="B234" s="38">
        <v>1.0</v>
      </c>
      <c r="C234" s="38">
        <v>1.0</v>
      </c>
      <c r="D234" s="38">
        <v>0.0</v>
      </c>
      <c r="E234" s="38" t="str">
        <f>IFERROR(__xludf.DUMMYFUNCTION("""COMPUTED_VALUE"""),"soule122")</f>
        <v>soule122</v>
      </c>
      <c r="F234" s="38">
        <f t="shared" si="1"/>
        <v>4</v>
      </c>
      <c r="G234" s="38">
        <f>COUNTIFS(HH_FCSP!$G$18:$G$3617,$E234,HH_FCSP!$F$18:$F$3617,"catapult/crossbow")</f>
        <v>3</v>
      </c>
      <c r="H234" s="38">
        <f>COUNTIFS(HH_FCSP!$G$18:$G$3617,$E234,HH_FCSP!$F$18:$F$3617,"white")</f>
        <v>1</v>
      </c>
    </row>
    <row r="235">
      <c r="A235" s="38" t="s">
        <v>756</v>
      </c>
      <c r="B235" s="38">
        <v>1.0</v>
      </c>
      <c r="C235" s="38">
        <v>1.0</v>
      </c>
      <c r="D235" s="38">
        <v>0.0</v>
      </c>
      <c r="E235" s="38" t="str">
        <f>IFERROR(__xludf.DUMMYFUNCTION("""COMPUTED_VALUE"""),"Steerzer")</f>
        <v>Steerzer</v>
      </c>
      <c r="F235" s="38">
        <f t="shared" si="1"/>
        <v>20</v>
      </c>
      <c r="G235" s="38">
        <f>COUNTIFS(HH_FCSP!$G$18:$G$3617,$E235,HH_FCSP!$F$18:$F$3617,"catapult/crossbow")</f>
        <v>4</v>
      </c>
      <c r="H235" s="38">
        <f>COUNTIFS(HH_FCSP!$G$18:$G$3617,$E235,HH_FCSP!$F$18:$F$3617,"white")</f>
        <v>16</v>
      </c>
    </row>
    <row r="236">
      <c r="A236" s="38" t="s">
        <v>760</v>
      </c>
      <c r="B236" s="38">
        <v>1.0</v>
      </c>
      <c r="C236" s="38">
        <v>1.0</v>
      </c>
      <c r="D236" s="38">
        <v>0.0</v>
      </c>
      <c r="E236" s="38" t="str">
        <f>IFERROR(__xludf.DUMMYFUNCTION("""COMPUTED_VALUE"""),"stitcher42455")</f>
        <v>stitcher42455</v>
      </c>
      <c r="F236" s="38">
        <f t="shared" si="1"/>
        <v>1</v>
      </c>
      <c r="G236" s="38">
        <f>COUNTIFS(HH_FCSP!$G$18:$G$3617,$E236,HH_FCSP!$F$18:$F$3617,"catapult/crossbow")</f>
        <v>0</v>
      </c>
      <c r="H236" s="38">
        <f>COUNTIFS(HH_FCSP!$G$18:$G$3617,$E236,HH_FCSP!$F$18:$F$3617,"white")</f>
        <v>1</v>
      </c>
    </row>
    <row r="237">
      <c r="A237" s="38" t="s">
        <v>462</v>
      </c>
      <c r="B237" s="38">
        <v>1.0</v>
      </c>
      <c r="C237" s="38">
        <v>1.0</v>
      </c>
      <c r="D237" s="38">
        <v>0.0</v>
      </c>
      <c r="E237" s="38" t="str">
        <f>IFERROR(__xludf.DUMMYFUNCTION("""COMPUTED_VALUE"""),"struwel")</f>
        <v>struwel</v>
      </c>
      <c r="F237" s="38">
        <f t="shared" si="1"/>
        <v>1</v>
      </c>
      <c r="G237" s="38">
        <f>COUNTIFS(HH_FCSP!$G$18:$G$3617,$E237,HH_FCSP!$F$18:$F$3617,"catapult/crossbow")</f>
        <v>1</v>
      </c>
      <c r="H237" s="38">
        <f>COUNTIFS(HH_FCSP!$G$18:$G$3617,$E237,HH_FCSP!$F$18:$F$3617,"white")</f>
        <v>0</v>
      </c>
    </row>
    <row r="238">
      <c r="A238" s="38" t="s">
        <v>440</v>
      </c>
      <c r="B238" s="38">
        <v>1.0</v>
      </c>
      <c r="C238" s="38">
        <v>1.0</v>
      </c>
      <c r="D238" s="38">
        <v>0.0</v>
      </c>
      <c r="E238" s="38" t="str">
        <f>IFERROR(__xludf.DUMMYFUNCTION("""COMPUTED_VALUE"""),"Sweety25")</f>
        <v>Sweety25</v>
      </c>
      <c r="F238" s="38">
        <f t="shared" si="1"/>
        <v>3</v>
      </c>
      <c r="G238" s="38">
        <f>COUNTIFS(HH_FCSP!$G$18:$G$3617,$E238,HH_FCSP!$F$18:$F$3617,"catapult/crossbow")</f>
        <v>0</v>
      </c>
      <c r="H238" s="38">
        <f>COUNTIFS(HH_FCSP!$G$18:$G$3617,$E238,HH_FCSP!$F$18:$F$3617,"white")</f>
        <v>3</v>
      </c>
    </row>
    <row r="239">
      <c r="A239" s="38" t="s">
        <v>339</v>
      </c>
      <c r="B239" s="38">
        <v>1.0</v>
      </c>
      <c r="C239" s="38">
        <v>1.0</v>
      </c>
      <c r="D239" s="38">
        <v>0.0</v>
      </c>
      <c r="E239" s="38" t="str">
        <f>IFERROR(__xludf.DUMMYFUNCTION("""COMPUTED_VALUE"""),"Syrtene")</f>
        <v>Syrtene</v>
      </c>
      <c r="F239" s="38">
        <f t="shared" si="1"/>
        <v>8</v>
      </c>
      <c r="G239" s="38">
        <f>COUNTIFS(HH_FCSP!$G$18:$G$3617,$E239,HH_FCSP!$F$18:$F$3617,"catapult/crossbow")</f>
        <v>7</v>
      </c>
      <c r="H239" s="38">
        <f>COUNTIFS(HH_FCSP!$G$18:$G$3617,$E239,HH_FCSP!$F$18:$F$3617,"white")</f>
        <v>1</v>
      </c>
    </row>
    <row r="240">
      <c r="A240" s="38" t="s">
        <v>202</v>
      </c>
      <c r="B240" s="38">
        <v>1.0</v>
      </c>
      <c r="C240" s="38">
        <v>1.0</v>
      </c>
      <c r="D240" s="38">
        <v>0.0</v>
      </c>
      <c r="E240" s="38" t="str">
        <f>IFERROR(__xludf.DUMMYFUNCTION("""COMPUTED_VALUE"""),"szakica")</f>
        <v>szakica</v>
      </c>
      <c r="F240" s="38">
        <f t="shared" si="1"/>
        <v>1</v>
      </c>
      <c r="G240" s="38">
        <f>COUNTIFS(HH_FCSP!$G$18:$G$3617,$E240,HH_FCSP!$F$18:$F$3617,"catapult/crossbow")</f>
        <v>1</v>
      </c>
      <c r="H240" s="38">
        <f>COUNTIFS(HH_FCSP!$G$18:$G$3617,$E240,HH_FCSP!$F$18:$F$3617,"white")</f>
        <v>0</v>
      </c>
    </row>
    <row r="241">
      <c r="A241" s="38" t="s">
        <v>184</v>
      </c>
      <c r="B241" s="38">
        <v>1.0</v>
      </c>
      <c r="C241" s="38">
        <v>1.0</v>
      </c>
      <c r="D241" s="38">
        <v>0.0</v>
      </c>
      <c r="E241" s="38" t="str">
        <f>IFERROR(__xludf.DUMMYFUNCTION("""COMPUTED_VALUE"""),"Tabata2")</f>
        <v>Tabata2</v>
      </c>
      <c r="F241" s="38">
        <f t="shared" si="1"/>
        <v>1</v>
      </c>
      <c r="G241" s="38">
        <f>COUNTIFS(HH_FCSP!$G$18:$G$3617,$E241,HH_FCSP!$F$18:$F$3617,"catapult/crossbow")</f>
        <v>0</v>
      </c>
      <c r="H241" s="38">
        <f>COUNTIFS(HH_FCSP!$G$18:$G$3617,$E241,HH_FCSP!$F$18:$F$3617,"white")</f>
        <v>1</v>
      </c>
    </row>
    <row r="242">
      <c r="A242" s="38" t="s">
        <v>256</v>
      </c>
      <c r="B242" s="38">
        <v>1.0</v>
      </c>
      <c r="C242" s="38">
        <v>1.0</v>
      </c>
      <c r="D242" s="38">
        <v>0.0</v>
      </c>
      <c r="E242" s="38" t="str">
        <f>IFERROR(__xludf.DUMMYFUNCTION("""COMPUTED_VALUE"""),"Takenbychance")</f>
        <v>Takenbychance</v>
      </c>
      <c r="F242" s="38">
        <f t="shared" si="1"/>
        <v>5</v>
      </c>
      <c r="G242" s="38">
        <f>COUNTIFS(HH_FCSP!$G$18:$G$3617,$E242,HH_FCSP!$F$18:$F$3617,"catapult/crossbow")</f>
        <v>5</v>
      </c>
      <c r="H242" s="38">
        <f>COUNTIFS(HH_FCSP!$G$18:$G$3617,$E242,HH_FCSP!$F$18:$F$3617,"white")</f>
        <v>0</v>
      </c>
    </row>
    <row r="243">
      <c r="A243" s="38" t="s">
        <v>636</v>
      </c>
      <c r="B243" s="38">
        <v>1.0</v>
      </c>
      <c r="C243" s="38">
        <v>1.0</v>
      </c>
      <c r="D243" s="38">
        <v>0.0</v>
      </c>
      <c r="E243" s="38" t="str">
        <f>IFERROR(__xludf.DUMMYFUNCTION("""COMPUTED_VALUE"""),"taska1981")</f>
        <v>taska1981</v>
      </c>
      <c r="F243" s="38">
        <f t="shared" si="1"/>
        <v>5</v>
      </c>
      <c r="G243" s="38">
        <f>COUNTIFS(HH_FCSP!$G$18:$G$3617,$E243,HH_FCSP!$F$18:$F$3617,"catapult/crossbow")</f>
        <v>5</v>
      </c>
      <c r="H243" s="38">
        <f>COUNTIFS(HH_FCSP!$G$18:$G$3617,$E243,HH_FCSP!$F$18:$F$3617,"white")</f>
        <v>0</v>
      </c>
    </row>
    <row r="244">
      <c r="A244" s="38" t="s">
        <v>287</v>
      </c>
      <c r="B244" s="38">
        <v>1.0</v>
      </c>
      <c r="C244" s="38">
        <v>1.0</v>
      </c>
      <c r="D244" s="38">
        <v>0.0</v>
      </c>
      <c r="E244" s="38" t="str">
        <f>IFERROR(__xludf.DUMMYFUNCTION("""COMPUTED_VALUE"""),"teach217 ")</f>
        <v>teach217 </v>
      </c>
      <c r="F244" s="38">
        <f t="shared" si="1"/>
        <v>1</v>
      </c>
      <c r="G244" s="38">
        <f>COUNTIFS(HH_FCSP!$G$18:$G$3617,$E244,HH_FCSP!$F$18:$F$3617,"catapult/crossbow")</f>
        <v>0</v>
      </c>
      <c r="H244" s="38">
        <f>COUNTIFS(HH_FCSP!$G$18:$G$3617,$E244,HH_FCSP!$F$18:$F$3617,"white")</f>
        <v>1</v>
      </c>
    </row>
    <row r="245">
      <c r="A245" s="38" t="s">
        <v>591</v>
      </c>
      <c r="B245" s="38">
        <v>1.0</v>
      </c>
      <c r="C245" s="38">
        <v>1.0</v>
      </c>
      <c r="D245" s="38">
        <v>0.0</v>
      </c>
      <c r="E245" s="38" t="str">
        <f>IFERROR(__xludf.DUMMYFUNCTION("""COMPUTED_VALUE"""),"Team-MTB-OC")</f>
        <v>Team-MTB-OC</v>
      </c>
      <c r="F245" s="38">
        <f t="shared" si="1"/>
        <v>9</v>
      </c>
      <c r="G245" s="38">
        <f>COUNTIFS(HH_FCSP!$G$18:$G$3617,$E245,HH_FCSP!$F$18:$F$3617,"catapult/crossbow")</f>
        <v>9</v>
      </c>
      <c r="H245" s="38">
        <f>COUNTIFS(HH_FCSP!$G$18:$G$3617,$E245,HH_FCSP!$F$18:$F$3617,"white")</f>
        <v>0</v>
      </c>
    </row>
    <row r="246">
      <c r="A246" s="38" t="s">
        <v>211</v>
      </c>
      <c r="B246" s="38">
        <v>1.0</v>
      </c>
      <c r="C246" s="38">
        <v>1.0</v>
      </c>
      <c r="D246" s="38">
        <v>0.0</v>
      </c>
      <c r="E246" s="38" t="str">
        <f>IFERROR(__xludf.DUMMYFUNCTION("""COMPUTED_VALUE"""),"Teambobcats")</f>
        <v>Teambobcats</v>
      </c>
      <c r="F246" s="38">
        <f t="shared" si="1"/>
        <v>2</v>
      </c>
      <c r="G246" s="38">
        <f>COUNTIFS(HH_FCSP!$G$18:$G$3617,$E246,HH_FCSP!$F$18:$F$3617,"catapult/crossbow")</f>
        <v>2</v>
      </c>
      <c r="H246" s="38">
        <f>COUNTIFS(HH_FCSP!$G$18:$G$3617,$E246,HH_FCSP!$F$18:$F$3617,"white")</f>
        <v>0</v>
      </c>
    </row>
    <row r="247">
      <c r="A247" s="38" t="s">
        <v>203</v>
      </c>
      <c r="B247" s="38">
        <v>1.0</v>
      </c>
      <c r="C247" s="38">
        <v>1.0</v>
      </c>
      <c r="D247" s="38">
        <v>0.0</v>
      </c>
      <c r="E247" s="38" t="str">
        <f>IFERROR(__xludf.DUMMYFUNCTION("""COMPUTED_VALUE"""),"Teamkiwii")</f>
        <v>Teamkiwii</v>
      </c>
      <c r="F247" s="38">
        <f t="shared" si="1"/>
        <v>4</v>
      </c>
      <c r="G247" s="38">
        <f>COUNTIFS(HH_FCSP!$G$18:$G$3617,$E247,HH_FCSP!$F$18:$F$3617,"catapult/crossbow")</f>
        <v>0</v>
      </c>
      <c r="H247" s="38">
        <f>COUNTIFS(HH_FCSP!$G$18:$G$3617,$E247,HH_FCSP!$F$18:$F$3617,"white")</f>
        <v>4</v>
      </c>
    </row>
    <row r="248">
      <c r="A248" s="38" t="s">
        <v>314</v>
      </c>
      <c r="B248" s="38">
        <v>1.0</v>
      </c>
      <c r="C248" s="38">
        <v>1.0</v>
      </c>
      <c r="D248" s="38">
        <v>0.0</v>
      </c>
      <c r="E248" s="38" t="str">
        <f>IFERROR(__xludf.DUMMYFUNCTION("""COMPUTED_VALUE"""),"teamsturms")</f>
        <v>teamsturms</v>
      </c>
      <c r="F248" s="38">
        <f t="shared" si="1"/>
        <v>1</v>
      </c>
      <c r="G248" s="38">
        <f>COUNTIFS(HH_FCSP!$G$18:$G$3617,$E248,HH_FCSP!$F$18:$F$3617,"catapult/crossbow")</f>
        <v>1</v>
      </c>
      <c r="H248" s="38">
        <f>COUNTIFS(HH_FCSP!$G$18:$G$3617,$E248,HH_FCSP!$F$18:$F$3617,"white")</f>
        <v>0</v>
      </c>
    </row>
    <row r="249">
      <c r="A249" s="38" t="s">
        <v>589</v>
      </c>
      <c r="B249" s="38">
        <v>1.0</v>
      </c>
      <c r="C249" s="38">
        <v>1.0</v>
      </c>
      <c r="D249" s="38">
        <v>0.0</v>
      </c>
      <c r="E249" s="38" t="str">
        <f>IFERROR(__xludf.DUMMYFUNCTION("""COMPUTED_VALUE"""),"technical13")</f>
        <v>technical13</v>
      </c>
      <c r="F249" s="38">
        <f t="shared" si="1"/>
        <v>2</v>
      </c>
      <c r="G249" s="38">
        <f>COUNTIFS(HH_FCSP!$G$18:$G$3617,$E249,HH_FCSP!$F$18:$F$3617,"catapult/crossbow")</f>
        <v>2</v>
      </c>
      <c r="H249" s="38">
        <f>COUNTIFS(HH_FCSP!$G$18:$G$3617,$E249,HH_FCSP!$F$18:$F$3617,"white")</f>
        <v>0</v>
      </c>
    </row>
    <row r="250">
      <c r="A250" s="38" t="s">
        <v>758</v>
      </c>
      <c r="B250" s="38">
        <v>1.0</v>
      </c>
      <c r="C250" s="38">
        <v>1.0</v>
      </c>
      <c r="D250" s="38">
        <v>0.0</v>
      </c>
      <c r="E250" s="38" t="str">
        <f>IFERROR(__xludf.DUMMYFUNCTION("""COMPUTED_VALUE"""),"TecmjrB")</f>
        <v>TecmjrB</v>
      </c>
      <c r="F250" s="38">
        <f t="shared" si="1"/>
        <v>12</v>
      </c>
      <c r="G250" s="38">
        <f>COUNTIFS(HH_FCSP!$G$18:$G$3617,$E250,HH_FCSP!$F$18:$F$3617,"catapult/crossbow")</f>
        <v>12</v>
      </c>
      <c r="H250" s="38">
        <f>COUNTIFS(HH_FCSP!$G$18:$G$3617,$E250,HH_FCSP!$F$18:$F$3617,"white")</f>
        <v>0</v>
      </c>
    </row>
    <row r="251">
      <c r="A251" s="38" t="s">
        <v>516</v>
      </c>
      <c r="B251" s="38">
        <v>1.0</v>
      </c>
      <c r="C251" s="38">
        <v>1.0</v>
      </c>
      <c r="D251" s="38">
        <v>0.0</v>
      </c>
      <c r="E251" s="38" t="str">
        <f>IFERROR(__xludf.DUMMYFUNCTION("""COMPUTED_VALUE"""),"TFAL")</f>
        <v>TFAL</v>
      </c>
      <c r="F251" s="38">
        <f t="shared" si="1"/>
        <v>7</v>
      </c>
      <c r="G251" s="38">
        <f>COUNTIFS(HH_FCSP!$G$18:$G$3617,$E251,HH_FCSP!$F$18:$F$3617,"catapult/crossbow")</f>
        <v>7</v>
      </c>
      <c r="H251" s="38">
        <f>COUNTIFS(HH_FCSP!$G$18:$G$3617,$E251,HH_FCSP!$F$18:$F$3617,"white")</f>
        <v>0</v>
      </c>
    </row>
    <row r="252">
      <c r="A252" s="38" t="s">
        <v>1022</v>
      </c>
      <c r="B252" s="38">
        <v>1.0</v>
      </c>
      <c r="C252" s="38">
        <v>1.0</v>
      </c>
      <c r="D252" s="38">
        <v>0.0</v>
      </c>
      <c r="E252" s="38" t="str">
        <f>IFERROR(__xludf.DUMMYFUNCTION("""COMPUTED_VALUE"""),"TheEvilPoles")</f>
        <v>TheEvilPoles</v>
      </c>
      <c r="F252" s="38">
        <f t="shared" si="1"/>
        <v>1</v>
      </c>
      <c r="G252" s="38">
        <f>COUNTIFS(HH_FCSP!$G$18:$G$3617,$E252,HH_FCSP!$F$18:$F$3617,"catapult/crossbow")</f>
        <v>1</v>
      </c>
      <c r="H252" s="38">
        <f>COUNTIFS(HH_FCSP!$G$18:$G$3617,$E252,HH_FCSP!$F$18:$F$3617,"white")</f>
        <v>0</v>
      </c>
    </row>
    <row r="253">
      <c r="A253" s="38" t="s">
        <v>311</v>
      </c>
      <c r="B253" s="38">
        <v>1.0</v>
      </c>
      <c r="C253" s="38">
        <v>1.0</v>
      </c>
      <c r="D253" s="38">
        <v>0.0</v>
      </c>
      <c r="E253" s="38" t="str">
        <f>IFERROR(__xludf.DUMMYFUNCTION("""COMPUTED_VALUE"""),"TheJenks7")</f>
        <v>TheJenks7</v>
      </c>
      <c r="F253" s="38">
        <f t="shared" si="1"/>
        <v>1</v>
      </c>
      <c r="G253" s="38">
        <f>COUNTIFS(HH_FCSP!$G$18:$G$3617,$E253,HH_FCSP!$F$18:$F$3617,"catapult/crossbow")</f>
        <v>0</v>
      </c>
      <c r="H253" s="38">
        <f>COUNTIFS(HH_FCSP!$G$18:$G$3617,$E253,HH_FCSP!$F$18:$F$3617,"white")</f>
        <v>1</v>
      </c>
    </row>
    <row r="254">
      <c r="A254" s="38" t="s">
        <v>197</v>
      </c>
      <c r="B254" s="38">
        <v>1.0</v>
      </c>
      <c r="C254" s="38">
        <v>1.0</v>
      </c>
      <c r="D254" s="38">
        <v>0.0</v>
      </c>
      <c r="E254" s="38" t="str">
        <f>IFERROR(__xludf.DUMMYFUNCTION("""COMPUTED_VALUE"""),"TheJump")</f>
        <v>TheJump</v>
      </c>
      <c r="F254" s="38">
        <f t="shared" si="1"/>
        <v>1</v>
      </c>
      <c r="G254" s="38">
        <f>COUNTIFS(HH_FCSP!$G$18:$G$3617,$E254,HH_FCSP!$F$18:$F$3617,"catapult/crossbow")</f>
        <v>1</v>
      </c>
      <c r="H254" s="38">
        <f>COUNTIFS(HH_FCSP!$G$18:$G$3617,$E254,HH_FCSP!$F$18:$F$3617,"white")</f>
        <v>0</v>
      </c>
    </row>
    <row r="255">
      <c r="A255" s="38" t="s">
        <v>912</v>
      </c>
      <c r="B255" s="38">
        <v>1.0</v>
      </c>
      <c r="C255" s="38">
        <v>1.0</v>
      </c>
      <c r="D255" s="38">
        <v>0.0</v>
      </c>
      <c r="E255" s="38" t="str">
        <f>IFERROR(__xludf.DUMMYFUNCTION("""COMPUTED_VALUE"""),"TheLabGuys")</f>
        <v>TheLabGuys</v>
      </c>
      <c r="F255" s="38">
        <f t="shared" si="1"/>
        <v>5</v>
      </c>
      <c r="G255" s="38">
        <f>COUNTIFS(HH_FCSP!$G$18:$G$3617,$E255,HH_FCSP!$F$18:$F$3617,"catapult/crossbow")</f>
        <v>4</v>
      </c>
      <c r="H255" s="38">
        <f>COUNTIFS(HH_FCSP!$G$18:$G$3617,$E255,HH_FCSP!$F$18:$F$3617,"white")</f>
        <v>1</v>
      </c>
    </row>
    <row r="256">
      <c r="A256" s="38" t="s">
        <v>174</v>
      </c>
      <c r="B256" s="38">
        <v>1.0</v>
      </c>
      <c r="C256" s="38">
        <v>1.0</v>
      </c>
      <c r="D256" s="38">
        <v>0.0</v>
      </c>
      <c r="E256" s="38" t="str">
        <f>IFERROR(__xludf.DUMMYFUNCTION("""COMPUTED_VALUE"""),"TheYeetedyoutuber")</f>
        <v>TheYeetedyoutuber</v>
      </c>
      <c r="F256" s="38">
        <f t="shared" si="1"/>
        <v>2</v>
      </c>
      <c r="G256" s="38">
        <f>COUNTIFS(HH_FCSP!$G$18:$G$3617,$E256,HH_FCSP!$F$18:$F$3617,"catapult/crossbow")</f>
        <v>2</v>
      </c>
      <c r="H256" s="38">
        <f>COUNTIFS(HH_FCSP!$G$18:$G$3617,$E256,HH_FCSP!$F$18:$F$3617,"white")</f>
        <v>0</v>
      </c>
    </row>
    <row r="257">
      <c r="A257" s="38" t="s">
        <v>1084</v>
      </c>
      <c r="B257" s="38">
        <v>1.0</v>
      </c>
      <c r="C257" s="38">
        <v>1.0</v>
      </c>
      <c r="D257" s="38">
        <v>0.0</v>
      </c>
      <c r="E257" s="38" t="str">
        <f>IFERROR(__xludf.DUMMYFUNCTION("""COMPUTED_VALUE"""),"Theyeetedyoutuber")</f>
        <v>Theyeetedyoutuber</v>
      </c>
      <c r="F257" s="38">
        <f t="shared" si="1"/>
        <v>2</v>
      </c>
      <c r="G257" s="38">
        <f>COUNTIFS(HH_FCSP!$G$18:$G$3617,$E257,HH_FCSP!$F$18:$F$3617,"catapult/crossbow")</f>
        <v>2</v>
      </c>
      <c r="H257" s="38">
        <f>COUNTIFS(HH_FCSP!$G$18:$G$3617,$E257,HH_FCSP!$F$18:$F$3617,"white")</f>
        <v>0</v>
      </c>
    </row>
    <row r="258">
      <c r="A258" s="38" t="s">
        <v>889</v>
      </c>
      <c r="B258" s="38">
        <v>1.0</v>
      </c>
      <c r="C258" s="38">
        <v>1.0</v>
      </c>
      <c r="D258" s="38">
        <v>0.0</v>
      </c>
      <c r="E258" s="38" t="str">
        <f>IFERROR(__xludf.DUMMYFUNCTION("""COMPUTED_VALUE"""),"thorkel")</f>
        <v>thorkel</v>
      </c>
      <c r="F258" s="38">
        <f t="shared" si="1"/>
        <v>1</v>
      </c>
      <c r="G258" s="38">
        <f>COUNTIFS(HH_FCSP!$G$18:$G$3617,$E258,HH_FCSP!$F$18:$F$3617,"catapult/crossbow")</f>
        <v>1</v>
      </c>
      <c r="H258" s="38">
        <f>COUNTIFS(HH_FCSP!$G$18:$G$3617,$E258,HH_FCSP!$F$18:$F$3617,"white")</f>
        <v>0</v>
      </c>
    </row>
    <row r="259">
      <c r="A259" s="38" t="s">
        <v>859</v>
      </c>
      <c r="B259" s="38">
        <v>1.0</v>
      </c>
      <c r="C259" s="38">
        <v>1.0</v>
      </c>
      <c r="D259" s="38">
        <v>0.0</v>
      </c>
      <c r="E259" s="38" t="str">
        <f>IFERROR(__xludf.DUMMYFUNCTION("""COMPUTED_VALUE"""),"Tinake1309")</f>
        <v>Tinake1309</v>
      </c>
      <c r="F259" s="38">
        <f t="shared" si="1"/>
        <v>9</v>
      </c>
      <c r="G259" s="38">
        <f>COUNTIFS(HH_FCSP!$G$18:$G$3617,$E259,HH_FCSP!$F$18:$F$3617,"catapult/crossbow")</f>
        <v>9</v>
      </c>
      <c r="H259" s="38">
        <f>COUNTIFS(HH_FCSP!$G$18:$G$3617,$E259,HH_FCSP!$F$18:$F$3617,"white")</f>
        <v>0</v>
      </c>
    </row>
    <row r="260">
      <c r="A260" s="38" t="s">
        <v>408</v>
      </c>
      <c r="B260" s="38">
        <v>1.0</v>
      </c>
      <c r="C260" s="38">
        <v>1.0</v>
      </c>
      <c r="D260" s="38">
        <v>0.0</v>
      </c>
      <c r="E260" s="38" t="str">
        <f>IFERROR(__xludf.DUMMYFUNCTION("""COMPUTED_VALUE"""),"TK79")</f>
        <v>TK79</v>
      </c>
      <c r="F260" s="38">
        <f t="shared" si="1"/>
        <v>133</v>
      </c>
      <c r="G260" s="38">
        <f>COUNTIFS(HH_FCSP!$G$18:$G$3617,$E260,HH_FCSP!$F$18:$F$3617,"catapult/crossbow")</f>
        <v>59</v>
      </c>
      <c r="H260" s="38">
        <f>COUNTIFS(HH_FCSP!$G$18:$G$3617,$E260,HH_FCSP!$F$18:$F$3617,"white")</f>
        <v>74</v>
      </c>
    </row>
    <row r="261">
      <c r="A261" s="38" t="s">
        <v>958</v>
      </c>
      <c r="B261" s="38">
        <v>1.0</v>
      </c>
      <c r="C261" s="38">
        <v>1.0</v>
      </c>
      <c r="D261" s="38">
        <v>0.0</v>
      </c>
      <c r="E261" s="38" t="str">
        <f>IFERROR(__xludf.DUMMYFUNCTION("""COMPUTED_VALUE"""),"tk79")</f>
        <v>tk79</v>
      </c>
      <c r="F261" s="38">
        <f t="shared" si="1"/>
        <v>133</v>
      </c>
      <c r="G261" s="38">
        <f>COUNTIFS(HH_FCSP!$G$18:$G$3617,$E261,HH_FCSP!$F$18:$F$3617,"catapult/crossbow")</f>
        <v>59</v>
      </c>
      <c r="H261" s="38">
        <f>COUNTIFS(HH_FCSP!$G$18:$G$3617,$E261,HH_FCSP!$F$18:$F$3617,"white")</f>
        <v>74</v>
      </c>
    </row>
    <row r="262">
      <c r="A262" s="38" t="s">
        <v>282</v>
      </c>
      <c r="B262" s="38">
        <v>1.0</v>
      </c>
      <c r="C262" s="38">
        <v>1.0</v>
      </c>
      <c r="D262" s="38">
        <v>0.0</v>
      </c>
      <c r="E262" s="38" t="str">
        <f>IFERROR(__xludf.DUMMYFUNCTION("""COMPUTED_VALUE"""),"tlmeadowlark")</f>
        <v>tlmeadowlark</v>
      </c>
      <c r="F262" s="38">
        <f t="shared" si="1"/>
        <v>4</v>
      </c>
      <c r="G262" s="38">
        <f>COUNTIFS(HH_FCSP!$G$18:$G$3617,$E262,HH_FCSP!$F$18:$F$3617,"catapult/crossbow")</f>
        <v>4</v>
      </c>
      <c r="H262" s="38">
        <f>COUNTIFS(HH_FCSP!$G$18:$G$3617,$E262,HH_FCSP!$F$18:$F$3617,"white")</f>
        <v>0</v>
      </c>
    </row>
    <row r="263">
      <c r="A263" s="38" t="s">
        <v>767</v>
      </c>
      <c r="B263" s="38">
        <v>1.0</v>
      </c>
      <c r="C263" s="38">
        <v>1.0</v>
      </c>
      <c r="D263" s="38">
        <v>0.0</v>
      </c>
      <c r="E263" s="38" t="str">
        <f>IFERROR(__xludf.DUMMYFUNCTION("""COMPUTED_VALUE"""),"tomtom71")</f>
        <v>tomtom71</v>
      </c>
      <c r="F263" s="38">
        <f t="shared" si="1"/>
        <v>2</v>
      </c>
      <c r="G263" s="38">
        <f>COUNTIFS(HH_FCSP!$G$18:$G$3617,$E263,HH_FCSP!$F$18:$F$3617,"catapult/crossbow")</f>
        <v>2</v>
      </c>
      <c r="H263" s="38">
        <f>COUNTIFS(HH_FCSP!$G$18:$G$3617,$E263,HH_FCSP!$F$18:$F$3617,"white")</f>
        <v>0</v>
      </c>
    </row>
    <row r="264">
      <c r="A264" s="38" t="s">
        <v>598</v>
      </c>
      <c r="B264" s="38">
        <v>1.0</v>
      </c>
      <c r="C264" s="38">
        <v>1.0</v>
      </c>
      <c r="D264" s="38">
        <v>0.0</v>
      </c>
      <c r="E264" s="38" t="str">
        <f>IFERROR(__xludf.DUMMYFUNCTION("""COMPUTED_VALUE"""),"Traycee")</f>
        <v>Traycee</v>
      </c>
      <c r="F264" s="38">
        <f t="shared" si="1"/>
        <v>1</v>
      </c>
      <c r="G264" s="38">
        <f>COUNTIFS(HH_FCSP!$G$18:$G$3617,$E264,HH_FCSP!$F$18:$F$3617,"catapult/crossbow")</f>
        <v>1</v>
      </c>
      <c r="H264" s="38">
        <f>COUNTIFS(HH_FCSP!$G$18:$G$3617,$E264,HH_FCSP!$F$18:$F$3617,"white")</f>
        <v>0</v>
      </c>
    </row>
    <row r="265">
      <c r="A265" s="38" t="s">
        <v>76</v>
      </c>
      <c r="B265" s="38">
        <v>1.0</v>
      </c>
      <c r="C265" s="38">
        <v>0.0</v>
      </c>
      <c r="D265" s="38">
        <v>1.0</v>
      </c>
      <c r="E265" s="38" t="str">
        <f>IFERROR(__xludf.DUMMYFUNCTION("""COMPUTED_VALUE"""),"Trinktroll")</f>
        <v>Trinktroll</v>
      </c>
      <c r="F265" s="38">
        <f t="shared" si="1"/>
        <v>2</v>
      </c>
      <c r="G265" s="38">
        <f>COUNTIFS(HH_FCSP!$G$18:$G$3617,$E265,HH_FCSP!$F$18:$F$3617,"catapult/crossbow")</f>
        <v>0</v>
      </c>
      <c r="H265" s="38">
        <f>COUNTIFS(HH_FCSP!$G$18:$G$3617,$E265,HH_FCSP!$F$18:$F$3617,"white")</f>
        <v>2</v>
      </c>
    </row>
    <row r="266">
      <c r="A266" s="38" t="s">
        <v>100</v>
      </c>
      <c r="B266" s="38">
        <v>1.0</v>
      </c>
      <c r="C266" s="38">
        <v>0.0</v>
      </c>
      <c r="D266" s="38">
        <v>1.0</v>
      </c>
      <c r="E266" s="38" t="str">
        <f>IFERROR(__xludf.DUMMYFUNCTION("""COMPUTED_VALUE"""),"Trunte2002")</f>
        <v>Trunte2002</v>
      </c>
      <c r="F266" s="38">
        <f t="shared" si="1"/>
        <v>5</v>
      </c>
      <c r="G266" s="38">
        <f>COUNTIFS(HH_FCSP!$G$18:$G$3617,$E266,HH_FCSP!$F$18:$F$3617,"catapult/crossbow")</f>
        <v>3</v>
      </c>
      <c r="H266" s="38">
        <f>COUNTIFS(HH_FCSP!$G$18:$G$3617,$E266,HH_FCSP!$F$18:$F$3617,"white")</f>
        <v>2</v>
      </c>
    </row>
    <row r="267">
      <c r="A267" s="38" t="s">
        <v>1118</v>
      </c>
      <c r="B267" s="38">
        <v>1.0</v>
      </c>
      <c r="C267" s="38">
        <v>0.0</v>
      </c>
      <c r="D267" s="38">
        <v>1.0</v>
      </c>
      <c r="E267" s="38" t="str">
        <f>IFERROR(__xludf.DUMMYFUNCTION("""COMPUTED_VALUE"""),"valsey")</f>
        <v>valsey</v>
      </c>
      <c r="F267" s="38">
        <f t="shared" si="1"/>
        <v>4</v>
      </c>
      <c r="G267" s="38">
        <f>COUNTIFS(HH_FCSP!$G$18:$G$3617,$E267,HH_FCSP!$F$18:$F$3617,"catapult/crossbow")</f>
        <v>4</v>
      </c>
      <c r="H267" s="38">
        <f>COUNTIFS(HH_FCSP!$G$18:$G$3617,$E267,HH_FCSP!$F$18:$F$3617,"white")</f>
        <v>0</v>
      </c>
    </row>
    <row r="268">
      <c r="A268" s="38" t="s">
        <v>1143</v>
      </c>
      <c r="B268" s="38">
        <v>1.0</v>
      </c>
      <c r="C268" s="38">
        <v>0.0</v>
      </c>
      <c r="D268" s="38">
        <v>1.0</v>
      </c>
      <c r="E268" s="38" t="str">
        <f>IFERROR(__xludf.DUMMYFUNCTION("""COMPUTED_VALUE"""),"VLoopSouth")</f>
        <v>VLoopSouth</v>
      </c>
      <c r="F268" s="38">
        <f t="shared" si="1"/>
        <v>2</v>
      </c>
      <c r="G268" s="38">
        <f>COUNTIFS(HH_FCSP!$G$18:$G$3617,$E268,HH_FCSP!$F$18:$F$3617,"catapult/crossbow")</f>
        <v>2</v>
      </c>
      <c r="H268" s="38">
        <f>COUNTIFS(HH_FCSP!$G$18:$G$3617,$E268,HH_FCSP!$F$18:$F$3617,"white")</f>
        <v>0</v>
      </c>
    </row>
    <row r="269">
      <c r="A269" s="38" t="s">
        <v>200</v>
      </c>
      <c r="B269" s="38">
        <v>1.0</v>
      </c>
      <c r="C269" s="38">
        <v>0.0</v>
      </c>
      <c r="D269" s="38">
        <v>1.0</v>
      </c>
      <c r="E269" s="38" t="str">
        <f>IFERROR(__xludf.DUMMYFUNCTION("""COMPUTED_VALUE"""),"volatile")</f>
        <v>volatile</v>
      </c>
      <c r="F269" s="38">
        <f t="shared" si="1"/>
        <v>1</v>
      </c>
      <c r="G269" s="38">
        <f>COUNTIFS(HH_FCSP!$G$18:$G$3617,$E269,HH_FCSP!$F$18:$F$3617,"catapult/crossbow")</f>
        <v>1</v>
      </c>
      <c r="H269" s="38">
        <f>COUNTIFS(HH_FCSP!$G$18:$G$3617,$E269,HH_FCSP!$F$18:$F$3617,"white")</f>
        <v>0</v>
      </c>
    </row>
    <row r="270">
      <c r="A270" s="38" t="s">
        <v>53</v>
      </c>
      <c r="B270" s="38">
        <v>1.0</v>
      </c>
      <c r="C270" s="38">
        <v>0.0</v>
      </c>
      <c r="D270" s="38">
        <v>1.0</v>
      </c>
      <c r="E270" s="38" t="str">
        <f>IFERROR(__xludf.DUMMYFUNCTION("""COMPUTED_VALUE"""),"volki2000")</f>
        <v>volki2000</v>
      </c>
      <c r="F270" s="38">
        <f t="shared" si="1"/>
        <v>2</v>
      </c>
      <c r="G270" s="38">
        <f>COUNTIFS(HH_FCSP!$G$18:$G$3617,$E270,HH_FCSP!$F$18:$F$3617,"catapult/crossbow")</f>
        <v>2</v>
      </c>
      <c r="H270" s="38">
        <f>COUNTIFS(HH_FCSP!$G$18:$G$3617,$E270,HH_FCSP!$F$18:$F$3617,"white")</f>
        <v>0</v>
      </c>
    </row>
    <row r="271">
      <c r="A271" s="38" t="s">
        <v>190</v>
      </c>
      <c r="B271" s="38">
        <v>1.0</v>
      </c>
      <c r="C271" s="38">
        <v>0.0</v>
      </c>
      <c r="D271" s="38">
        <v>1.0</v>
      </c>
      <c r="E271" s="38" t="str">
        <f>IFERROR(__xludf.DUMMYFUNCTION("""COMPUTED_VALUE"""),"wally62")</f>
        <v>wally62</v>
      </c>
      <c r="F271" s="38">
        <f t="shared" si="1"/>
        <v>1</v>
      </c>
      <c r="G271" s="38">
        <f>COUNTIFS(HH_FCSP!$G$18:$G$3617,$E271,HH_FCSP!$F$18:$F$3617,"catapult/crossbow")</f>
        <v>1</v>
      </c>
      <c r="H271" s="38">
        <f>COUNTIFS(HH_FCSP!$G$18:$G$3617,$E271,HH_FCSP!$F$18:$F$3617,"white")</f>
        <v>0</v>
      </c>
    </row>
    <row r="272">
      <c r="A272" s="38" t="s">
        <v>38</v>
      </c>
      <c r="B272" s="38">
        <v>1.0</v>
      </c>
      <c r="C272" s="38">
        <v>0.0</v>
      </c>
      <c r="D272" s="38">
        <v>1.0</v>
      </c>
      <c r="E272" s="38" t="str">
        <f>IFERROR(__xludf.DUMMYFUNCTION("""COMPUTED_VALUE"""),"WangoTango ")</f>
        <v>WangoTango </v>
      </c>
      <c r="F272" s="38">
        <f t="shared" si="1"/>
        <v>1</v>
      </c>
      <c r="G272" s="38">
        <f>COUNTIFS(HH_FCSP!$G$18:$G$3617,$E272,HH_FCSP!$F$18:$F$3617,"catapult/crossbow")</f>
        <v>1</v>
      </c>
      <c r="H272" s="38">
        <f>COUNTIFS(HH_FCSP!$G$18:$G$3617,$E272,HH_FCSP!$F$18:$F$3617,"white")</f>
        <v>0</v>
      </c>
    </row>
    <row r="273">
      <c r="A273" s="38" t="s">
        <v>52</v>
      </c>
      <c r="B273" s="38">
        <v>1.0</v>
      </c>
      <c r="C273" s="38">
        <v>0.0</v>
      </c>
      <c r="D273" s="38">
        <v>1.0</v>
      </c>
      <c r="E273" s="38" t="str">
        <f>IFERROR(__xludf.DUMMYFUNCTION("""COMPUTED_VALUE"""),"WE4NCS")</f>
        <v>WE4NCS</v>
      </c>
      <c r="F273" s="38">
        <f t="shared" si="1"/>
        <v>3</v>
      </c>
      <c r="G273" s="38">
        <f>COUNTIFS(HH_FCSP!$G$18:$G$3617,$E273,HH_FCSP!$F$18:$F$3617,"catapult/crossbow")</f>
        <v>3</v>
      </c>
      <c r="H273" s="38">
        <f>COUNTIFS(HH_FCSP!$G$18:$G$3617,$E273,HH_FCSP!$F$18:$F$3617,"white")</f>
        <v>0</v>
      </c>
    </row>
    <row r="274">
      <c r="A274" s="38" t="s">
        <v>39</v>
      </c>
      <c r="B274" s="38">
        <v>1.0</v>
      </c>
      <c r="C274" s="38">
        <v>0.0</v>
      </c>
      <c r="D274" s="38">
        <v>1.0</v>
      </c>
      <c r="E274" s="38" t="str">
        <f>IFERROR(__xludf.DUMMYFUNCTION("""COMPUTED_VALUE"""),"webeon2it")</f>
        <v>webeon2it</v>
      </c>
      <c r="F274" s="38">
        <f t="shared" si="1"/>
        <v>1</v>
      </c>
      <c r="G274" s="38">
        <f>COUNTIFS(HH_FCSP!$G$18:$G$3617,$E274,HH_FCSP!$F$18:$F$3617,"catapult/crossbow")</f>
        <v>1</v>
      </c>
      <c r="H274" s="38">
        <f>COUNTIFS(HH_FCSP!$G$18:$G$3617,$E274,HH_FCSP!$F$18:$F$3617,"white")</f>
        <v>0</v>
      </c>
    </row>
    <row r="275">
      <c r="A275" s="38" t="s">
        <v>46</v>
      </c>
      <c r="B275" s="38">
        <v>1.0</v>
      </c>
      <c r="C275" s="38">
        <v>0.0</v>
      </c>
      <c r="D275" s="38">
        <v>1.0</v>
      </c>
      <c r="E275" s="38" t="str">
        <f>IFERROR(__xludf.DUMMYFUNCTION("""COMPUTED_VALUE"""),"Westies")</f>
        <v>Westies</v>
      </c>
      <c r="F275" s="38">
        <f t="shared" si="1"/>
        <v>2</v>
      </c>
      <c r="G275" s="38">
        <f>COUNTIFS(HH_FCSP!$G$18:$G$3617,$E275,HH_FCSP!$F$18:$F$3617,"catapult/crossbow")</f>
        <v>2</v>
      </c>
      <c r="H275" s="38">
        <f>COUNTIFS(HH_FCSP!$G$18:$G$3617,$E275,HH_FCSP!$F$18:$F$3617,"white")</f>
        <v>0</v>
      </c>
    </row>
    <row r="276">
      <c r="A276" s="38" t="s">
        <v>33</v>
      </c>
      <c r="B276" s="38">
        <v>1.0</v>
      </c>
      <c r="C276" s="38">
        <v>0.0</v>
      </c>
      <c r="D276" s="38">
        <v>1.0</v>
      </c>
      <c r="E276" s="38" t="str">
        <f>IFERROR(__xludf.DUMMYFUNCTION("""COMPUTED_VALUE"""),"WiPaMa")</f>
        <v>WiPaMa</v>
      </c>
      <c r="F276" s="38">
        <f t="shared" si="1"/>
        <v>2</v>
      </c>
      <c r="G276" s="38">
        <f>COUNTIFS(HH_FCSP!$G$18:$G$3617,$E276,HH_FCSP!$F$18:$F$3617,"catapult/crossbow")</f>
        <v>1</v>
      </c>
      <c r="H276" s="38">
        <f>COUNTIFS(HH_FCSP!$G$18:$G$3617,$E276,HH_FCSP!$F$18:$F$3617,"white")</f>
        <v>1</v>
      </c>
    </row>
    <row r="277">
      <c r="A277" s="38" t="s">
        <v>166</v>
      </c>
      <c r="B277" s="38">
        <v>1.0</v>
      </c>
      <c r="C277" s="38">
        <v>0.0</v>
      </c>
      <c r="D277" s="38">
        <v>1.0</v>
      </c>
      <c r="E277" s="38" t="str">
        <f>IFERROR(__xludf.DUMMYFUNCTION("""COMPUTED_VALUE"""),"Wonderworld")</f>
        <v>Wonderworld</v>
      </c>
      <c r="F277" s="38">
        <f t="shared" si="1"/>
        <v>2</v>
      </c>
      <c r="G277" s="38">
        <f>COUNTIFS(HH_FCSP!$G$18:$G$3617,$E277,HH_FCSP!$F$18:$F$3617,"catapult/crossbow")</f>
        <v>0</v>
      </c>
      <c r="H277" s="38">
        <f>COUNTIFS(HH_FCSP!$G$18:$G$3617,$E277,HH_FCSP!$F$18:$F$3617,"white")</f>
        <v>2</v>
      </c>
    </row>
    <row r="278">
      <c r="A278" s="38" t="s">
        <v>90</v>
      </c>
      <c r="B278" s="38">
        <v>1.0</v>
      </c>
      <c r="C278" s="38">
        <v>0.0</v>
      </c>
      <c r="D278" s="38">
        <v>1.0</v>
      </c>
      <c r="E278" s="38" t="str">
        <f>IFERROR(__xludf.DUMMYFUNCTION("""COMPUTED_VALUE"""),"Wullewutsch")</f>
        <v>Wullewutsch</v>
      </c>
      <c r="F278" s="38">
        <f t="shared" si="1"/>
        <v>1</v>
      </c>
      <c r="G278" s="38">
        <f>COUNTIFS(HH_FCSP!$G$18:$G$3617,$E278,HH_FCSP!$F$18:$F$3617,"catapult/crossbow")</f>
        <v>1</v>
      </c>
      <c r="H278" s="38">
        <f>COUNTIFS(HH_FCSP!$G$18:$G$3617,$E278,HH_FCSP!$F$18:$F$3617,"white")</f>
        <v>0</v>
      </c>
    </row>
    <row r="279">
      <c r="A279" s="38" t="s">
        <v>96</v>
      </c>
      <c r="B279" s="38">
        <v>1.0</v>
      </c>
      <c r="C279" s="38">
        <v>0.0</v>
      </c>
      <c r="D279" s="38">
        <v>1.0</v>
      </c>
      <c r="E279" s="38" t="str">
        <f>IFERROR(__xludf.DUMMYFUNCTION("""COMPUTED_VALUE"""),"WVKiwi")</f>
        <v>WVKiwi</v>
      </c>
      <c r="F279" s="38">
        <f t="shared" si="1"/>
        <v>1</v>
      </c>
      <c r="G279" s="38">
        <f>COUNTIFS(HH_FCSP!$G$18:$G$3617,$E279,HH_FCSP!$F$18:$F$3617,"catapult/crossbow")</f>
        <v>1</v>
      </c>
      <c r="H279" s="38">
        <f>COUNTIFS(HH_FCSP!$G$18:$G$3617,$E279,HH_FCSP!$F$18:$F$3617,"white")</f>
        <v>0</v>
      </c>
    </row>
    <row r="280">
      <c r="A280" s="38" t="s">
        <v>85</v>
      </c>
      <c r="B280" s="38">
        <v>1.0</v>
      </c>
      <c r="C280" s="38">
        <v>0.0</v>
      </c>
      <c r="D280" s="38">
        <v>1.0</v>
      </c>
      <c r="E280" s="38" t="str">
        <f>IFERROR(__xludf.DUMMYFUNCTION("""COMPUTED_VALUE"""),"yoloerik")</f>
        <v>yoloerik</v>
      </c>
      <c r="F280" s="38">
        <f t="shared" si="1"/>
        <v>2</v>
      </c>
      <c r="G280" s="38">
        <f>COUNTIFS(HH_FCSP!$G$18:$G$3617,$E280,HH_FCSP!$F$18:$F$3617,"catapult/crossbow")</f>
        <v>2</v>
      </c>
      <c r="H280" s="38">
        <f>COUNTIFS(HH_FCSP!$G$18:$G$3617,$E280,HH_FCSP!$F$18:$F$3617,"white")</f>
        <v>0</v>
      </c>
    </row>
    <row r="281">
      <c r="A281" s="38" t="s">
        <v>36</v>
      </c>
      <c r="B281" s="38">
        <v>1.0</v>
      </c>
      <c r="C281" s="38">
        <v>0.0</v>
      </c>
      <c r="D281" s="38">
        <v>1.0</v>
      </c>
      <c r="E281" s="38" t="str">
        <f>IFERROR(__xludf.DUMMYFUNCTION("""COMPUTED_VALUE"""),"Zwirk")</f>
        <v>Zwirk</v>
      </c>
      <c r="F281" s="38">
        <f t="shared" si="1"/>
        <v>2</v>
      </c>
      <c r="G281" s="38">
        <f>COUNTIFS(HH_FCSP!$G$18:$G$3617,$E281,HH_FCSP!$F$18:$F$3617,"catapult/crossbow")</f>
        <v>0</v>
      </c>
      <c r="H281" s="38">
        <f>COUNTIFS(HH_FCSP!$G$18:$G$3617,$E281,HH_FCSP!$F$18:$F$3617,"white")</f>
        <v>2</v>
      </c>
    </row>
    <row r="282">
      <c r="A282" s="38"/>
      <c r="B282" s="38">
        <v>0.0</v>
      </c>
      <c r="C282" s="38">
        <v>0.0</v>
      </c>
      <c r="D282" s="38">
        <v>0.0</v>
      </c>
      <c r="E282" s="38"/>
      <c r="F282" s="38">
        <f t="shared" si="1"/>
        <v>0</v>
      </c>
      <c r="G282" s="38">
        <f>COUNTIFS(HH_FCSP!$G$18:$G$3617,$E282,HH_FCSP!$F$18:$F$3617,"catapult/crossbow")</f>
        <v>0</v>
      </c>
      <c r="H282" s="38">
        <f>COUNTIFS(HH_FCSP!$G$18:$G$3617,$E282,HH_FCSP!$F$18:$F$3617,"white")</f>
        <v>0</v>
      </c>
    </row>
    <row r="283">
      <c r="A283" s="38"/>
      <c r="B283" s="38">
        <v>0.0</v>
      </c>
      <c r="C283" s="38">
        <v>0.0</v>
      </c>
      <c r="D283" s="38">
        <v>0.0</v>
      </c>
      <c r="E283" s="38"/>
      <c r="F283" s="38">
        <f t="shared" si="1"/>
        <v>0</v>
      </c>
      <c r="G283" s="38">
        <f>COUNTIFS(HH_FCSP!$G$18:$G$3617,$E283,HH_FCSP!$F$18:$F$3617,"catapult/crossbow")</f>
        <v>0</v>
      </c>
      <c r="H283" s="38">
        <f>COUNTIFS(HH_FCSP!$G$18:$G$3617,$E283,HH_FCSP!$F$18:$F$3617,"white")</f>
        <v>0</v>
      </c>
    </row>
    <row r="284">
      <c r="A284" s="38"/>
      <c r="B284" s="38">
        <v>0.0</v>
      </c>
      <c r="C284" s="38">
        <v>0.0</v>
      </c>
      <c r="D284" s="38">
        <v>0.0</v>
      </c>
      <c r="E284" s="38"/>
      <c r="F284" s="38">
        <f t="shared" si="1"/>
        <v>0</v>
      </c>
      <c r="G284" s="38">
        <f>COUNTIFS(HH_FCSP!$G$18:$G$3617,$E284,HH_FCSP!$F$18:$F$3617,"catapult/crossbow")</f>
        <v>0</v>
      </c>
      <c r="H284" s="38">
        <f>COUNTIFS(HH_FCSP!$G$18:$G$3617,$E284,HH_FCSP!$F$18:$F$3617,"white")</f>
        <v>0</v>
      </c>
    </row>
    <row r="285">
      <c r="A285" s="38"/>
      <c r="B285" s="38">
        <v>0.0</v>
      </c>
      <c r="C285" s="38">
        <v>0.0</v>
      </c>
      <c r="D285" s="38">
        <v>0.0</v>
      </c>
      <c r="E285" s="38"/>
      <c r="F285" s="38">
        <f t="shared" si="1"/>
        <v>0</v>
      </c>
      <c r="G285" s="38">
        <f>COUNTIFS(HH_FCSP!$G$18:$G$3617,$E285,HH_FCSP!$F$18:$F$3617,"catapult/crossbow")</f>
        <v>0</v>
      </c>
      <c r="H285" s="38">
        <f>COUNTIFS(HH_FCSP!$G$18:$G$3617,$E285,HH_FCSP!$F$18:$F$3617,"white")</f>
        <v>0</v>
      </c>
    </row>
    <row r="286">
      <c r="A286" s="38"/>
      <c r="B286" s="38">
        <v>0.0</v>
      </c>
      <c r="C286" s="38">
        <v>0.0</v>
      </c>
      <c r="D286" s="38">
        <v>0.0</v>
      </c>
      <c r="E286" s="38"/>
      <c r="F286" s="38">
        <f t="shared" si="1"/>
        <v>0</v>
      </c>
      <c r="G286" s="38">
        <f>COUNTIFS(HH_FCSP!$G$18:$G$3617,$E286,HH_FCSP!$F$18:$F$3617,"catapult/crossbow")</f>
        <v>0</v>
      </c>
      <c r="H286" s="38">
        <f>COUNTIFS(HH_FCSP!$G$18:$G$3617,$E286,HH_FCSP!$F$18:$F$3617,"white")</f>
        <v>0</v>
      </c>
    </row>
    <row r="287">
      <c r="A287" s="38"/>
      <c r="B287" s="38">
        <v>0.0</v>
      </c>
      <c r="C287" s="38">
        <v>0.0</v>
      </c>
      <c r="D287" s="38">
        <v>0.0</v>
      </c>
      <c r="E287" s="38"/>
      <c r="F287" s="38">
        <f t="shared" si="1"/>
        <v>0</v>
      </c>
      <c r="G287" s="38">
        <f>COUNTIFS(HH_FCSP!$G$18:$G$3617,$E287,HH_FCSP!$F$18:$F$3617,"catapult/crossbow")</f>
        <v>0</v>
      </c>
      <c r="H287" s="38">
        <f>COUNTIFS(HH_FCSP!$G$18:$G$3617,$E287,HH_FCSP!$F$18:$F$3617,"white")</f>
        <v>0</v>
      </c>
    </row>
    <row r="288">
      <c r="A288" s="38"/>
      <c r="B288" s="38">
        <v>0.0</v>
      </c>
      <c r="C288" s="38">
        <v>0.0</v>
      </c>
      <c r="D288" s="38">
        <v>0.0</v>
      </c>
      <c r="E288" s="38"/>
      <c r="F288" s="38">
        <f t="shared" si="1"/>
        <v>0</v>
      </c>
      <c r="G288" s="38">
        <f>COUNTIFS(HH_FCSP!$G$18:$G$3617,$E288,HH_FCSP!$F$18:$F$3617,"catapult/crossbow")</f>
        <v>0</v>
      </c>
      <c r="H288" s="38">
        <f>COUNTIFS(HH_FCSP!$G$18:$G$3617,$E288,HH_FCSP!$F$18:$F$3617,"white")</f>
        <v>0</v>
      </c>
    </row>
    <row r="289">
      <c r="A289" s="38"/>
      <c r="B289" s="38">
        <v>0.0</v>
      </c>
      <c r="C289" s="38">
        <v>0.0</v>
      </c>
      <c r="D289" s="38">
        <v>0.0</v>
      </c>
      <c r="E289" s="38"/>
      <c r="F289" s="38">
        <f t="shared" si="1"/>
        <v>0</v>
      </c>
      <c r="G289" s="38">
        <f>COUNTIFS(HH_FCSP!$G$18:$G$3617,$E289,HH_FCSP!$F$18:$F$3617,"catapult/crossbow")</f>
        <v>0</v>
      </c>
      <c r="H289" s="38">
        <f>COUNTIFS(HH_FCSP!$G$18:$G$3617,$E289,HH_FCSP!$F$18:$F$3617,"white")</f>
        <v>0</v>
      </c>
    </row>
    <row r="290">
      <c r="A290" s="38"/>
      <c r="B290" s="38">
        <v>0.0</v>
      </c>
      <c r="C290" s="38">
        <v>0.0</v>
      </c>
      <c r="D290" s="38">
        <v>0.0</v>
      </c>
      <c r="E290" s="38"/>
      <c r="F290" s="38">
        <f t="shared" si="1"/>
        <v>0</v>
      </c>
      <c r="G290" s="38">
        <f>COUNTIFS(HH_FCSP!$G$18:$G$3617,$E290,HH_FCSP!$F$18:$F$3617,"catapult/crossbow")</f>
        <v>0</v>
      </c>
      <c r="H290" s="38">
        <f>COUNTIFS(HH_FCSP!$G$18:$G$3617,$E290,HH_FCSP!$F$18:$F$3617,"white")</f>
        <v>0</v>
      </c>
    </row>
    <row r="291">
      <c r="A291" s="38"/>
      <c r="B291" s="38">
        <v>0.0</v>
      </c>
      <c r="C291" s="38">
        <v>0.0</v>
      </c>
      <c r="D291" s="38">
        <v>0.0</v>
      </c>
      <c r="E291" s="38"/>
      <c r="F291" s="38">
        <f t="shared" si="1"/>
        <v>0</v>
      </c>
      <c r="G291" s="38">
        <f>COUNTIFS(HH_FCSP!$G$18:$G$3617,$E291,HH_FCSP!$F$18:$F$3617,"catapult/crossbow")</f>
        <v>0</v>
      </c>
      <c r="H291" s="38">
        <f>COUNTIFS(HH_FCSP!$G$18:$G$3617,$E291,HH_FCSP!$F$18:$F$3617,"white")</f>
        <v>0</v>
      </c>
    </row>
    <row r="292">
      <c r="A292" s="38"/>
      <c r="B292" s="38">
        <v>0.0</v>
      </c>
      <c r="C292" s="38">
        <v>0.0</v>
      </c>
      <c r="D292" s="38">
        <v>0.0</v>
      </c>
      <c r="E292" s="38"/>
      <c r="F292" s="38">
        <f t="shared" si="1"/>
        <v>0</v>
      </c>
      <c r="G292" s="38">
        <f>COUNTIFS(HH_FCSP!$G$18:$G$3617,$E292,HH_FCSP!$F$18:$F$3617,"catapult/crossbow")</f>
        <v>0</v>
      </c>
      <c r="H292" s="38">
        <f>COUNTIFS(HH_FCSP!$G$18:$G$3617,$E292,HH_FCSP!$F$18:$F$3617,"white")</f>
        <v>0</v>
      </c>
    </row>
    <row r="293">
      <c r="A293" s="38"/>
      <c r="B293" s="38">
        <v>0.0</v>
      </c>
      <c r="C293" s="38">
        <v>0.0</v>
      </c>
      <c r="D293" s="38">
        <v>0.0</v>
      </c>
      <c r="E293" s="38"/>
      <c r="F293" s="38">
        <f t="shared" si="1"/>
        <v>0</v>
      </c>
      <c r="G293" s="38">
        <f>COUNTIFS(HH_FCSP!$G$18:$G$3617,$E293,HH_FCSP!$F$18:$F$3617,"catapult/crossbow")</f>
        <v>0</v>
      </c>
      <c r="H293" s="38">
        <f>COUNTIFS(HH_FCSP!$G$18:$G$3617,$E293,HH_FCSP!$F$18:$F$3617,"white")</f>
        <v>0</v>
      </c>
    </row>
    <row r="294">
      <c r="A294" s="38"/>
      <c r="B294" s="38">
        <v>0.0</v>
      </c>
      <c r="C294" s="38">
        <v>0.0</v>
      </c>
      <c r="D294" s="38">
        <v>0.0</v>
      </c>
      <c r="E294" s="38"/>
      <c r="F294" s="38">
        <f t="shared" si="1"/>
        <v>0</v>
      </c>
      <c r="G294" s="38">
        <f>COUNTIFS(HH_FCSP!$G$18:$G$3617,$E294,HH_FCSP!$F$18:$F$3617,"catapult/crossbow")</f>
        <v>0</v>
      </c>
      <c r="H294" s="38">
        <f>COUNTIFS(HH_FCSP!$G$18:$G$3617,$E294,HH_FCSP!$F$18:$F$3617,"white")</f>
        <v>0</v>
      </c>
    </row>
    <row r="295">
      <c r="A295" s="38"/>
      <c r="B295" s="38">
        <v>0.0</v>
      </c>
      <c r="C295" s="38">
        <v>0.0</v>
      </c>
      <c r="D295" s="38">
        <v>0.0</v>
      </c>
      <c r="E295" s="38"/>
      <c r="F295" s="38">
        <f t="shared" si="1"/>
        <v>0</v>
      </c>
      <c r="G295" s="38">
        <f>COUNTIFS(HH_FCSP!$G$18:$G$3617,$E295,HH_FCSP!$F$18:$F$3617,"catapult/crossbow")</f>
        <v>0</v>
      </c>
      <c r="H295" s="38">
        <f>COUNTIFS(HH_FCSP!$G$18:$G$3617,$E295,HH_FCSP!$F$18:$F$3617,"white")</f>
        <v>0</v>
      </c>
    </row>
    <row r="296">
      <c r="A296" s="38"/>
      <c r="B296" s="38">
        <v>0.0</v>
      </c>
      <c r="C296" s="38">
        <v>0.0</v>
      </c>
      <c r="D296" s="38">
        <v>0.0</v>
      </c>
      <c r="E296" s="38"/>
      <c r="F296" s="38">
        <f t="shared" si="1"/>
        <v>0</v>
      </c>
      <c r="G296" s="38">
        <f>COUNTIFS(HH_FCSP!$G$18:$G$3617,$E296,HH_FCSP!$F$18:$F$3617,"catapult/crossbow")</f>
        <v>0</v>
      </c>
      <c r="H296" s="38">
        <f>COUNTIFS(HH_FCSP!$G$18:$G$3617,$E296,HH_FCSP!$F$18:$F$3617,"white")</f>
        <v>0</v>
      </c>
    </row>
    <row r="297">
      <c r="A297" s="38"/>
      <c r="B297" s="38">
        <v>0.0</v>
      </c>
      <c r="C297" s="38">
        <v>0.0</v>
      </c>
      <c r="D297" s="38">
        <v>0.0</v>
      </c>
      <c r="E297" s="38"/>
      <c r="F297" s="38">
        <f t="shared" si="1"/>
        <v>0</v>
      </c>
      <c r="G297" s="38">
        <f>COUNTIFS(HH_FCSP!$G$18:$G$3617,$E297,HH_FCSP!$F$18:$F$3617,"catapult/crossbow")</f>
        <v>0</v>
      </c>
      <c r="H297" s="38">
        <f>COUNTIFS(HH_FCSP!$G$18:$G$3617,$E297,HH_FCSP!$F$18:$F$3617,"white")</f>
        <v>0</v>
      </c>
    </row>
    <row r="298">
      <c r="A298" s="38"/>
      <c r="B298" s="38">
        <v>0.0</v>
      </c>
      <c r="C298" s="38">
        <v>0.0</v>
      </c>
      <c r="D298" s="38">
        <v>0.0</v>
      </c>
      <c r="E298" s="38"/>
      <c r="F298" s="38">
        <f t="shared" si="1"/>
        <v>0</v>
      </c>
      <c r="G298" s="38">
        <f>COUNTIFS(HH_FCSP!$G$18:$G$3617,$E298,HH_FCSP!$F$18:$F$3617,"catapult/crossbow")</f>
        <v>0</v>
      </c>
      <c r="H298" s="38">
        <f>COUNTIFS(HH_FCSP!$G$18:$G$3617,$E298,HH_FCSP!$F$18:$F$3617,"white")</f>
        <v>0</v>
      </c>
    </row>
    <row r="299">
      <c r="A299" s="38"/>
      <c r="B299" s="38">
        <v>0.0</v>
      </c>
      <c r="C299" s="38">
        <v>0.0</v>
      </c>
      <c r="D299" s="38">
        <v>0.0</v>
      </c>
      <c r="E299" s="38"/>
      <c r="F299" s="38">
        <f t="shared" si="1"/>
        <v>0</v>
      </c>
      <c r="G299" s="38">
        <f>COUNTIFS(HH_FCSP!$G$18:$G$3617,$E299,HH_FCSP!$F$18:$F$3617,"catapult/crossbow")</f>
        <v>0</v>
      </c>
      <c r="H299" s="38">
        <f>COUNTIFS(HH_FCSP!$G$18:$G$3617,$E299,HH_FCSP!$F$18:$F$3617,"white")</f>
        <v>0</v>
      </c>
    </row>
    <row r="300">
      <c r="A300" s="38"/>
      <c r="B300" s="38">
        <v>0.0</v>
      </c>
      <c r="C300" s="38">
        <v>0.0</v>
      </c>
      <c r="D300" s="38">
        <v>0.0</v>
      </c>
      <c r="E300" s="38"/>
      <c r="F300" s="38">
        <f t="shared" si="1"/>
        <v>0</v>
      </c>
      <c r="G300" s="38">
        <f>COUNTIFS(HH_FCSP!$G$18:$G$3617,$E300,HH_FCSP!$F$18:$F$3617,"catapult/crossbow")</f>
        <v>0</v>
      </c>
      <c r="H300" s="38">
        <f>COUNTIFS(HH_FCSP!$G$18:$G$3617,$E300,HH_FCSP!$F$18:$F$3617,"white")</f>
        <v>0</v>
      </c>
    </row>
    <row r="301">
      <c r="A301" s="38"/>
      <c r="B301" s="38">
        <v>0.0</v>
      </c>
      <c r="C301" s="38">
        <v>0.0</v>
      </c>
      <c r="D301" s="38">
        <v>0.0</v>
      </c>
      <c r="E301" s="38"/>
      <c r="F301" s="38">
        <f t="shared" si="1"/>
        <v>0</v>
      </c>
      <c r="G301" s="38">
        <f>COUNTIFS(HH_FCSP!$G$18:$G$3617,$E301,HH_FCSP!$F$18:$F$3617,"catapult/crossbow")</f>
        <v>0</v>
      </c>
      <c r="H301" s="38">
        <f>COUNTIFS(HH_FCSP!$G$18:$G$3617,$E301,HH_FCSP!$F$18:$F$3617,"white")</f>
        <v>0</v>
      </c>
    </row>
    <row r="302">
      <c r="A302" s="38"/>
      <c r="B302" s="38">
        <v>0.0</v>
      </c>
      <c r="C302" s="38">
        <v>0.0</v>
      </c>
      <c r="D302" s="38">
        <v>0.0</v>
      </c>
      <c r="E302" s="38"/>
      <c r="F302" s="38">
        <f t="shared" si="1"/>
        <v>0</v>
      </c>
      <c r="G302" s="38">
        <f>COUNTIFS(HH_FCSP!$G$18:$G$3617,$E302,HH_FCSP!$F$18:$F$3617,"catapult/crossbow")</f>
        <v>0</v>
      </c>
      <c r="H302" s="38">
        <f>COUNTIFS(HH_FCSP!$G$18:$G$3617,$E302,HH_FCSP!$F$18:$F$3617,"white")</f>
        <v>0</v>
      </c>
    </row>
    <row r="303">
      <c r="A303" s="38"/>
      <c r="B303" s="38">
        <v>0.0</v>
      </c>
      <c r="C303" s="38">
        <v>0.0</v>
      </c>
      <c r="D303" s="38">
        <v>0.0</v>
      </c>
      <c r="E303" s="38"/>
      <c r="F303" s="38">
        <f t="shared" si="1"/>
        <v>0</v>
      </c>
      <c r="G303" s="38">
        <f>COUNTIFS(HH_FCSP!$G$18:$G$3617,$E303,HH_FCSP!$F$18:$F$3617,"catapult/crossbow")</f>
        <v>0</v>
      </c>
      <c r="H303" s="38">
        <f>COUNTIFS(HH_FCSP!$G$18:$G$3617,$E303,HH_FCSP!$F$18:$F$3617,"white")</f>
        <v>0</v>
      </c>
    </row>
    <row r="304">
      <c r="A304" s="38"/>
      <c r="B304" s="38">
        <v>0.0</v>
      </c>
      <c r="C304" s="38">
        <v>0.0</v>
      </c>
      <c r="D304" s="38">
        <v>0.0</v>
      </c>
      <c r="E304" s="38"/>
      <c r="F304" s="38">
        <f t="shared" si="1"/>
        <v>0</v>
      </c>
      <c r="G304" s="38">
        <f>COUNTIFS(HH_FCSP!$G$18:$G$3617,$E304,HH_FCSP!$F$18:$F$3617,"catapult/crossbow")</f>
        <v>0</v>
      </c>
      <c r="H304" s="38">
        <f>COUNTIFS(HH_FCSP!$G$18:$G$3617,$E304,HH_FCSP!$F$18:$F$3617,"white")</f>
        <v>0</v>
      </c>
    </row>
    <row r="305">
      <c r="A305" s="38"/>
      <c r="B305" s="38">
        <v>0.0</v>
      </c>
      <c r="C305" s="38">
        <v>0.0</v>
      </c>
      <c r="D305" s="38">
        <v>0.0</v>
      </c>
      <c r="E305" s="38"/>
      <c r="F305" s="38">
        <f t="shared" si="1"/>
        <v>0</v>
      </c>
      <c r="G305" s="38">
        <f>COUNTIFS(HH_FCSP!$G$18:$G$3617,$E305,HH_FCSP!$F$18:$F$3617,"catapult/crossbow")</f>
        <v>0</v>
      </c>
      <c r="H305" s="38">
        <f>COUNTIFS(HH_FCSP!$G$18:$G$3617,$E305,HH_FCSP!$F$18:$F$3617,"white")</f>
        <v>0</v>
      </c>
    </row>
    <row r="306">
      <c r="A306" s="38"/>
      <c r="B306" s="38">
        <v>0.0</v>
      </c>
      <c r="C306" s="38">
        <v>0.0</v>
      </c>
      <c r="D306" s="38">
        <v>0.0</v>
      </c>
      <c r="E306" s="38"/>
      <c r="F306" s="38">
        <f t="shared" si="1"/>
        <v>0</v>
      </c>
      <c r="G306" s="38">
        <f>COUNTIFS(HH_FCSP!$G$18:$G$3617,$E306,HH_FCSP!$F$18:$F$3617,"catapult/crossbow")</f>
        <v>0</v>
      </c>
      <c r="H306" s="38">
        <f>COUNTIFS(HH_FCSP!$G$18:$G$3617,$E306,HH_FCSP!$F$18:$F$3617,"white")</f>
        <v>0</v>
      </c>
    </row>
    <row r="307">
      <c r="A307" s="38"/>
      <c r="B307" s="38">
        <v>0.0</v>
      </c>
      <c r="C307" s="38">
        <v>0.0</v>
      </c>
      <c r="D307" s="38">
        <v>0.0</v>
      </c>
      <c r="E307" s="38"/>
      <c r="F307" s="38">
        <f t="shared" si="1"/>
        <v>0</v>
      </c>
      <c r="G307" s="38">
        <f>COUNTIFS(HH_FCSP!$G$18:$G$3617,$E307,HH_FCSP!$F$18:$F$3617,"catapult/crossbow")</f>
        <v>0</v>
      </c>
      <c r="H307" s="38">
        <f>COUNTIFS(HH_FCSP!$G$18:$G$3617,$E307,HH_FCSP!$F$18:$F$3617,"white")</f>
        <v>0</v>
      </c>
    </row>
    <row r="308">
      <c r="A308" s="38"/>
      <c r="B308" s="38">
        <v>0.0</v>
      </c>
      <c r="C308" s="38">
        <v>0.0</v>
      </c>
      <c r="D308" s="38">
        <v>0.0</v>
      </c>
      <c r="E308" s="38"/>
      <c r="F308" s="38">
        <f t="shared" si="1"/>
        <v>0</v>
      </c>
      <c r="G308" s="38">
        <f>COUNTIFS(HH_FCSP!$G$18:$G$3617,$E308,HH_FCSP!$F$18:$F$3617,"catapult/crossbow")</f>
        <v>0</v>
      </c>
      <c r="H308" s="38">
        <f>COUNTIFS(HH_FCSP!$G$18:$G$3617,$E308,HH_FCSP!$F$18:$F$3617,"white")</f>
        <v>0</v>
      </c>
    </row>
    <row r="309">
      <c r="A309" s="38"/>
      <c r="B309" s="38">
        <v>0.0</v>
      </c>
      <c r="C309" s="38">
        <v>0.0</v>
      </c>
      <c r="D309" s="38">
        <v>0.0</v>
      </c>
      <c r="E309" s="38"/>
      <c r="F309" s="38">
        <f t="shared" si="1"/>
        <v>0</v>
      </c>
      <c r="G309" s="38">
        <f>COUNTIFS(HH_FCSP!$G$18:$G$3617,$E309,HH_FCSP!$F$18:$F$3617,"catapult/crossbow")</f>
        <v>0</v>
      </c>
      <c r="H309" s="38">
        <f>COUNTIFS(HH_FCSP!$G$18:$G$3617,$E309,HH_FCSP!$F$18:$F$3617,"white")</f>
        <v>0</v>
      </c>
    </row>
    <row r="310">
      <c r="A310" s="38"/>
      <c r="B310" s="38">
        <v>0.0</v>
      </c>
      <c r="C310" s="38">
        <v>0.0</v>
      </c>
      <c r="D310" s="38">
        <v>0.0</v>
      </c>
      <c r="E310" s="38"/>
      <c r="F310" s="38">
        <f t="shared" si="1"/>
        <v>0</v>
      </c>
      <c r="G310" s="38">
        <f>COUNTIFS(HH_FCSP!$G$18:$G$3617,$E310,HH_FCSP!$F$18:$F$3617,"catapult/crossbow")</f>
        <v>0</v>
      </c>
      <c r="H310" s="38">
        <f>COUNTIFS(HH_FCSP!$G$18:$G$3617,$E310,HH_FCSP!$F$18:$F$3617,"white")</f>
        <v>0</v>
      </c>
    </row>
    <row r="311">
      <c r="A311" s="38"/>
      <c r="B311" s="38">
        <v>0.0</v>
      </c>
      <c r="C311" s="38">
        <v>0.0</v>
      </c>
      <c r="D311" s="38">
        <v>0.0</v>
      </c>
      <c r="E311" s="38"/>
      <c r="F311" s="38">
        <f t="shared" si="1"/>
        <v>0</v>
      </c>
      <c r="G311" s="38">
        <f>COUNTIFS(HH_FCSP!$G$18:$G$3617,$E311,HH_FCSP!$F$18:$F$3617,"catapult/crossbow")</f>
        <v>0</v>
      </c>
      <c r="H311" s="38">
        <f>COUNTIFS(HH_FCSP!$G$18:$G$3617,$E311,HH_FCSP!$F$18:$F$3617,"white")</f>
        <v>0</v>
      </c>
    </row>
    <row r="312">
      <c r="A312" s="38"/>
      <c r="B312" s="38">
        <v>0.0</v>
      </c>
      <c r="C312" s="38">
        <v>0.0</v>
      </c>
      <c r="D312" s="38">
        <v>0.0</v>
      </c>
      <c r="E312" s="38"/>
      <c r="F312" s="38">
        <f t="shared" si="1"/>
        <v>0</v>
      </c>
      <c r="G312" s="38">
        <f>COUNTIFS(HH_FCSP!$G$18:$G$3617,$E312,HH_FCSP!$F$18:$F$3617,"catapult/crossbow")</f>
        <v>0</v>
      </c>
      <c r="H312" s="38">
        <f>COUNTIFS(HH_FCSP!$G$18:$G$3617,$E312,HH_FCSP!$F$18:$F$3617,"white")</f>
        <v>0</v>
      </c>
    </row>
    <row r="313">
      <c r="A313" s="38"/>
      <c r="B313" s="38">
        <v>0.0</v>
      </c>
      <c r="C313" s="38">
        <v>0.0</v>
      </c>
      <c r="D313" s="38">
        <v>0.0</v>
      </c>
      <c r="E313" s="38"/>
      <c r="F313" s="38">
        <f t="shared" si="1"/>
        <v>0</v>
      </c>
      <c r="G313" s="38">
        <f>COUNTIFS(HH_FCSP!$G$18:$G$3617,$E313,HH_FCSP!$F$18:$F$3617,"catapult/crossbow")</f>
        <v>0</v>
      </c>
      <c r="H313" s="38">
        <f>COUNTIFS(HH_FCSP!$G$18:$G$3617,$E313,HH_FCSP!$F$18:$F$3617,"white")</f>
        <v>0</v>
      </c>
    </row>
    <row r="314">
      <c r="A314" s="38"/>
      <c r="B314" s="38">
        <v>0.0</v>
      </c>
      <c r="C314" s="38">
        <v>0.0</v>
      </c>
      <c r="D314" s="38">
        <v>0.0</v>
      </c>
      <c r="E314" s="38"/>
      <c r="F314" s="38">
        <f t="shared" si="1"/>
        <v>0</v>
      </c>
      <c r="G314" s="38">
        <f>COUNTIFS(HH_FCSP!$G$18:$G$3617,$E314,HH_FCSP!$F$18:$F$3617,"catapult/crossbow")</f>
        <v>0</v>
      </c>
      <c r="H314" s="38">
        <f>COUNTIFS(HH_FCSP!$G$18:$G$3617,$E314,HH_FCSP!$F$18:$F$3617,"white")</f>
        <v>0</v>
      </c>
    </row>
    <row r="315">
      <c r="A315" s="38"/>
      <c r="B315" s="38">
        <v>0.0</v>
      </c>
      <c r="C315" s="38">
        <v>0.0</v>
      </c>
      <c r="D315" s="38">
        <v>0.0</v>
      </c>
      <c r="E315" s="38"/>
      <c r="F315" s="38">
        <f t="shared" si="1"/>
        <v>0</v>
      </c>
      <c r="G315" s="38">
        <f>COUNTIFS(HH_FCSP!$G$18:$G$3617,$E315,HH_FCSP!$F$18:$F$3617,"catapult/crossbow")</f>
        <v>0</v>
      </c>
      <c r="H315" s="38">
        <f>COUNTIFS(HH_FCSP!$G$18:$G$3617,$E315,HH_FCSP!$F$18:$F$3617,"white")</f>
        <v>0</v>
      </c>
    </row>
    <row r="316">
      <c r="A316" s="38"/>
      <c r="B316" s="38">
        <v>0.0</v>
      </c>
      <c r="C316" s="38">
        <v>0.0</v>
      </c>
      <c r="D316" s="38">
        <v>0.0</v>
      </c>
      <c r="E316" s="38"/>
      <c r="F316" s="38">
        <f t="shared" si="1"/>
        <v>0</v>
      </c>
      <c r="G316" s="38">
        <f>COUNTIFS(HH_FCSP!$G$18:$G$3617,$E316,HH_FCSP!$F$18:$F$3617,"catapult/crossbow")</f>
        <v>0</v>
      </c>
      <c r="H316" s="38">
        <f>COUNTIFS(HH_FCSP!$G$18:$G$3617,$E316,HH_FCSP!$F$18:$F$3617,"white")</f>
        <v>0</v>
      </c>
    </row>
    <row r="317">
      <c r="A317" s="38"/>
      <c r="B317" s="38">
        <v>0.0</v>
      </c>
      <c r="C317" s="38">
        <v>0.0</v>
      </c>
      <c r="D317" s="38">
        <v>0.0</v>
      </c>
      <c r="E317" s="38"/>
      <c r="F317" s="38">
        <f t="shared" si="1"/>
        <v>0</v>
      </c>
      <c r="G317" s="38">
        <f>COUNTIFS(HH_FCSP!$G$18:$G$3617,$E317,HH_FCSP!$F$18:$F$3617,"catapult/crossbow")</f>
        <v>0</v>
      </c>
      <c r="H317" s="38">
        <f>COUNTIFS(HH_FCSP!$G$18:$G$3617,$E317,HH_FCSP!$F$18:$F$3617,"white")</f>
        <v>0</v>
      </c>
    </row>
    <row r="318">
      <c r="A318" s="38"/>
      <c r="B318" s="38">
        <v>0.0</v>
      </c>
      <c r="C318" s="38">
        <v>0.0</v>
      </c>
      <c r="D318" s="38">
        <v>0.0</v>
      </c>
      <c r="E318" s="38"/>
      <c r="F318" s="38">
        <f t="shared" si="1"/>
        <v>0</v>
      </c>
      <c r="G318" s="38">
        <f>COUNTIFS(HH_FCSP!$G$18:$G$3617,$E318,HH_FCSP!$F$18:$F$3617,"catapult/crossbow")</f>
        <v>0</v>
      </c>
      <c r="H318" s="38">
        <f>COUNTIFS(HH_FCSP!$G$18:$G$3617,$E318,HH_FCSP!$F$18:$F$3617,"white")</f>
        <v>0</v>
      </c>
    </row>
    <row r="319">
      <c r="A319" s="38"/>
      <c r="B319" s="38">
        <v>0.0</v>
      </c>
      <c r="C319" s="38">
        <v>0.0</v>
      </c>
      <c r="D319" s="38">
        <v>0.0</v>
      </c>
      <c r="E319" s="38"/>
      <c r="F319" s="38">
        <f t="shared" si="1"/>
        <v>0</v>
      </c>
      <c r="G319" s="38">
        <f>COUNTIFS(HH_FCSP!$G$18:$G$3617,$E319,HH_FCSP!$F$18:$F$3617,"catapult/crossbow")</f>
        <v>0</v>
      </c>
      <c r="H319" s="38">
        <f>COUNTIFS(HH_FCSP!$G$18:$G$3617,$E319,HH_FCSP!$F$18:$F$3617,"white")</f>
        <v>0</v>
      </c>
    </row>
    <row r="320">
      <c r="A320" s="38"/>
      <c r="B320" s="38">
        <v>0.0</v>
      </c>
      <c r="C320" s="38">
        <v>0.0</v>
      </c>
      <c r="D320" s="38">
        <v>0.0</v>
      </c>
      <c r="E320" s="38"/>
      <c r="F320" s="38">
        <f t="shared" si="1"/>
        <v>0</v>
      </c>
      <c r="G320" s="38">
        <f>COUNTIFS(HH_FCSP!$G$18:$G$3617,$E320,HH_FCSP!$F$18:$F$3617,"catapult/crossbow")</f>
        <v>0</v>
      </c>
      <c r="H320" s="38">
        <f>COUNTIFS(HH_FCSP!$G$18:$G$3617,$E320,HH_FCSP!$F$18:$F$3617,"white")</f>
        <v>0</v>
      </c>
    </row>
    <row r="321">
      <c r="A321" s="38"/>
      <c r="B321" s="38">
        <v>0.0</v>
      </c>
      <c r="C321" s="38">
        <v>0.0</v>
      </c>
      <c r="D321" s="38">
        <v>0.0</v>
      </c>
      <c r="E321" s="38"/>
      <c r="F321" s="38">
        <f t="shared" si="1"/>
        <v>0</v>
      </c>
      <c r="G321" s="38">
        <f>COUNTIFS(HH_FCSP!$G$18:$G$3617,$E321,HH_FCSP!$F$18:$F$3617,"catapult/crossbow")</f>
        <v>0</v>
      </c>
      <c r="H321" s="38">
        <f>COUNTIFS(HH_FCSP!$G$18:$G$3617,$E321,HH_FCSP!$F$18:$F$3617,"white")</f>
        <v>0</v>
      </c>
    </row>
    <row r="322">
      <c r="A322" s="38"/>
      <c r="B322" s="38">
        <v>0.0</v>
      </c>
      <c r="C322" s="38">
        <v>0.0</v>
      </c>
      <c r="D322" s="38">
        <v>0.0</v>
      </c>
      <c r="E322" s="38"/>
      <c r="F322" s="38">
        <f t="shared" si="1"/>
        <v>0</v>
      </c>
      <c r="G322" s="38">
        <f>COUNTIFS(HH_FCSP!$G$18:$G$3617,$E322,HH_FCSP!$F$18:$F$3617,"catapult/crossbow")</f>
        <v>0</v>
      </c>
      <c r="H322" s="38">
        <f>COUNTIFS(HH_FCSP!$G$18:$G$3617,$E322,HH_FCSP!$F$18:$F$3617,"white")</f>
        <v>0</v>
      </c>
    </row>
    <row r="323">
      <c r="A323" s="38"/>
      <c r="B323" s="38">
        <v>0.0</v>
      </c>
      <c r="C323" s="38">
        <v>0.0</v>
      </c>
      <c r="D323" s="38">
        <v>0.0</v>
      </c>
      <c r="E323" s="38"/>
      <c r="F323" s="38">
        <f t="shared" si="1"/>
        <v>0</v>
      </c>
      <c r="G323" s="38">
        <f>COUNTIFS(HH_FCSP!$G$18:$G$3617,$E323,HH_FCSP!$F$18:$F$3617,"catapult/crossbow")</f>
        <v>0</v>
      </c>
      <c r="H323" s="38">
        <f>COUNTIFS(HH_FCSP!$G$18:$G$3617,$E323,HH_FCSP!$F$18:$F$3617,"white")</f>
        <v>0</v>
      </c>
    </row>
    <row r="324">
      <c r="A324" s="38"/>
      <c r="B324" s="38">
        <v>0.0</v>
      </c>
      <c r="C324" s="38">
        <v>0.0</v>
      </c>
      <c r="D324" s="38">
        <v>0.0</v>
      </c>
      <c r="E324" s="38"/>
      <c r="F324" s="38">
        <f t="shared" si="1"/>
        <v>0</v>
      </c>
      <c r="G324" s="38">
        <f>COUNTIFS(HH_FCSP!$G$18:$G$3617,$E324,HH_FCSP!$F$18:$F$3617,"catapult/crossbow")</f>
        <v>0</v>
      </c>
      <c r="H324" s="38">
        <f>COUNTIFS(HH_FCSP!$G$18:$G$3617,$E324,HH_FCSP!$F$18:$F$3617,"white")</f>
        <v>0</v>
      </c>
    </row>
    <row r="325">
      <c r="A325" s="38"/>
      <c r="B325" s="38">
        <v>0.0</v>
      </c>
      <c r="C325" s="38">
        <v>0.0</v>
      </c>
      <c r="D325" s="38">
        <v>0.0</v>
      </c>
      <c r="E325" s="38"/>
      <c r="F325" s="38">
        <f t="shared" si="1"/>
        <v>0</v>
      </c>
      <c r="G325" s="38">
        <f>COUNTIFS(HH_FCSP!$G$18:$G$3617,$E325,HH_FCSP!$F$18:$F$3617,"catapult/crossbow")</f>
        <v>0</v>
      </c>
      <c r="H325" s="38">
        <f>COUNTIFS(HH_FCSP!$G$18:$G$3617,$E325,HH_FCSP!$F$18:$F$3617,"white")</f>
        <v>0</v>
      </c>
    </row>
    <row r="326">
      <c r="A326" s="38"/>
      <c r="B326" s="38">
        <v>0.0</v>
      </c>
      <c r="C326" s="38">
        <v>0.0</v>
      </c>
      <c r="D326" s="38">
        <v>0.0</v>
      </c>
      <c r="E326" s="38"/>
      <c r="F326" s="38">
        <f t="shared" si="1"/>
        <v>0</v>
      </c>
      <c r="G326" s="38">
        <f>COUNTIFS(HH_FCSP!$G$18:$G$3617,$E326,HH_FCSP!$F$18:$F$3617,"catapult/crossbow")</f>
        <v>0</v>
      </c>
      <c r="H326" s="38">
        <f>COUNTIFS(HH_FCSP!$G$18:$G$3617,$E326,HH_FCSP!$F$18:$F$3617,"white")</f>
        <v>0</v>
      </c>
    </row>
    <row r="327">
      <c r="A327" s="38"/>
      <c r="B327" s="38">
        <v>0.0</v>
      </c>
      <c r="C327" s="38">
        <v>0.0</v>
      </c>
      <c r="D327" s="38">
        <v>0.0</v>
      </c>
      <c r="E327" s="38"/>
      <c r="F327" s="38">
        <f t="shared" si="1"/>
        <v>0</v>
      </c>
      <c r="G327" s="38">
        <f>COUNTIFS(HH_FCSP!$G$18:$G$3617,$E327,HH_FCSP!$F$18:$F$3617,"catapult/crossbow")</f>
        <v>0</v>
      </c>
      <c r="H327" s="38">
        <f>COUNTIFS(HH_FCSP!$G$18:$G$3617,$E327,HH_FCSP!$F$18:$F$3617,"white")</f>
        <v>0</v>
      </c>
    </row>
    <row r="328">
      <c r="A328" s="38"/>
      <c r="B328" s="38">
        <v>0.0</v>
      </c>
      <c r="C328" s="38">
        <v>0.0</v>
      </c>
      <c r="D328" s="38">
        <v>0.0</v>
      </c>
      <c r="E328" s="38"/>
      <c r="F328" s="38">
        <f t="shared" si="1"/>
        <v>0</v>
      </c>
      <c r="G328" s="38">
        <f>COUNTIFS(HH_FCSP!$G$18:$G$3617,$E328,HH_FCSP!$F$18:$F$3617,"catapult/crossbow")</f>
        <v>0</v>
      </c>
      <c r="H328" s="38">
        <f>COUNTIFS(HH_FCSP!$G$18:$G$3617,$E328,HH_FCSP!$F$18:$F$3617,"white")</f>
        <v>0</v>
      </c>
    </row>
    <row r="329">
      <c r="A329" s="38"/>
      <c r="B329" s="38">
        <v>0.0</v>
      </c>
      <c r="C329" s="38">
        <v>0.0</v>
      </c>
      <c r="D329" s="38">
        <v>0.0</v>
      </c>
      <c r="E329" s="38"/>
      <c r="F329" s="38">
        <f t="shared" si="1"/>
        <v>0</v>
      </c>
      <c r="G329" s="38">
        <f>COUNTIFS(HH_FCSP!$G$18:$G$3617,$E329,HH_FCSP!$F$18:$F$3617,"catapult/crossbow")</f>
        <v>0</v>
      </c>
      <c r="H329" s="38">
        <f>COUNTIFS(HH_FCSP!$G$18:$G$3617,$E329,HH_FCSP!$F$18:$F$3617,"white")</f>
        <v>0</v>
      </c>
    </row>
    <row r="330">
      <c r="A330" s="38"/>
      <c r="B330" s="38">
        <v>0.0</v>
      </c>
      <c r="C330" s="38">
        <v>0.0</v>
      </c>
      <c r="D330" s="38">
        <v>0.0</v>
      </c>
      <c r="E330" s="38"/>
      <c r="F330" s="38">
        <f t="shared" si="1"/>
        <v>0</v>
      </c>
      <c r="G330" s="38">
        <f>COUNTIFS(HH_FCSP!$G$18:$G$3617,$E330,HH_FCSP!$F$18:$F$3617,"catapult/crossbow")</f>
        <v>0</v>
      </c>
      <c r="H330" s="38">
        <f>COUNTIFS(HH_FCSP!$G$18:$G$3617,$E330,HH_FCSP!$F$18:$F$3617,"white")</f>
        <v>0</v>
      </c>
    </row>
    <row r="331">
      <c r="A331" s="38"/>
      <c r="B331" s="38">
        <v>0.0</v>
      </c>
      <c r="C331" s="38">
        <v>0.0</v>
      </c>
      <c r="D331" s="38">
        <v>0.0</v>
      </c>
      <c r="E331" s="38"/>
      <c r="F331" s="38">
        <f t="shared" si="1"/>
        <v>0</v>
      </c>
      <c r="G331" s="38">
        <f>COUNTIFS(HH_FCSP!$G$18:$G$3617,$E331,HH_FCSP!$F$18:$F$3617,"catapult/crossbow")</f>
        <v>0</v>
      </c>
      <c r="H331" s="38">
        <f>COUNTIFS(HH_FCSP!$G$18:$G$3617,$E331,HH_FCSP!$F$18:$F$3617,"white")</f>
        <v>0</v>
      </c>
    </row>
    <row r="332">
      <c r="A332" s="38"/>
      <c r="B332" s="38">
        <v>0.0</v>
      </c>
      <c r="C332" s="38">
        <v>0.0</v>
      </c>
      <c r="D332" s="38">
        <v>0.0</v>
      </c>
      <c r="E332" s="38"/>
      <c r="F332" s="38">
        <f t="shared" si="1"/>
        <v>0</v>
      </c>
      <c r="G332" s="38">
        <f>COUNTIFS(HH_FCSP!$G$18:$G$3617,$E332,HH_FCSP!$F$18:$F$3617,"catapult/crossbow")</f>
        <v>0</v>
      </c>
      <c r="H332" s="38">
        <f>COUNTIFS(HH_FCSP!$G$18:$G$3617,$E332,HH_FCSP!$F$18:$F$3617,"white")</f>
        <v>0</v>
      </c>
    </row>
    <row r="333">
      <c r="A333" s="38"/>
      <c r="B333" s="38">
        <v>0.0</v>
      </c>
      <c r="C333" s="38">
        <v>0.0</v>
      </c>
      <c r="D333" s="38">
        <v>0.0</v>
      </c>
      <c r="E333" s="38"/>
      <c r="F333" s="38">
        <f t="shared" si="1"/>
        <v>0</v>
      </c>
      <c r="G333" s="38">
        <f>COUNTIFS(HH_FCSP!$G$18:$G$3617,$E333,HH_FCSP!$F$18:$F$3617,"catapult/crossbow")</f>
        <v>0</v>
      </c>
      <c r="H333" s="38">
        <f>COUNTIFS(HH_FCSP!$G$18:$G$3617,$E333,HH_FCSP!$F$18:$F$3617,"white")</f>
        <v>0</v>
      </c>
    </row>
    <row r="334">
      <c r="A334" s="38"/>
      <c r="B334" s="38">
        <v>0.0</v>
      </c>
      <c r="C334" s="38">
        <v>0.0</v>
      </c>
      <c r="D334" s="38">
        <v>0.0</v>
      </c>
      <c r="E334" s="38"/>
      <c r="F334" s="38">
        <f t="shared" si="1"/>
        <v>0</v>
      </c>
      <c r="G334" s="38">
        <f>COUNTIFS(HH_FCSP!$G$18:$G$3617,$E334,HH_FCSP!$F$18:$F$3617,"catapult/crossbow")</f>
        <v>0</v>
      </c>
      <c r="H334" s="38">
        <f>COUNTIFS(HH_FCSP!$G$18:$G$3617,$E334,HH_FCSP!$F$18:$F$3617,"white")</f>
        <v>0</v>
      </c>
    </row>
    <row r="335">
      <c r="A335" s="38"/>
      <c r="B335" s="38">
        <v>0.0</v>
      </c>
      <c r="C335" s="38">
        <v>0.0</v>
      </c>
      <c r="D335" s="38">
        <v>0.0</v>
      </c>
      <c r="E335" s="38"/>
      <c r="F335" s="38">
        <f t="shared" si="1"/>
        <v>0</v>
      </c>
      <c r="G335" s="38">
        <f>COUNTIFS(HH_FCSP!$G$18:$G$3617,$E335,HH_FCSP!$F$18:$F$3617,"catapult/crossbow")</f>
        <v>0</v>
      </c>
      <c r="H335" s="38">
        <f>COUNTIFS(HH_FCSP!$G$18:$G$3617,$E335,HH_FCSP!$F$18:$F$3617,"white")</f>
        <v>0</v>
      </c>
    </row>
    <row r="336">
      <c r="A336" s="38"/>
      <c r="B336" s="38">
        <v>0.0</v>
      </c>
      <c r="C336" s="38">
        <v>0.0</v>
      </c>
      <c r="D336" s="38">
        <v>0.0</v>
      </c>
      <c r="E336" s="38"/>
      <c r="F336" s="38">
        <f t="shared" si="1"/>
        <v>0</v>
      </c>
      <c r="G336" s="38">
        <f>COUNTIFS(HH_FCSP!$G$18:$G$3617,$E336,HH_FCSP!$F$18:$F$3617,"catapult/crossbow")</f>
        <v>0</v>
      </c>
      <c r="H336" s="38">
        <f>COUNTIFS(HH_FCSP!$G$18:$G$3617,$E336,HH_FCSP!$F$18:$F$3617,"white")</f>
        <v>0</v>
      </c>
    </row>
    <row r="337">
      <c r="A337" s="38"/>
      <c r="B337" s="38">
        <v>0.0</v>
      </c>
      <c r="C337" s="38">
        <v>0.0</v>
      </c>
      <c r="D337" s="38">
        <v>0.0</v>
      </c>
      <c r="E337" s="38"/>
      <c r="F337" s="38">
        <f t="shared" si="1"/>
        <v>0</v>
      </c>
      <c r="G337" s="38">
        <f>COUNTIFS(HH_FCSP!$G$18:$G$3617,$E337,HH_FCSP!$F$18:$F$3617,"catapult/crossbow")</f>
        <v>0</v>
      </c>
      <c r="H337" s="38">
        <f>COUNTIFS(HH_FCSP!$G$18:$G$3617,$E337,HH_FCSP!$F$18:$F$3617,"white")</f>
        <v>0</v>
      </c>
    </row>
    <row r="338">
      <c r="A338" s="38"/>
      <c r="B338" s="38">
        <v>0.0</v>
      </c>
      <c r="C338" s="38">
        <v>0.0</v>
      </c>
      <c r="D338" s="38">
        <v>0.0</v>
      </c>
      <c r="E338" s="38"/>
      <c r="F338" s="38">
        <f t="shared" si="1"/>
        <v>0</v>
      </c>
      <c r="G338" s="38">
        <f>COUNTIFS(HH_FCSP!$G$18:$G$3617,$E338,HH_FCSP!$F$18:$F$3617,"catapult/crossbow")</f>
        <v>0</v>
      </c>
      <c r="H338" s="38">
        <f>COUNTIFS(HH_FCSP!$G$18:$G$3617,$E338,HH_FCSP!$F$18:$F$3617,"white")</f>
        <v>0</v>
      </c>
    </row>
    <row r="339">
      <c r="A339" s="38"/>
      <c r="B339" s="38">
        <v>0.0</v>
      </c>
      <c r="C339" s="38">
        <v>0.0</v>
      </c>
      <c r="D339" s="38">
        <v>0.0</v>
      </c>
      <c r="E339" s="38"/>
      <c r="F339" s="38">
        <f t="shared" si="1"/>
        <v>0</v>
      </c>
      <c r="G339" s="38">
        <f>COUNTIFS(HH_FCSP!$G$18:$G$3617,$E339,HH_FCSP!$F$18:$F$3617,"catapult/crossbow")</f>
        <v>0</v>
      </c>
      <c r="H339" s="38">
        <f>COUNTIFS(HH_FCSP!$G$18:$G$3617,$E339,HH_FCSP!$F$18:$F$3617,"white")</f>
        <v>0</v>
      </c>
    </row>
    <row r="340">
      <c r="A340" s="38"/>
      <c r="B340" s="38">
        <v>0.0</v>
      </c>
      <c r="C340" s="38">
        <v>0.0</v>
      </c>
      <c r="D340" s="38">
        <v>0.0</v>
      </c>
      <c r="E340" s="38"/>
      <c r="F340" s="38">
        <f t="shared" si="1"/>
        <v>0</v>
      </c>
      <c r="G340" s="38">
        <f>COUNTIFS(HH_FCSP!$G$18:$G$3617,$E340,HH_FCSP!$F$18:$F$3617,"catapult/crossbow")</f>
        <v>0</v>
      </c>
      <c r="H340" s="38">
        <f>COUNTIFS(HH_FCSP!$G$18:$G$3617,$E340,HH_FCSP!$F$18:$F$3617,"white")</f>
        <v>0</v>
      </c>
    </row>
    <row r="341">
      <c r="A341" s="38"/>
      <c r="B341" s="38">
        <v>0.0</v>
      </c>
      <c r="C341" s="38">
        <v>0.0</v>
      </c>
      <c r="D341" s="38">
        <v>0.0</v>
      </c>
      <c r="E341" s="38"/>
      <c r="F341" s="38">
        <f t="shared" si="1"/>
        <v>0</v>
      </c>
      <c r="G341" s="38">
        <f>COUNTIFS(HH_FCSP!$G$18:$G$3617,$E341,HH_FCSP!$F$18:$F$3617,"catapult/crossbow")</f>
        <v>0</v>
      </c>
      <c r="H341" s="38">
        <f>COUNTIFS(HH_FCSP!$G$18:$G$3617,$E341,HH_FCSP!$F$18:$F$3617,"white")</f>
        <v>0</v>
      </c>
    </row>
    <row r="342">
      <c r="A342" s="38"/>
      <c r="B342" s="38">
        <v>0.0</v>
      </c>
      <c r="C342" s="38">
        <v>0.0</v>
      </c>
      <c r="D342" s="38">
        <v>0.0</v>
      </c>
      <c r="E342" s="38"/>
      <c r="F342" s="38">
        <f t="shared" si="1"/>
        <v>0</v>
      </c>
      <c r="G342" s="38">
        <f>COUNTIFS(HH_FCSP!$G$18:$G$3617,$E342,HH_FCSP!$F$18:$F$3617,"catapult/crossbow")</f>
        <v>0</v>
      </c>
      <c r="H342" s="38">
        <f>COUNTIFS(HH_FCSP!$G$18:$G$3617,$E342,HH_FCSP!$F$18:$F$3617,"white")</f>
        <v>0</v>
      </c>
    </row>
    <row r="343">
      <c r="A343" s="38"/>
      <c r="B343" s="38">
        <v>0.0</v>
      </c>
      <c r="C343" s="38">
        <v>0.0</v>
      </c>
      <c r="D343" s="38">
        <v>0.0</v>
      </c>
      <c r="E343" s="38"/>
      <c r="F343" s="38">
        <f t="shared" si="1"/>
        <v>0</v>
      </c>
      <c r="G343" s="38">
        <f>COUNTIFS(HH_FCSP!$G$18:$G$3617,$E343,HH_FCSP!$F$18:$F$3617,"catapult/crossbow")</f>
        <v>0</v>
      </c>
      <c r="H343" s="38">
        <f>COUNTIFS(HH_FCSP!$G$18:$G$3617,$E343,HH_FCSP!$F$18:$F$3617,"white")</f>
        <v>0</v>
      </c>
    </row>
    <row r="344">
      <c r="A344" s="38"/>
      <c r="B344" s="38">
        <v>0.0</v>
      </c>
      <c r="C344" s="38">
        <v>0.0</v>
      </c>
      <c r="D344" s="38">
        <v>0.0</v>
      </c>
      <c r="E344" s="38"/>
      <c r="F344" s="38">
        <f t="shared" si="1"/>
        <v>0</v>
      </c>
      <c r="G344" s="38">
        <f>COUNTIFS(HH_FCSP!$G$18:$G$3617,$E344,HH_FCSP!$F$18:$F$3617,"catapult/crossbow")</f>
        <v>0</v>
      </c>
      <c r="H344" s="38">
        <f>COUNTIFS(HH_FCSP!$G$18:$G$3617,$E344,HH_FCSP!$F$18:$F$3617,"white")</f>
        <v>0</v>
      </c>
    </row>
    <row r="345">
      <c r="A345" s="38"/>
      <c r="B345" s="38">
        <v>0.0</v>
      </c>
      <c r="C345" s="38">
        <v>0.0</v>
      </c>
      <c r="D345" s="38">
        <v>0.0</v>
      </c>
      <c r="E345" s="38"/>
      <c r="F345" s="38">
        <f t="shared" si="1"/>
        <v>0</v>
      </c>
      <c r="G345" s="38">
        <f>COUNTIFS(HH_FCSP!$G$18:$G$3617,$E345,HH_FCSP!$F$18:$F$3617,"catapult/crossbow")</f>
        <v>0</v>
      </c>
      <c r="H345" s="38">
        <f>COUNTIFS(HH_FCSP!$G$18:$G$3617,$E345,HH_FCSP!$F$18:$F$3617,"white")</f>
        <v>0</v>
      </c>
    </row>
    <row r="346">
      <c r="A346" s="38"/>
      <c r="B346" s="38">
        <v>0.0</v>
      </c>
      <c r="C346" s="38">
        <v>0.0</v>
      </c>
      <c r="D346" s="38">
        <v>0.0</v>
      </c>
      <c r="E346" s="38"/>
      <c r="F346" s="38">
        <f t="shared" si="1"/>
        <v>0</v>
      </c>
      <c r="G346" s="38">
        <f>COUNTIFS(HH_FCSP!$G$18:$G$3617,$E346,HH_FCSP!$F$18:$F$3617,"catapult/crossbow")</f>
        <v>0</v>
      </c>
      <c r="H346" s="38">
        <f>COUNTIFS(HH_FCSP!$G$18:$G$3617,$E346,HH_FCSP!$F$18:$F$3617,"white")</f>
        <v>0</v>
      </c>
    </row>
    <row r="347">
      <c r="A347" s="38"/>
      <c r="B347" s="38">
        <v>0.0</v>
      </c>
      <c r="C347" s="38">
        <v>0.0</v>
      </c>
      <c r="D347" s="38">
        <v>0.0</v>
      </c>
      <c r="E347" s="38"/>
      <c r="F347" s="38">
        <f t="shared" si="1"/>
        <v>0</v>
      </c>
      <c r="G347" s="38">
        <f>COUNTIFS(HH_FCSP!$G$18:$G$3617,$E347,HH_FCSP!$F$18:$F$3617,"catapult/crossbow")</f>
        <v>0</v>
      </c>
      <c r="H347" s="38">
        <f>COUNTIFS(HH_FCSP!$G$18:$G$3617,$E347,HH_FCSP!$F$18:$F$3617,"white")</f>
        <v>0</v>
      </c>
    </row>
    <row r="348">
      <c r="A348" s="38"/>
      <c r="B348" s="38">
        <v>0.0</v>
      </c>
      <c r="C348" s="38">
        <v>0.0</v>
      </c>
      <c r="D348" s="38">
        <v>0.0</v>
      </c>
      <c r="E348" s="38"/>
      <c r="F348" s="38">
        <f t="shared" si="1"/>
        <v>0</v>
      </c>
      <c r="G348" s="38">
        <f>COUNTIFS(HH_FCSP!$G$18:$G$3617,$E348,HH_FCSP!$F$18:$F$3617,"catapult/crossbow")</f>
        <v>0</v>
      </c>
      <c r="H348" s="38">
        <f>COUNTIFS(HH_FCSP!$G$18:$G$3617,$E348,HH_FCSP!$F$18:$F$3617,"white")</f>
        <v>0</v>
      </c>
    </row>
    <row r="349">
      <c r="A349" s="38"/>
      <c r="B349" s="38">
        <v>0.0</v>
      </c>
      <c r="C349" s="38">
        <v>0.0</v>
      </c>
      <c r="D349" s="38">
        <v>0.0</v>
      </c>
      <c r="E349" s="38"/>
      <c r="F349" s="38">
        <f t="shared" si="1"/>
        <v>0</v>
      </c>
      <c r="G349" s="38">
        <f>COUNTIFS(HH_FCSP!$G$18:$G$3617,$E349,HH_FCSP!$F$18:$F$3617,"catapult/crossbow")</f>
        <v>0</v>
      </c>
      <c r="H349" s="38">
        <f>COUNTIFS(HH_FCSP!$G$18:$G$3617,$E349,HH_FCSP!$F$18:$F$3617,"white")</f>
        <v>0</v>
      </c>
    </row>
    <row r="350">
      <c r="A350" s="38"/>
      <c r="B350" s="38">
        <v>0.0</v>
      </c>
      <c r="C350" s="38">
        <v>0.0</v>
      </c>
      <c r="D350" s="38">
        <v>0.0</v>
      </c>
      <c r="E350" s="38"/>
      <c r="F350" s="38">
        <f t="shared" si="1"/>
        <v>0</v>
      </c>
      <c r="G350" s="38">
        <f>COUNTIFS(HH_FCSP!$G$18:$G$3617,$E350,HH_FCSP!$F$18:$F$3617,"catapult/crossbow")</f>
        <v>0</v>
      </c>
      <c r="H350" s="38">
        <f>COUNTIFS(HH_FCSP!$G$18:$G$3617,$E350,HH_FCSP!$F$18:$F$3617,"white")</f>
        <v>0</v>
      </c>
    </row>
    <row r="351">
      <c r="A351" s="38"/>
      <c r="B351" s="38">
        <v>0.0</v>
      </c>
      <c r="C351" s="38">
        <v>0.0</v>
      </c>
      <c r="D351" s="38">
        <v>0.0</v>
      </c>
      <c r="E351" s="38"/>
      <c r="F351" s="38">
        <f t="shared" si="1"/>
        <v>0</v>
      </c>
      <c r="G351" s="38">
        <f>COUNTIFS(HH_FCSP!$G$18:$G$3617,$E351,HH_FCSP!$F$18:$F$3617,"catapult/crossbow")</f>
        <v>0</v>
      </c>
      <c r="H351" s="38">
        <f>COUNTIFS(HH_FCSP!$G$18:$G$3617,$E351,HH_FCSP!$F$18:$F$3617,"white")</f>
        <v>0</v>
      </c>
    </row>
    <row r="352">
      <c r="A352" s="38"/>
      <c r="B352" s="38">
        <v>0.0</v>
      </c>
      <c r="C352" s="38">
        <v>0.0</v>
      </c>
      <c r="D352" s="38">
        <v>0.0</v>
      </c>
      <c r="E352" s="38"/>
      <c r="F352" s="38">
        <f t="shared" si="1"/>
        <v>0</v>
      </c>
      <c r="G352" s="38">
        <f>COUNTIFS(HH_FCSP!$G$18:$G$3617,$E352,HH_FCSP!$F$18:$F$3617,"catapult/crossbow")</f>
        <v>0</v>
      </c>
      <c r="H352" s="38">
        <f>COUNTIFS(HH_FCSP!$G$18:$G$3617,$E352,HH_FCSP!$F$18:$F$3617,"white")</f>
        <v>0</v>
      </c>
    </row>
    <row r="353">
      <c r="A353" s="38"/>
      <c r="B353" s="38">
        <v>0.0</v>
      </c>
      <c r="C353" s="38">
        <v>0.0</v>
      </c>
      <c r="D353" s="38">
        <v>0.0</v>
      </c>
      <c r="E353" s="38"/>
      <c r="F353" s="38">
        <f t="shared" si="1"/>
        <v>0</v>
      </c>
      <c r="G353" s="38">
        <f>COUNTIFS(HH_FCSP!$G$18:$G$3617,$E353,HH_FCSP!$F$18:$F$3617,"catapult/crossbow")</f>
        <v>0</v>
      </c>
      <c r="H353" s="38">
        <f>COUNTIFS(HH_FCSP!$G$18:$G$3617,$E353,HH_FCSP!$F$18:$F$3617,"white")</f>
        <v>0</v>
      </c>
    </row>
    <row r="354">
      <c r="A354" s="38"/>
      <c r="B354" s="38">
        <v>0.0</v>
      </c>
      <c r="C354" s="38">
        <v>0.0</v>
      </c>
      <c r="D354" s="38">
        <v>0.0</v>
      </c>
      <c r="E354" s="38"/>
      <c r="F354" s="38">
        <f t="shared" si="1"/>
        <v>0</v>
      </c>
      <c r="G354" s="38">
        <f>COUNTIFS(HH_FCSP!$G$18:$G$3617,$E354,HH_FCSP!$F$18:$F$3617,"catapult/crossbow")</f>
        <v>0</v>
      </c>
      <c r="H354" s="38">
        <f>COUNTIFS(HH_FCSP!$G$18:$G$3617,$E354,HH_FCSP!$F$18:$F$3617,"white")</f>
        <v>0</v>
      </c>
    </row>
    <row r="355">
      <c r="A355" s="38"/>
      <c r="B355" s="38">
        <v>0.0</v>
      </c>
      <c r="C355" s="38">
        <v>0.0</v>
      </c>
      <c r="D355" s="38">
        <v>0.0</v>
      </c>
      <c r="E355" s="38"/>
      <c r="F355" s="38">
        <f t="shared" si="1"/>
        <v>0</v>
      </c>
      <c r="G355" s="38">
        <f>COUNTIFS(HH_FCSP!$G$18:$G$3617,$E355,HH_FCSP!$F$18:$F$3617,"catapult/crossbow")</f>
        <v>0</v>
      </c>
      <c r="H355" s="38">
        <f>COUNTIFS(HH_FCSP!$G$18:$G$3617,$E355,HH_FCSP!$F$18:$F$3617,"white")</f>
        <v>0</v>
      </c>
    </row>
    <row r="356">
      <c r="A356" s="38"/>
      <c r="B356" s="38">
        <v>0.0</v>
      </c>
      <c r="C356" s="38">
        <v>0.0</v>
      </c>
      <c r="D356" s="38">
        <v>0.0</v>
      </c>
      <c r="E356" s="38"/>
      <c r="F356" s="38">
        <f t="shared" si="1"/>
        <v>0</v>
      </c>
      <c r="G356" s="38">
        <f>COUNTIFS(HH_FCSP!$G$18:$G$3617,$E356,HH_FCSP!$F$18:$F$3617,"catapult/crossbow")</f>
        <v>0</v>
      </c>
      <c r="H356" s="38">
        <f>COUNTIFS(HH_FCSP!$G$18:$G$3617,$E356,HH_FCSP!$F$18:$F$3617,"white")</f>
        <v>0</v>
      </c>
    </row>
    <row r="357">
      <c r="A357" s="38"/>
      <c r="B357" s="38">
        <v>0.0</v>
      </c>
      <c r="C357" s="38">
        <v>0.0</v>
      </c>
      <c r="D357" s="38">
        <v>0.0</v>
      </c>
      <c r="E357" s="38"/>
      <c r="F357" s="38">
        <f t="shared" si="1"/>
        <v>0</v>
      </c>
      <c r="G357" s="38">
        <f>COUNTIFS(HH_FCSP!$G$18:$G$3617,$E357,HH_FCSP!$F$18:$F$3617,"catapult/crossbow")</f>
        <v>0</v>
      </c>
      <c r="H357" s="38">
        <f>COUNTIFS(HH_FCSP!$G$18:$G$3617,$E357,HH_FCSP!$F$18:$F$3617,"white")</f>
        <v>0</v>
      </c>
    </row>
    <row r="358">
      <c r="A358" s="38"/>
      <c r="B358" s="38">
        <v>0.0</v>
      </c>
      <c r="C358" s="38">
        <v>0.0</v>
      </c>
      <c r="D358" s="38">
        <v>0.0</v>
      </c>
      <c r="E358" s="38"/>
      <c r="F358" s="38">
        <f t="shared" si="1"/>
        <v>0</v>
      </c>
      <c r="G358" s="38">
        <f>COUNTIFS(HH_FCSP!$G$18:$G$3617,$E358,HH_FCSP!$F$18:$F$3617,"catapult/crossbow")</f>
        <v>0</v>
      </c>
      <c r="H358" s="38">
        <f>COUNTIFS(HH_FCSP!$G$18:$G$3617,$E358,HH_FCSP!$F$18:$F$3617,"white")</f>
        <v>0</v>
      </c>
    </row>
    <row r="359">
      <c r="A359" s="38"/>
      <c r="B359" s="38">
        <v>0.0</v>
      </c>
      <c r="C359" s="38">
        <v>0.0</v>
      </c>
      <c r="D359" s="38">
        <v>0.0</v>
      </c>
      <c r="E359" s="38"/>
      <c r="F359" s="38">
        <f t="shared" si="1"/>
        <v>0</v>
      </c>
      <c r="G359" s="38">
        <f>COUNTIFS(HH_FCSP!$G$18:$G$3617,$E359,HH_FCSP!$F$18:$F$3617,"catapult/crossbow")</f>
        <v>0</v>
      </c>
      <c r="H359" s="38">
        <f>COUNTIFS(HH_FCSP!$G$18:$G$3617,$E359,HH_FCSP!$F$18:$F$3617,"white")</f>
        <v>0</v>
      </c>
    </row>
    <row r="360">
      <c r="A360" s="38"/>
      <c r="B360" s="38">
        <v>0.0</v>
      </c>
      <c r="C360" s="38">
        <v>0.0</v>
      </c>
      <c r="D360" s="38">
        <v>0.0</v>
      </c>
      <c r="E360" s="38"/>
      <c r="F360" s="38">
        <f t="shared" si="1"/>
        <v>0</v>
      </c>
      <c r="G360" s="38">
        <f>COUNTIFS(HH_FCSP!$G$18:$G$3617,$E360,HH_FCSP!$F$18:$F$3617,"catapult/crossbow")</f>
        <v>0</v>
      </c>
      <c r="H360" s="38">
        <f>COUNTIFS(HH_FCSP!$G$18:$G$3617,$E360,HH_FCSP!$F$18:$F$3617,"white")</f>
        <v>0</v>
      </c>
    </row>
    <row r="361">
      <c r="A361" s="38"/>
      <c r="B361" s="38">
        <v>0.0</v>
      </c>
      <c r="C361" s="38">
        <v>0.0</v>
      </c>
      <c r="D361" s="38">
        <v>0.0</v>
      </c>
      <c r="E361" s="38"/>
      <c r="F361" s="38">
        <f t="shared" si="1"/>
        <v>0</v>
      </c>
      <c r="G361" s="38">
        <f>COUNTIFS(HH_FCSP!$G$18:$G$3617,$E361,HH_FCSP!$F$18:$F$3617,"catapult/crossbow")</f>
        <v>0</v>
      </c>
      <c r="H361" s="38">
        <f>COUNTIFS(HH_FCSP!$G$18:$G$3617,$E361,HH_FCSP!$F$18:$F$3617,"white")</f>
        <v>0</v>
      </c>
    </row>
    <row r="362">
      <c r="A362" s="38"/>
      <c r="B362" s="38">
        <v>0.0</v>
      </c>
      <c r="C362" s="38">
        <v>0.0</v>
      </c>
      <c r="D362" s="38">
        <v>0.0</v>
      </c>
      <c r="E362" s="38"/>
      <c r="F362" s="38">
        <f t="shared" si="1"/>
        <v>0</v>
      </c>
      <c r="G362" s="38">
        <f>COUNTIFS(HH_FCSP!$G$18:$G$3617,$E362,HH_FCSP!$F$18:$F$3617,"catapult/crossbow")</f>
        <v>0</v>
      </c>
      <c r="H362" s="38">
        <f>COUNTIFS(HH_FCSP!$G$18:$G$3617,$E362,HH_FCSP!$F$18:$F$3617,"white")</f>
        <v>0</v>
      </c>
    </row>
    <row r="363">
      <c r="A363" s="38"/>
      <c r="B363" s="38">
        <v>0.0</v>
      </c>
      <c r="C363" s="38">
        <v>0.0</v>
      </c>
      <c r="D363" s="38">
        <v>0.0</v>
      </c>
      <c r="E363" s="38"/>
      <c r="F363" s="38">
        <f t="shared" si="1"/>
        <v>0</v>
      </c>
      <c r="G363" s="38">
        <f>COUNTIFS(HH_FCSP!$G$18:$G$3617,$E363,HH_FCSP!$F$18:$F$3617,"catapult/crossbow")</f>
        <v>0</v>
      </c>
      <c r="H363" s="38">
        <f>COUNTIFS(HH_FCSP!$G$18:$G$3617,$E363,HH_FCSP!$F$18:$F$3617,"white")</f>
        <v>0</v>
      </c>
    </row>
    <row r="364">
      <c r="A364" s="38"/>
      <c r="B364" s="38">
        <v>0.0</v>
      </c>
      <c r="C364" s="38">
        <v>0.0</v>
      </c>
      <c r="D364" s="38">
        <v>0.0</v>
      </c>
      <c r="E364" s="38"/>
      <c r="F364" s="38">
        <f t="shared" si="1"/>
        <v>0</v>
      </c>
      <c r="G364" s="38">
        <f>COUNTIFS(HH_FCSP!$G$18:$G$3617,$E364,HH_FCSP!$F$18:$F$3617,"catapult/crossbow")</f>
        <v>0</v>
      </c>
      <c r="H364" s="38">
        <f>COUNTIFS(HH_FCSP!$G$18:$G$3617,$E364,HH_FCSP!$F$18:$F$3617,"white")</f>
        <v>0</v>
      </c>
    </row>
    <row r="365">
      <c r="A365" s="38"/>
      <c r="B365" s="38">
        <v>0.0</v>
      </c>
      <c r="C365" s="38">
        <v>0.0</v>
      </c>
      <c r="D365" s="38">
        <v>0.0</v>
      </c>
      <c r="E365" s="38"/>
      <c r="F365" s="38">
        <f t="shared" si="1"/>
        <v>0</v>
      </c>
      <c r="G365" s="38">
        <f>COUNTIFS(HH_FCSP!$G$18:$G$3617,$E365,HH_FCSP!$F$18:$F$3617,"catapult/crossbow")</f>
        <v>0</v>
      </c>
      <c r="H365" s="38">
        <f>COUNTIFS(HH_FCSP!$G$18:$G$3617,$E365,HH_FCSP!$F$18:$F$3617,"white")</f>
        <v>0</v>
      </c>
    </row>
    <row r="366">
      <c r="A366" s="38"/>
      <c r="B366" s="38">
        <v>0.0</v>
      </c>
      <c r="C366" s="38">
        <v>0.0</v>
      </c>
      <c r="D366" s="38">
        <v>0.0</v>
      </c>
      <c r="E366" s="38"/>
      <c r="F366" s="38">
        <f t="shared" si="1"/>
        <v>0</v>
      </c>
      <c r="G366" s="38">
        <f>COUNTIFS(HH_FCSP!$G$18:$G$3617,$E366,HH_FCSP!$F$18:$F$3617,"catapult/crossbow")</f>
        <v>0</v>
      </c>
      <c r="H366" s="38">
        <f>COUNTIFS(HH_FCSP!$G$18:$G$3617,$E366,HH_FCSP!$F$18:$F$3617,"white")</f>
        <v>0</v>
      </c>
    </row>
    <row r="367">
      <c r="A367" s="38"/>
      <c r="B367" s="38">
        <v>0.0</v>
      </c>
      <c r="C367" s="38">
        <v>0.0</v>
      </c>
      <c r="D367" s="38">
        <v>0.0</v>
      </c>
      <c r="E367" s="38"/>
      <c r="F367" s="38">
        <f t="shared" si="1"/>
        <v>0</v>
      </c>
      <c r="G367" s="38">
        <f>COUNTIFS(HH_FCSP!$G$18:$G$3617,$E367,HH_FCSP!$F$18:$F$3617,"catapult/crossbow")</f>
        <v>0</v>
      </c>
      <c r="H367" s="38">
        <f>COUNTIFS(HH_FCSP!$G$18:$G$3617,$E367,HH_FCSP!$F$18:$F$3617,"white")</f>
        <v>0</v>
      </c>
    </row>
    <row r="368">
      <c r="A368" s="38"/>
      <c r="B368" s="38">
        <v>0.0</v>
      </c>
      <c r="C368" s="38">
        <v>0.0</v>
      </c>
      <c r="D368" s="38">
        <v>0.0</v>
      </c>
      <c r="E368" s="38"/>
      <c r="F368" s="38">
        <f t="shared" si="1"/>
        <v>0</v>
      </c>
      <c r="G368" s="38">
        <f>COUNTIFS(HH_FCSP!$G$18:$G$3617,$E368,HH_FCSP!$F$18:$F$3617,"catapult/crossbow")</f>
        <v>0</v>
      </c>
      <c r="H368" s="38">
        <f>COUNTIFS(HH_FCSP!$G$18:$G$3617,$E368,HH_FCSP!$F$18:$F$3617,"white")</f>
        <v>0</v>
      </c>
    </row>
    <row r="369">
      <c r="A369" s="38"/>
      <c r="B369" s="38">
        <v>0.0</v>
      </c>
      <c r="C369" s="38">
        <v>0.0</v>
      </c>
      <c r="D369" s="38">
        <v>0.0</v>
      </c>
      <c r="E369" s="38"/>
      <c r="F369" s="38">
        <f t="shared" si="1"/>
        <v>0</v>
      </c>
      <c r="G369" s="38">
        <f>COUNTIFS(HH_FCSP!$G$18:$G$3617,$E369,HH_FCSP!$F$18:$F$3617,"catapult/crossbow")</f>
        <v>0</v>
      </c>
      <c r="H369" s="38">
        <f>COUNTIFS(HH_FCSP!$G$18:$G$3617,$E369,HH_FCSP!$F$18:$F$3617,"white")</f>
        <v>0</v>
      </c>
    </row>
    <row r="370">
      <c r="A370" s="38"/>
      <c r="B370" s="38">
        <v>0.0</v>
      </c>
      <c r="C370" s="38">
        <v>0.0</v>
      </c>
      <c r="D370" s="38">
        <v>0.0</v>
      </c>
      <c r="E370" s="38"/>
      <c r="F370" s="38">
        <f t="shared" si="1"/>
        <v>0</v>
      </c>
      <c r="G370" s="38">
        <f>COUNTIFS(HH_FCSP!$G$18:$G$3617,$E370,HH_FCSP!$F$18:$F$3617,"catapult/crossbow")</f>
        <v>0</v>
      </c>
      <c r="H370" s="38">
        <f>COUNTIFS(HH_FCSP!$G$18:$G$3617,$E370,HH_FCSP!$F$18:$F$3617,"white")</f>
        <v>0</v>
      </c>
    </row>
    <row r="371">
      <c r="A371" s="38"/>
      <c r="B371" s="38">
        <v>0.0</v>
      </c>
      <c r="C371" s="38">
        <v>0.0</v>
      </c>
      <c r="D371" s="38">
        <v>0.0</v>
      </c>
      <c r="E371" s="38"/>
      <c r="F371" s="38">
        <f t="shared" si="1"/>
        <v>0</v>
      </c>
      <c r="G371" s="38">
        <f>COUNTIFS(HH_FCSP!$G$18:$G$3617,$E371,HH_FCSP!$F$18:$F$3617,"catapult/crossbow")</f>
        <v>0</v>
      </c>
      <c r="H371" s="38">
        <f>COUNTIFS(HH_FCSP!$G$18:$G$3617,$E371,HH_FCSP!$F$18:$F$3617,"white")</f>
        <v>0</v>
      </c>
    </row>
    <row r="372">
      <c r="A372" s="38"/>
      <c r="B372" s="38">
        <v>0.0</v>
      </c>
      <c r="C372" s="38">
        <v>0.0</v>
      </c>
      <c r="D372" s="38">
        <v>0.0</v>
      </c>
      <c r="E372" s="38"/>
      <c r="F372" s="38">
        <f t="shared" si="1"/>
        <v>0</v>
      </c>
      <c r="G372" s="38">
        <f>COUNTIFS(HH_FCSP!$G$18:$G$3617,$E372,HH_FCSP!$F$18:$F$3617,"catapult/crossbow")</f>
        <v>0</v>
      </c>
      <c r="H372" s="38">
        <f>COUNTIFS(HH_FCSP!$G$18:$G$3617,$E372,HH_FCSP!$F$18:$F$3617,"white")</f>
        <v>0</v>
      </c>
    </row>
    <row r="373">
      <c r="A373" s="38"/>
      <c r="B373" s="38">
        <v>0.0</v>
      </c>
      <c r="C373" s="38">
        <v>0.0</v>
      </c>
      <c r="D373" s="38">
        <v>0.0</v>
      </c>
      <c r="E373" s="38"/>
      <c r="F373" s="38">
        <f t="shared" si="1"/>
        <v>0</v>
      </c>
      <c r="G373" s="38">
        <f>COUNTIFS(HH_FCSP!$G$18:$G$3617,$E373,HH_FCSP!$F$18:$F$3617,"catapult/crossbow")</f>
        <v>0</v>
      </c>
      <c r="H373" s="38">
        <f>COUNTIFS(HH_FCSP!$G$18:$G$3617,$E373,HH_FCSP!$F$18:$F$3617,"white")</f>
        <v>0</v>
      </c>
    </row>
    <row r="374">
      <c r="A374" s="38"/>
      <c r="B374" s="38">
        <v>0.0</v>
      </c>
      <c r="C374" s="38">
        <v>0.0</v>
      </c>
      <c r="D374" s="38">
        <v>0.0</v>
      </c>
      <c r="E374" s="38"/>
      <c r="F374" s="38">
        <f t="shared" si="1"/>
        <v>0</v>
      </c>
      <c r="G374" s="38">
        <f>COUNTIFS(HH_FCSP!$G$18:$G$3617,$E374,HH_FCSP!$F$18:$F$3617,"catapult/crossbow")</f>
        <v>0</v>
      </c>
      <c r="H374" s="38">
        <f>COUNTIFS(HH_FCSP!$G$18:$G$3617,$E374,HH_FCSP!$F$18:$F$3617,"white")</f>
        <v>0</v>
      </c>
    </row>
    <row r="375">
      <c r="A375" s="38"/>
      <c r="B375" s="38">
        <v>0.0</v>
      </c>
      <c r="C375" s="38">
        <v>0.0</v>
      </c>
      <c r="D375" s="38">
        <v>0.0</v>
      </c>
      <c r="E375" s="38"/>
      <c r="F375" s="38">
        <f t="shared" si="1"/>
        <v>0</v>
      </c>
      <c r="G375" s="38">
        <f>COUNTIFS(HH_FCSP!$G$18:$G$3617,$E375,HH_FCSP!$F$18:$F$3617,"catapult/crossbow")</f>
        <v>0</v>
      </c>
      <c r="H375" s="38">
        <f>COUNTIFS(HH_FCSP!$G$18:$G$3617,$E375,HH_FCSP!$F$18:$F$3617,"white")</f>
        <v>0</v>
      </c>
    </row>
    <row r="376">
      <c r="A376" s="38"/>
      <c r="B376" s="38">
        <v>0.0</v>
      </c>
      <c r="C376" s="38">
        <v>0.0</v>
      </c>
      <c r="D376" s="38">
        <v>0.0</v>
      </c>
      <c r="E376" s="38"/>
      <c r="F376" s="38">
        <f t="shared" si="1"/>
        <v>0</v>
      </c>
      <c r="G376" s="38">
        <f>COUNTIFS(HH_FCSP!$G$18:$G$3617,$E376,HH_FCSP!$F$18:$F$3617,"catapult/crossbow")</f>
        <v>0</v>
      </c>
      <c r="H376" s="38">
        <f>COUNTIFS(HH_FCSP!$G$18:$G$3617,$E376,HH_FCSP!$F$18:$F$3617,"white")</f>
        <v>0</v>
      </c>
    </row>
    <row r="377">
      <c r="A377" s="38"/>
      <c r="B377" s="38">
        <v>0.0</v>
      </c>
      <c r="C377" s="38">
        <v>0.0</v>
      </c>
      <c r="D377" s="38">
        <v>0.0</v>
      </c>
      <c r="E377" s="38"/>
      <c r="F377" s="38">
        <f t="shared" si="1"/>
        <v>0</v>
      </c>
      <c r="G377" s="38">
        <f>COUNTIFS(HH_FCSP!$G$18:$G$3617,$E377,HH_FCSP!$F$18:$F$3617,"catapult/crossbow")</f>
        <v>0</v>
      </c>
      <c r="H377" s="38">
        <f>COUNTIFS(HH_FCSP!$G$18:$G$3617,$E377,HH_FCSP!$F$18:$F$3617,"white")</f>
        <v>0</v>
      </c>
    </row>
    <row r="378">
      <c r="A378" s="38"/>
      <c r="B378" s="38">
        <v>0.0</v>
      </c>
      <c r="C378" s="38">
        <v>0.0</v>
      </c>
      <c r="D378" s="38">
        <v>0.0</v>
      </c>
      <c r="E378" s="38"/>
      <c r="F378" s="38">
        <f t="shared" si="1"/>
        <v>0</v>
      </c>
      <c r="G378" s="38">
        <f>COUNTIFS(HH_FCSP!$G$18:$G$3617,$E378,HH_FCSP!$F$18:$F$3617,"catapult/crossbow")</f>
        <v>0</v>
      </c>
      <c r="H378" s="38">
        <f>COUNTIFS(HH_FCSP!$G$18:$G$3617,$E378,HH_FCSP!$F$18:$F$3617,"white")</f>
        <v>0</v>
      </c>
    </row>
    <row r="379">
      <c r="A379" s="38"/>
      <c r="B379" s="38">
        <v>0.0</v>
      </c>
      <c r="C379" s="38">
        <v>0.0</v>
      </c>
      <c r="D379" s="38">
        <v>0.0</v>
      </c>
      <c r="E379" s="38"/>
      <c r="F379" s="38">
        <f t="shared" si="1"/>
        <v>0</v>
      </c>
      <c r="G379" s="38">
        <f>COUNTIFS(HH_FCSP!$G$18:$G$3617,$E379,HH_FCSP!$F$18:$F$3617,"catapult/crossbow")</f>
        <v>0</v>
      </c>
      <c r="H379" s="38">
        <f>COUNTIFS(HH_FCSP!$G$18:$G$3617,$E379,HH_FCSP!$F$18:$F$3617,"white")</f>
        <v>0</v>
      </c>
    </row>
    <row r="380">
      <c r="A380" s="38"/>
      <c r="B380" s="38">
        <v>0.0</v>
      </c>
      <c r="C380" s="38">
        <v>0.0</v>
      </c>
      <c r="D380" s="38">
        <v>0.0</v>
      </c>
      <c r="E380" s="38"/>
      <c r="F380" s="38">
        <f t="shared" si="1"/>
        <v>0</v>
      </c>
      <c r="G380" s="38">
        <f>COUNTIFS(HH_FCSP!$G$18:$G$3617,$E380,HH_FCSP!$F$18:$F$3617,"catapult/crossbow")</f>
        <v>0</v>
      </c>
      <c r="H380" s="38">
        <f>COUNTIFS(HH_FCSP!$G$18:$G$3617,$E380,HH_FCSP!$F$18:$F$3617,"white")</f>
        <v>0</v>
      </c>
    </row>
    <row r="381">
      <c r="A381" s="38"/>
      <c r="B381" s="38">
        <v>0.0</v>
      </c>
      <c r="C381" s="38">
        <v>0.0</v>
      </c>
      <c r="D381" s="38">
        <v>0.0</v>
      </c>
      <c r="E381" s="38"/>
      <c r="F381" s="38">
        <f t="shared" si="1"/>
        <v>0</v>
      </c>
      <c r="G381" s="38">
        <f>COUNTIFS(HH_FCSP!$G$18:$G$3617,$E381,HH_FCSP!$F$18:$F$3617,"catapult/crossbow")</f>
        <v>0</v>
      </c>
      <c r="H381" s="38">
        <f>COUNTIFS(HH_FCSP!$G$18:$G$3617,$E381,HH_FCSP!$F$18:$F$3617,"white")</f>
        <v>0</v>
      </c>
    </row>
    <row r="382">
      <c r="A382" s="38"/>
      <c r="B382" s="38">
        <v>0.0</v>
      </c>
      <c r="C382" s="38">
        <v>0.0</v>
      </c>
      <c r="D382" s="38">
        <v>0.0</v>
      </c>
      <c r="E382" s="38"/>
      <c r="F382" s="38">
        <f t="shared" si="1"/>
        <v>0</v>
      </c>
      <c r="G382" s="38">
        <f>COUNTIFS(HH_FCSP!$G$18:$G$3617,$E382,HH_FCSP!$F$18:$F$3617,"catapult/crossbow")</f>
        <v>0</v>
      </c>
      <c r="H382" s="38">
        <f>COUNTIFS(HH_FCSP!$G$18:$G$3617,$E382,HH_FCSP!$F$18:$F$3617,"white")</f>
        <v>0</v>
      </c>
    </row>
    <row r="383">
      <c r="A383" s="38"/>
      <c r="B383" s="38">
        <v>0.0</v>
      </c>
      <c r="C383" s="38">
        <v>0.0</v>
      </c>
      <c r="D383" s="38">
        <v>0.0</v>
      </c>
      <c r="E383" s="38"/>
      <c r="F383" s="38">
        <f t="shared" si="1"/>
        <v>0</v>
      </c>
      <c r="G383" s="38">
        <f>COUNTIFS(HH_FCSP!$G$18:$G$3617,$E383,HH_FCSP!$F$18:$F$3617,"catapult/crossbow")</f>
        <v>0</v>
      </c>
      <c r="H383" s="38">
        <f>COUNTIFS(HH_FCSP!$G$18:$G$3617,$E383,HH_FCSP!$F$18:$F$3617,"white")</f>
        <v>0</v>
      </c>
    </row>
    <row r="384">
      <c r="A384" s="38"/>
      <c r="B384" s="38">
        <v>0.0</v>
      </c>
      <c r="C384" s="38">
        <v>0.0</v>
      </c>
      <c r="D384" s="38">
        <v>0.0</v>
      </c>
      <c r="E384" s="38"/>
      <c r="F384" s="38">
        <f t="shared" si="1"/>
        <v>0</v>
      </c>
      <c r="G384" s="38">
        <f>COUNTIFS(HH_FCSP!$G$18:$G$3617,$E384,HH_FCSP!$F$18:$F$3617,"catapult/crossbow")</f>
        <v>0</v>
      </c>
      <c r="H384" s="38">
        <f>COUNTIFS(HH_FCSP!$G$18:$G$3617,$E384,HH_FCSP!$F$18:$F$3617,"white")</f>
        <v>0</v>
      </c>
    </row>
    <row r="385">
      <c r="A385" s="38"/>
      <c r="B385" s="38">
        <v>0.0</v>
      </c>
      <c r="C385" s="38">
        <v>0.0</v>
      </c>
      <c r="D385" s="38">
        <v>0.0</v>
      </c>
      <c r="E385" s="38"/>
      <c r="F385" s="38">
        <f t="shared" si="1"/>
        <v>0</v>
      </c>
      <c r="G385" s="38">
        <f>COUNTIFS(HH_FCSP!$G$18:$G$3617,$E385,HH_FCSP!$F$18:$F$3617,"catapult/crossbow")</f>
        <v>0</v>
      </c>
      <c r="H385" s="38">
        <f>COUNTIFS(HH_FCSP!$G$18:$G$3617,$E385,HH_FCSP!$F$18:$F$3617,"white")</f>
        <v>0</v>
      </c>
    </row>
    <row r="386">
      <c r="A386" s="38"/>
      <c r="B386" s="38">
        <v>0.0</v>
      </c>
      <c r="C386" s="38">
        <v>0.0</v>
      </c>
      <c r="D386" s="38">
        <v>0.0</v>
      </c>
      <c r="E386" s="38"/>
      <c r="F386" s="38">
        <f t="shared" si="1"/>
        <v>0</v>
      </c>
      <c r="G386" s="38">
        <f>COUNTIFS(HH_FCSP!$G$18:$G$3617,$E386,HH_FCSP!$F$18:$F$3617,"catapult/crossbow")</f>
        <v>0</v>
      </c>
      <c r="H386" s="38">
        <f>COUNTIFS(HH_FCSP!$G$18:$G$3617,$E386,HH_FCSP!$F$18:$F$3617,"white")</f>
        <v>0</v>
      </c>
    </row>
    <row r="387">
      <c r="A387" s="38"/>
      <c r="B387" s="38">
        <v>0.0</v>
      </c>
      <c r="C387" s="38">
        <v>0.0</v>
      </c>
      <c r="D387" s="38">
        <v>0.0</v>
      </c>
      <c r="E387" s="38"/>
      <c r="F387" s="38">
        <f t="shared" si="1"/>
        <v>0</v>
      </c>
      <c r="G387" s="38">
        <f>COUNTIFS(HH_FCSP!$G$18:$G$3617,$E387,HH_FCSP!$F$18:$F$3617,"catapult/crossbow")</f>
        <v>0</v>
      </c>
      <c r="H387" s="38">
        <f>COUNTIFS(HH_FCSP!$G$18:$G$3617,$E387,HH_FCSP!$F$18:$F$3617,"white")</f>
        <v>0</v>
      </c>
    </row>
    <row r="388">
      <c r="A388" s="38"/>
      <c r="B388" s="38">
        <v>0.0</v>
      </c>
      <c r="C388" s="38">
        <v>0.0</v>
      </c>
      <c r="D388" s="38">
        <v>0.0</v>
      </c>
      <c r="E388" s="38"/>
      <c r="F388" s="38">
        <f t="shared" si="1"/>
        <v>0</v>
      </c>
      <c r="G388" s="38">
        <f>COUNTIFS(HH_FCSP!$G$18:$G$3617,$E388,HH_FCSP!$F$18:$F$3617,"catapult/crossbow")</f>
        <v>0</v>
      </c>
      <c r="H388" s="38">
        <f>COUNTIFS(HH_FCSP!$G$18:$G$3617,$E388,HH_FCSP!$F$18:$F$3617,"white")</f>
        <v>0</v>
      </c>
    </row>
    <row r="389">
      <c r="A389" s="38"/>
      <c r="B389" s="38">
        <v>0.0</v>
      </c>
      <c r="C389" s="38">
        <v>0.0</v>
      </c>
      <c r="D389" s="38">
        <v>0.0</v>
      </c>
      <c r="E389" s="38"/>
      <c r="F389" s="38">
        <f t="shared" si="1"/>
        <v>0</v>
      </c>
      <c r="G389" s="38">
        <f>COUNTIFS(HH_FCSP!$G$18:$G$3617,$E389,HH_FCSP!$F$18:$F$3617,"catapult/crossbow")</f>
        <v>0</v>
      </c>
      <c r="H389" s="38">
        <f>COUNTIFS(HH_FCSP!$G$18:$G$3617,$E389,HH_FCSP!$F$18:$F$3617,"white")</f>
        <v>0</v>
      </c>
    </row>
    <row r="390">
      <c r="A390" s="38"/>
      <c r="B390" s="38">
        <v>0.0</v>
      </c>
      <c r="C390" s="38">
        <v>0.0</v>
      </c>
      <c r="D390" s="38">
        <v>0.0</v>
      </c>
      <c r="E390" s="38"/>
      <c r="F390" s="38">
        <f t="shared" si="1"/>
        <v>0</v>
      </c>
      <c r="G390" s="38">
        <f>COUNTIFS(HH_FCSP!$G$18:$G$3617,$E390,HH_FCSP!$F$18:$F$3617,"catapult/crossbow")</f>
        <v>0</v>
      </c>
      <c r="H390" s="38">
        <f>COUNTIFS(HH_FCSP!$G$18:$G$3617,$E390,HH_FCSP!$F$18:$F$3617,"white")</f>
        <v>0</v>
      </c>
    </row>
    <row r="391">
      <c r="A391" s="38"/>
      <c r="B391" s="38">
        <v>0.0</v>
      </c>
      <c r="C391" s="38">
        <v>0.0</v>
      </c>
      <c r="D391" s="38">
        <v>0.0</v>
      </c>
      <c r="E391" s="38"/>
      <c r="F391" s="38">
        <f t="shared" si="1"/>
        <v>0</v>
      </c>
      <c r="G391" s="38">
        <f>COUNTIFS(HH_FCSP!$G$18:$G$3617,$E391,HH_FCSP!$F$18:$F$3617,"catapult/crossbow")</f>
        <v>0</v>
      </c>
      <c r="H391" s="38">
        <f>COUNTIFS(HH_FCSP!$G$18:$G$3617,$E391,HH_FCSP!$F$18:$F$3617,"white")</f>
        <v>0</v>
      </c>
    </row>
    <row r="392">
      <c r="A392" s="38"/>
      <c r="B392" s="38">
        <v>0.0</v>
      </c>
      <c r="C392" s="38">
        <v>0.0</v>
      </c>
      <c r="D392" s="38">
        <v>0.0</v>
      </c>
      <c r="E392" s="38"/>
      <c r="F392" s="38">
        <f t="shared" si="1"/>
        <v>0</v>
      </c>
      <c r="G392" s="38">
        <f>COUNTIFS(HH_FCSP!$G$18:$G$3617,$E392,HH_FCSP!$F$18:$F$3617,"catapult/crossbow")</f>
        <v>0</v>
      </c>
      <c r="H392" s="38">
        <f>COUNTIFS(HH_FCSP!$G$18:$G$3617,$E392,HH_FCSP!$F$18:$F$3617,"white")</f>
        <v>0</v>
      </c>
    </row>
    <row r="393">
      <c r="A393" s="38"/>
      <c r="B393" s="38">
        <v>0.0</v>
      </c>
      <c r="C393" s="38">
        <v>0.0</v>
      </c>
      <c r="D393" s="38">
        <v>0.0</v>
      </c>
      <c r="E393" s="38"/>
      <c r="F393" s="38">
        <f t="shared" si="1"/>
        <v>0</v>
      </c>
      <c r="G393" s="38">
        <f>COUNTIFS(HH_FCSP!$G$18:$G$3617,$E393,HH_FCSP!$F$18:$F$3617,"catapult/crossbow")</f>
        <v>0</v>
      </c>
      <c r="H393" s="38">
        <f>COUNTIFS(HH_FCSP!$G$18:$G$3617,$E393,HH_FCSP!$F$18:$F$3617,"white")</f>
        <v>0</v>
      </c>
    </row>
    <row r="394">
      <c r="A394" s="38"/>
      <c r="B394" s="38">
        <v>0.0</v>
      </c>
      <c r="C394" s="38">
        <v>0.0</v>
      </c>
      <c r="D394" s="38">
        <v>0.0</v>
      </c>
      <c r="E394" s="38"/>
      <c r="F394" s="38">
        <f t="shared" si="1"/>
        <v>0</v>
      </c>
      <c r="G394" s="38">
        <f>COUNTIFS(HH_FCSP!$G$18:$G$3617,$E394,HH_FCSP!$F$18:$F$3617,"catapult/crossbow")</f>
        <v>0</v>
      </c>
      <c r="H394" s="38">
        <f>COUNTIFS(HH_FCSP!$G$18:$G$3617,$E394,HH_FCSP!$F$18:$F$3617,"white")</f>
        <v>0</v>
      </c>
    </row>
    <row r="395">
      <c r="A395" s="38"/>
      <c r="B395" s="38">
        <v>0.0</v>
      </c>
      <c r="C395" s="38">
        <v>0.0</v>
      </c>
      <c r="D395" s="38">
        <v>0.0</v>
      </c>
      <c r="E395" s="38"/>
      <c r="F395" s="38">
        <f t="shared" si="1"/>
        <v>0</v>
      </c>
      <c r="G395" s="38">
        <f>COUNTIFS(HH_FCSP!$G$18:$G$3617,$E395,HH_FCSP!$F$18:$F$3617,"catapult/crossbow")</f>
        <v>0</v>
      </c>
      <c r="H395" s="38">
        <f>COUNTIFS(HH_FCSP!$G$18:$G$3617,$E395,HH_FCSP!$F$18:$F$3617,"white")</f>
        <v>0</v>
      </c>
    </row>
    <row r="396">
      <c r="A396" s="38"/>
      <c r="B396" s="38">
        <v>0.0</v>
      </c>
      <c r="C396" s="38">
        <v>0.0</v>
      </c>
      <c r="D396" s="38">
        <v>0.0</v>
      </c>
      <c r="E396" s="38"/>
      <c r="F396" s="38">
        <f t="shared" si="1"/>
        <v>0</v>
      </c>
      <c r="G396" s="38">
        <f>COUNTIFS(HH_FCSP!$G$18:$G$3617,$E396,HH_FCSP!$F$18:$F$3617,"catapult/crossbow")</f>
        <v>0</v>
      </c>
      <c r="H396" s="38">
        <f>COUNTIFS(HH_FCSP!$G$18:$G$3617,$E396,HH_FCSP!$F$18:$F$3617,"white")</f>
        <v>0</v>
      </c>
    </row>
    <row r="397">
      <c r="A397" s="38"/>
      <c r="B397" s="38">
        <v>0.0</v>
      </c>
      <c r="C397" s="38">
        <v>0.0</v>
      </c>
      <c r="D397" s="38">
        <v>0.0</v>
      </c>
      <c r="E397" s="38"/>
      <c r="F397" s="38">
        <f t="shared" si="1"/>
        <v>0</v>
      </c>
      <c r="G397" s="38">
        <f>COUNTIFS(HH_FCSP!$G$18:$G$3617,$E397,HH_FCSP!$F$18:$F$3617,"catapult/crossbow")</f>
        <v>0</v>
      </c>
      <c r="H397" s="38">
        <f>COUNTIFS(HH_FCSP!$G$18:$G$3617,$E397,HH_FCSP!$F$18:$F$3617,"white")</f>
        <v>0</v>
      </c>
    </row>
    <row r="398">
      <c r="A398" s="38"/>
      <c r="B398" s="38">
        <v>0.0</v>
      </c>
      <c r="C398" s="38">
        <v>0.0</v>
      </c>
      <c r="D398" s="38">
        <v>0.0</v>
      </c>
      <c r="E398" s="38"/>
      <c r="F398" s="38">
        <f t="shared" si="1"/>
        <v>0</v>
      </c>
      <c r="G398" s="38">
        <f>COUNTIFS(HH_FCSP!$G$18:$G$3617,$E398,HH_FCSP!$F$18:$F$3617,"catapult/crossbow")</f>
        <v>0</v>
      </c>
      <c r="H398" s="38">
        <f>COUNTIFS(HH_FCSP!$G$18:$G$3617,$E398,HH_FCSP!$F$18:$F$3617,"white")</f>
        <v>0</v>
      </c>
    </row>
    <row r="399">
      <c r="A399" s="38"/>
      <c r="B399" s="38">
        <v>0.0</v>
      </c>
      <c r="C399" s="38">
        <v>0.0</v>
      </c>
      <c r="D399" s="38">
        <v>0.0</v>
      </c>
      <c r="E399" s="38"/>
      <c r="F399" s="38">
        <f t="shared" si="1"/>
        <v>0</v>
      </c>
      <c r="G399" s="38">
        <f>COUNTIFS(HH_FCSP!$G$18:$G$3617,$E399,HH_FCSP!$F$18:$F$3617,"catapult/crossbow")</f>
        <v>0</v>
      </c>
      <c r="H399" s="38">
        <f>COUNTIFS(HH_FCSP!$G$18:$G$3617,$E399,HH_FCSP!$F$18:$F$3617,"white")</f>
        <v>0</v>
      </c>
    </row>
    <row r="400">
      <c r="A400" s="38"/>
      <c r="B400" s="38">
        <v>0.0</v>
      </c>
      <c r="C400" s="38">
        <v>0.0</v>
      </c>
      <c r="D400" s="38">
        <v>0.0</v>
      </c>
      <c r="E400" s="38"/>
      <c r="F400" s="38">
        <f t="shared" si="1"/>
        <v>0</v>
      </c>
      <c r="G400" s="38">
        <f>COUNTIFS(HH_FCSP!$G$18:$G$3617,$E400,HH_FCSP!$F$18:$F$3617,"catapult/crossbow")</f>
        <v>0</v>
      </c>
      <c r="H400" s="38">
        <f>COUNTIFS(HH_FCSP!$G$18:$G$3617,$E400,HH_FCSP!$F$18:$F$3617,"white")</f>
        <v>0</v>
      </c>
    </row>
    <row r="401">
      <c r="A401" s="38"/>
      <c r="B401" s="38">
        <v>0.0</v>
      </c>
      <c r="C401" s="38">
        <v>0.0</v>
      </c>
      <c r="D401" s="38">
        <v>0.0</v>
      </c>
      <c r="E401" s="38"/>
      <c r="F401" s="38">
        <f t="shared" si="1"/>
        <v>0</v>
      </c>
      <c r="G401" s="38">
        <f>COUNTIFS(HH_FCSP!$G$18:$G$3617,$E401,HH_FCSP!$F$18:$F$3617,"catapult/crossbow")</f>
        <v>0</v>
      </c>
      <c r="H401" s="38">
        <f>COUNTIFS(HH_FCSP!$G$18:$G$3617,$E401,HH_FCSP!$F$18:$F$3617,"white")</f>
        <v>0</v>
      </c>
    </row>
    <row r="402">
      <c r="A402" s="38"/>
      <c r="B402" s="38">
        <v>0.0</v>
      </c>
      <c r="C402" s="38">
        <v>0.0</v>
      </c>
      <c r="D402" s="38">
        <v>0.0</v>
      </c>
      <c r="E402" s="38"/>
      <c r="F402" s="38">
        <f t="shared" si="1"/>
        <v>0</v>
      </c>
      <c r="G402" s="38">
        <f>COUNTIFS(HH_FCSP!$G$18:$G$3617,$E402,HH_FCSP!$F$18:$F$3617,"catapult/crossbow")</f>
        <v>0</v>
      </c>
      <c r="H402" s="38">
        <f>COUNTIFS(HH_FCSP!$G$18:$G$3617,$E402,HH_FCSP!$F$18:$F$3617,"white")</f>
        <v>0</v>
      </c>
    </row>
    <row r="403">
      <c r="A403" s="38"/>
      <c r="B403" s="38">
        <v>0.0</v>
      </c>
      <c r="C403" s="38">
        <v>0.0</v>
      </c>
      <c r="D403" s="38">
        <v>0.0</v>
      </c>
      <c r="E403" s="38"/>
      <c r="F403" s="38">
        <f t="shared" si="1"/>
        <v>0</v>
      </c>
      <c r="G403" s="38">
        <f>COUNTIFS(HH_FCSP!$G$18:$G$3617,$E403,HH_FCSP!$F$18:$F$3617,"catapult/crossbow")</f>
        <v>0</v>
      </c>
      <c r="H403" s="38">
        <f>COUNTIFS(HH_FCSP!$G$18:$G$3617,$E403,HH_FCSP!$F$18:$F$3617,"white")</f>
        <v>0</v>
      </c>
    </row>
    <row r="404">
      <c r="A404" s="38"/>
      <c r="B404" s="38">
        <v>0.0</v>
      </c>
      <c r="C404" s="38">
        <v>0.0</v>
      </c>
      <c r="D404" s="38">
        <v>0.0</v>
      </c>
      <c r="E404" s="38"/>
      <c r="F404" s="38">
        <f t="shared" si="1"/>
        <v>0</v>
      </c>
      <c r="G404" s="38">
        <f>COUNTIFS(HH_FCSP!$G$18:$G$3617,$E404,HH_FCSP!$F$18:$F$3617,"catapult/crossbow")</f>
        <v>0</v>
      </c>
      <c r="H404" s="38">
        <f>COUNTIFS(HH_FCSP!$G$18:$G$3617,$E404,HH_FCSP!$F$18:$F$3617,"white")</f>
        <v>0</v>
      </c>
    </row>
    <row r="405">
      <c r="A405" s="38"/>
      <c r="B405" s="38">
        <v>0.0</v>
      </c>
      <c r="C405" s="38">
        <v>0.0</v>
      </c>
      <c r="D405" s="38">
        <v>0.0</v>
      </c>
      <c r="E405" s="38"/>
      <c r="F405" s="38">
        <f t="shared" si="1"/>
        <v>0</v>
      </c>
      <c r="G405" s="38">
        <f>COUNTIFS(HH_FCSP!$G$18:$G$3617,$E405,HH_FCSP!$F$18:$F$3617,"catapult/crossbow")</f>
        <v>0</v>
      </c>
      <c r="H405" s="38">
        <f>COUNTIFS(HH_FCSP!$G$18:$G$3617,$E405,HH_FCSP!$F$18:$F$3617,"white")</f>
        <v>0</v>
      </c>
    </row>
    <row r="406">
      <c r="A406" s="38"/>
      <c r="B406" s="38">
        <v>0.0</v>
      </c>
      <c r="C406" s="38">
        <v>0.0</v>
      </c>
      <c r="D406" s="38">
        <v>0.0</v>
      </c>
      <c r="E406" s="38"/>
      <c r="F406" s="38">
        <f t="shared" si="1"/>
        <v>0</v>
      </c>
      <c r="G406" s="38">
        <f>COUNTIFS(HH_FCSP!$G$18:$G$3617,$E406,HH_FCSP!$F$18:$F$3617,"catapult/crossbow")</f>
        <v>0</v>
      </c>
      <c r="H406" s="38">
        <f>COUNTIFS(HH_FCSP!$G$18:$G$3617,$E406,HH_FCSP!$F$18:$F$3617,"white")</f>
        <v>0</v>
      </c>
    </row>
    <row r="407">
      <c r="A407" s="38"/>
      <c r="B407" s="38">
        <v>0.0</v>
      </c>
      <c r="C407" s="38">
        <v>0.0</v>
      </c>
      <c r="D407" s="38">
        <v>0.0</v>
      </c>
      <c r="E407" s="38"/>
      <c r="F407" s="38">
        <f t="shared" si="1"/>
        <v>0</v>
      </c>
      <c r="G407" s="38">
        <f>COUNTIFS(HH_FCSP!$G$18:$G$3617,$E407,HH_FCSP!$F$18:$F$3617,"catapult/crossbow")</f>
        <v>0</v>
      </c>
      <c r="H407" s="38">
        <f>COUNTIFS(HH_FCSP!$G$18:$G$3617,$E407,HH_FCSP!$F$18:$F$3617,"white")</f>
        <v>0</v>
      </c>
    </row>
    <row r="408">
      <c r="A408" s="38"/>
      <c r="B408" s="38">
        <v>0.0</v>
      </c>
      <c r="C408" s="38">
        <v>0.0</v>
      </c>
      <c r="D408" s="38">
        <v>0.0</v>
      </c>
      <c r="E408" s="38"/>
      <c r="F408" s="38">
        <f t="shared" si="1"/>
        <v>0</v>
      </c>
      <c r="G408" s="38">
        <f>COUNTIFS(HH_FCSP!$G$18:$G$3617,$E408,HH_FCSP!$F$18:$F$3617,"catapult/crossbow")</f>
        <v>0</v>
      </c>
      <c r="H408" s="38">
        <f>COUNTIFS(HH_FCSP!$G$18:$G$3617,$E408,HH_FCSP!$F$18:$F$3617,"white")</f>
        <v>0</v>
      </c>
    </row>
    <row r="409">
      <c r="A409" s="38"/>
      <c r="B409" s="38">
        <v>0.0</v>
      </c>
      <c r="C409" s="38">
        <v>0.0</v>
      </c>
      <c r="D409" s="38">
        <v>0.0</v>
      </c>
      <c r="E409" s="38"/>
      <c r="F409" s="38">
        <f t="shared" si="1"/>
        <v>0</v>
      </c>
      <c r="G409" s="38">
        <f>COUNTIFS(HH_FCSP!$G$18:$G$3617,$E409,HH_FCSP!$F$18:$F$3617,"catapult/crossbow")</f>
        <v>0</v>
      </c>
      <c r="H409" s="38">
        <f>COUNTIFS(HH_FCSP!$G$18:$G$3617,$E409,HH_FCSP!$F$18:$F$3617,"white")</f>
        <v>0</v>
      </c>
    </row>
    <row r="410">
      <c r="A410" s="38"/>
      <c r="B410" s="38">
        <v>0.0</v>
      </c>
      <c r="C410" s="38">
        <v>0.0</v>
      </c>
      <c r="D410" s="38">
        <v>0.0</v>
      </c>
      <c r="E410" s="38"/>
      <c r="F410" s="38">
        <f t="shared" si="1"/>
        <v>0</v>
      </c>
      <c r="G410" s="38">
        <f>COUNTIFS(HH_FCSP!$G$18:$G$3617,$E410,HH_FCSP!$F$18:$F$3617,"catapult/crossbow")</f>
        <v>0</v>
      </c>
      <c r="H410" s="38">
        <f>COUNTIFS(HH_FCSP!$G$18:$G$3617,$E410,HH_FCSP!$F$18:$F$3617,"white")</f>
        <v>0</v>
      </c>
    </row>
    <row r="411">
      <c r="A411" s="38"/>
      <c r="B411" s="38">
        <v>0.0</v>
      </c>
      <c r="C411" s="38">
        <v>0.0</v>
      </c>
      <c r="D411" s="38">
        <v>0.0</v>
      </c>
      <c r="E411" s="38"/>
      <c r="F411" s="38">
        <f t="shared" si="1"/>
        <v>0</v>
      </c>
      <c r="G411" s="38">
        <f>COUNTIFS(HH_FCSP!$G$18:$G$3617,$E411,HH_FCSP!$F$18:$F$3617,"catapult/crossbow")</f>
        <v>0</v>
      </c>
      <c r="H411" s="38">
        <f>COUNTIFS(HH_FCSP!$G$18:$G$3617,$E411,HH_FCSP!$F$18:$F$3617,"white")</f>
        <v>0</v>
      </c>
    </row>
    <row r="412">
      <c r="A412" s="38"/>
      <c r="B412" s="38">
        <v>0.0</v>
      </c>
      <c r="C412" s="38">
        <v>0.0</v>
      </c>
      <c r="D412" s="38">
        <v>0.0</v>
      </c>
      <c r="E412" s="38"/>
      <c r="F412" s="38">
        <f t="shared" si="1"/>
        <v>0</v>
      </c>
      <c r="G412" s="38">
        <f>COUNTIFS(HH_FCSP!$G$18:$G$3617,$E412,HH_FCSP!$F$18:$F$3617,"catapult/crossbow")</f>
        <v>0</v>
      </c>
      <c r="H412" s="38">
        <f>COUNTIFS(HH_FCSP!$G$18:$G$3617,$E412,HH_FCSP!$F$18:$F$3617,"white")</f>
        <v>0</v>
      </c>
    </row>
    <row r="413">
      <c r="A413" s="38"/>
      <c r="B413" s="38">
        <v>0.0</v>
      </c>
      <c r="C413" s="38">
        <v>0.0</v>
      </c>
      <c r="D413" s="38">
        <v>0.0</v>
      </c>
      <c r="E413" s="38"/>
      <c r="F413" s="38">
        <f t="shared" si="1"/>
        <v>0</v>
      </c>
      <c r="G413" s="38">
        <f>COUNTIFS(HH_FCSP!$G$18:$G$3617,$E413,HH_FCSP!$F$18:$F$3617,"catapult/crossbow")</f>
        <v>0</v>
      </c>
      <c r="H413" s="38">
        <f>COUNTIFS(HH_FCSP!$G$18:$G$3617,$E413,HH_FCSP!$F$18:$F$3617,"white")</f>
        <v>0</v>
      </c>
    </row>
    <row r="414">
      <c r="A414" s="38"/>
      <c r="B414" s="38">
        <v>0.0</v>
      </c>
      <c r="C414" s="38">
        <v>0.0</v>
      </c>
      <c r="D414" s="38">
        <v>0.0</v>
      </c>
      <c r="E414" s="38"/>
      <c r="F414" s="38">
        <f t="shared" si="1"/>
        <v>0</v>
      </c>
      <c r="G414" s="38">
        <f>COUNTIFS(HH_FCSP!$G$18:$G$3617,$E414,HH_FCSP!$F$18:$F$3617,"catapult/crossbow")</f>
        <v>0</v>
      </c>
      <c r="H414" s="38">
        <f>COUNTIFS(HH_FCSP!$G$18:$G$3617,$E414,HH_FCSP!$F$18:$F$3617,"white")</f>
        <v>0</v>
      </c>
    </row>
    <row r="415">
      <c r="A415" s="38"/>
      <c r="B415" s="38">
        <v>0.0</v>
      </c>
      <c r="C415" s="38">
        <v>0.0</v>
      </c>
      <c r="D415" s="38">
        <v>0.0</v>
      </c>
      <c r="E415" s="38"/>
      <c r="F415" s="38">
        <f t="shared" si="1"/>
        <v>0</v>
      </c>
      <c r="G415" s="38">
        <f>COUNTIFS(HH_FCSP!$G$18:$G$3617,$E415,HH_FCSP!$F$18:$F$3617,"catapult/crossbow")</f>
        <v>0</v>
      </c>
      <c r="H415" s="38">
        <f>COUNTIFS(HH_FCSP!$G$18:$G$3617,$E415,HH_FCSP!$F$18:$F$3617,"white")</f>
        <v>0</v>
      </c>
    </row>
    <row r="416">
      <c r="A416" s="38"/>
      <c r="B416" s="38">
        <v>0.0</v>
      </c>
      <c r="C416" s="38">
        <v>0.0</v>
      </c>
      <c r="D416" s="38">
        <v>0.0</v>
      </c>
      <c r="E416" s="38"/>
      <c r="F416" s="38">
        <f t="shared" si="1"/>
        <v>0</v>
      </c>
      <c r="G416" s="38">
        <f>COUNTIFS(HH_FCSP!$G$18:$G$3617,$E416,HH_FCSP!$F$18:$F$3617,"catapult/crossbow")</f>
        <v>0</v>
      </c>
      <c r="H416" s="38">
        <f>COUNTIFS(HH_FCSP!$G$18:$G$3617,$E416,HH_FCSP!$F$18:$F$3617,"white")</f>
        <v>0</v>
      </c>
    </row>
    <row r="417">
      <c r="A417" s="38"/>
      <c r="B417" s="38">
        <v>0.0</v>
      </c>
      <c r="C417" s="38">
        <v>0.0</v>
      </c>
      <c r="D417" s="38">
        <v>0.0</v>
      </c>
      <c r="E417" s="38"/>
      <c r="F417" s="38">
        <f t="shared" si="1"/>
        <v>0</v>
      </c>
      <c r="G417" s="38">
        <f>COUNTIFS(HH_FCSP!$G$18:$G$3617,$E417,HH_FCSP!$F$18:$F$3617,"catapult/crossbow")</f>
        <v>0</v>
      </c>
      <c r="H417" s="38">
        <f>COUNTIFS(HH_FCSP!$G$18:$G$3617,$E417,HH_FCSP!$F$18:$F$3617,"white")</f>
        <v>0</v>
      </c>
    </row>
    <row r="418">
      <c r="A418" s="38"/>
      <c r="B418" s="38">
        <v>0.0</v>
      </c>
      <c r="C418" s="38">
        <v>0.0</v>
      </c>
      <c r="D418" s="38">
        <v>0.0</v>
      </c>
      <c r="E418" s="38"/>
      <c r="F418" s="38">
        <f t="shared" si="1"/>
        <v>0</v>
      </c>
      <c r="G418" s="38">
        <f>COUNTIFS(HH_FCSP!$G$18:$G$3617,$E418,HH_FCSP!$F$18:$F$3617,"catapult/crossbow")</f>
        <v>0</v>
      </c>
      <c r="H418" s="38">
        <f>COUNTIFS(HH_FCSP!$G$18:$G$3617,$E418,HH_FCSP!$F$18:$F$3617,"white")</f>
        <v>0</v>
      </c>
    </row>
    <row r="419">
      <c r="A419" s="38"/>
      <c r="B419" s="38">
        <v>0.0</v>
      </c>
      <c r="C419" s="38">
        <v>0.0</v>
      </c>
      <c r="D419" s="38">
        <v>0.0</v>
      </c>
      <c r="E419" s="38"/>
      <c r="F419" s="38">
        <f t="shared" si="1"/>
        <v>0</v>
      </c>
      <c r="G419" s="38">
        <f>COUNTIFS(HH_FCSP!$G$18:$G$3617,$E419,HH_FCSP!$F$18:$F$3617,"catapult/crossbow")</f>
        <v>0</v>
      </c>
      <c r="H419" s="38">
        <f>COUNTIFS(HH_FCSP!$G$18:$G$3617,$E419,HH_FCSP!$F$18:$F$3617,"white")</f>
        <v>0</v>
      </c>
    </row>
    <row r="420">
      <c r="A420" s="38"/>
      <c r="B420" s="38">
        <v>0.0</v>
      </c>
      <c r="C420" s="38">
        <v>0.0</v>
      </c>
      <c r="D420" s="38">
        <v>0.0</v>
      </c>
      <c r="E420" s="38"/>
      <c r="F420" s="38">
        <f t="shared" si="1"/>
        <v>0</v>
      </c>
      <c r="G420" s="38">
        <f>COUNTIFS(HH_FCSP!$G$18:$G$3617,$E420,HH_FCSP!$F$18:$F$3617,"catapult/crossbow")</f>
        <v>0</v>
      </c>
      <c r="H420" s="38">
        <f>COUNTIFS(HH_FCSP!$G$18:$G$3617,$E420,HH_FCSP!$F$18:$F$3617,"white")</f>
        <v>0</v>
      </c>
    </row>
    <row r="421">
      <c r="A421" s="38"/>
      <c r="B421" s="38">
        <v>0.0</v>
      </c>
      <c r="C421" s="38">
        <v>0.0</v>
      </c>
      <c r="D421" s="38">
        <v>0.0</v>
      </c>
      <c r="E421" s="38"/>
      <c r="F421" s="38">
        <f t="shared" si="1"/>
        <v>0</v>
      </c>
      <c r="G421" s="38">
        <f>COUNTIFS(HH_FCSP!$G$18:$G$3617,$E421,HH_FCSP!$F$18:$F$3617,"catapult/crossbow")</f>
        <v>0</v>
      </c>
      <c r="H421" s="38">
        <f>COUNTIFS(HH_FCSP!$G$18:$G$3617,$E421,HH_FCSP!$F$18:$F$3617,"white")</f>
        <v>0</v>
      </c>
    </row>
    <row r="422">
      <c r="A422" s="38"/>
      <c r="B422" s="38">
        <v>0.0</v>
      </c>
      <c r="C422" s="38">
        <v>0.0</v>
      </c>
      <c r="D422" s="38">
        <v>0.0</v>
      </c>
      <c r="E422" s="38"/>
      <c r="F422" s="38">
        <f t="shared" si="1"/>
        <v>0</v>
      </c>
      <c r="G422" s="38">
        <f>COUNTIFS(HH_FCSP!$G$18:$G$3617,$E422,HH_FCSP!$F$18:$F$3617,"catapult/crossbow")</f>
        <v>0</v>
      </c>
      <c r="H422" s="38">
        <f>COUNTIFS(HH_FCSP!$G$18:$G$3617,$E422,HH_FCSP!$F$18:$F$3617,"white")</f>
        <v>0</v>
      </c>
    </row>
    <row r="423">
      <c r="A423" s="38"/>
      <c r="B423" s="38">
        <v>0.0</v>
      </c>
      <c r="C423" s="38">
        <v>0.0</v>
      </c>
      <c r="D423" s="38">
        <v>0.0</v>
      </c>
      <c r="E423" s="38"/>
      <c r="F423" s="38">
        <f t="shared" si="1"/>
        <v>0</v>
      </c>
      <c r="G423" s="38">
        <f>COUNTIFS(HH_FCSP!$G$18:$G$3617,$E423,HH_FCSP!$F$18:$F$3617,"catapult/crossbow")</f>
        <v>0</v>
      </c>
      <c r="H423" s="38">
        <f>COUNTIFS(HH_FCSP!$G$18:$G$3617,$E423,HH_FCSP!$F$18:$F$3617,"white")</f>
        <v>0</v>
      </c>
    </row>
    <row r="424">
      <c r="A424" s="38"/>
      <c r="B424" s="38">
        <v>0.0</v>
      </c>
      <c r="C424" s="38">
        <v>0.0</v>
      </c>
      <c r="D424" s="38">
        <v>0.0</v>
      </c>
      <c r="E424" s="38"/>
      <c r="F424" s="38">
        <f t="shared" si="1"/>
        <v>0</v>
      </c>
      <c r="G424" s="38">
        <f>COUNTIFS(HH_FCSP!$G$18:$G$3617,$E424,HH_FCSP!$F$18:$F$3617,"catapult/crossbow")</f>
        <v>0</v>
      </c>
      <c r="H424" s="38">
        <f>COUNTIFS(HH_FCSP!$G$18:$G$3617,$E424,HH_FCSP!$F$18:$F$3617,"white")</f>
        <v>0</v>
      </c>
    </row>
    <row r="425">
      <c r="A425" s="38"/>
      <c r="B425" s="38">
        <v>0.0</v>
      </c>
      <c r="C425" s="38">
        <v>0.0</v>
      </c>
      <c r="D425" s="38">
        <v>0.0</v>
      </c>
      <c r="E425" s="38"/>
      <c r="F425" s="38">
        <f t="shared" si="1"/>
        <v>0</v>
      </c>
      <c r="G425" s="38">
        <f>COUNTIFS(HH_FCSP!$G$18:$G$3617,$E425,HH_FCSP!$F$18:$F$3617,"catapult/crossbow")</f>
        <v>0</v>
      </c>
      <c r="H425" s="38">
        <f>COUNTIFS(HH_FCSP!$G$18:$G$3617,$E425,HH_FCSP!$F$18:$F$3617,"white")</f>
        <v>0</v>
      </c>
    </row>
    <row r="426">
      <c r="A426" s="38"/>
      <c r="B426" s="38">
        <v>0.0</v>
      </c>
      <c r="C426" s="38">
        <v>0.0</v>
      </c>
      <c r="D426" s="38">
        <v>0.0</v>
      </c>
      <c r="E426" s="38"/>
      <c r="F426" s="38">
        <f t="shared" si="1"/>
        <v>0</v>
      </c>
      <c r="G426" s="38">
        <f>COUNTIFS(HH_FCSP!$G$18:$G$3617,$E426,HH_FCSP!$F$18:$F$3617,"catapult/crossbow")</f>
        <v>0</v>
      </c>
      <c r="H426" s="38">
        <f>COUNTIFS(HH_FCSP!$G$18:$G$3617,$E426,HH_FCSP!$F$18:$F$3617,"white")</f>
        <v>0</v>
      </c>
    </row>
    <row r="427">
      <c r="A427" s="38"/>
      <c r="B427" s="38">
        <v>0.0</v>
      </c>
      <c r="C427" s="38">
        <v>0.0</v>
      </c>
      <c r="D427" s="38">
        <v>0.0</v>
      </c>
      <c r="E427" s="38"/>
      <c r="F427" s="38">
        <f t="shared" si="1"/>
        <v>0</v>
      </c>
      <c r="G427" s="38">
        <f>COUNTIFS(HH_FCSP!$G$18:$G$3617,$E427,HH_FCSP!$F$18:$F$3617,"catapult/crossbow")</f>
        <v>0</v>
      </c>
      <c r="H427" s="38">
        <f>COUNTIFS(HH_FCSP!$G$18:$G$3617,$E427,HH_FCSP!$F$18:$F$3617,"white")</f>
        <v>0</v>
      </c>
    </row>
    <row r="428">
      <c r="A428" s="38"/>
      <c r="B428" s="38">
        <v>0.0</v>
      </c>
      <c r="C428" s="38">
        <v>0.0</v>
      </c>
      <c r="D428" s="38">
        <v>0.0</v>
      </c>
      <c r="E428" s="38"/>
      <c r="F428" s="38">
        <f t="shared" si="1"/>
        <v>0</v>
      </c>
      <c r="G428" s="38">
        <f>COUNTIFS(HH_FCSP!$G$18:$G$3617,$E428,HH_FCSP!$F$18:$F$3617,"catapult/crossbow")</f>
        <v>0</v>
      </c>
      <c r="H428" s="38">
        <f>COUNTIFS(HH_FCSP!$G$18:$G$3617,$E428,HH_FCSP!$F$18:$F$3617,"white")</f>
        <v>0</v>
      </c>
    </row>
    <row r="429">
      <c r="A429" s="38"/>
      <c r="B429" s="38">
        <v>0.0</v>
      </c>
      <c r="C429" s="38">
        <v>0.0</v>
      </c>
      <c r="D429" s="38">
        <v>0.0</v>
      </c>
      <c r="E429" s="38"/>
      <c r="F429" s="38">
        <f t="shared" si="1"/>
        <v>0</v>
      </c>
      <c r="G429" s="38">
        <f>COUNTIFS(HH_FCSP!$G$18:$G$3617,$E429,HH_FCSP!$F$18:$F$3617,"catapult/crossbow")</f>
        <v>0</v>
      </c>
      <c r="H429" s="38">
        <f>COUNTIFS(HH_FCSP!$G$18:$G$3617,$E429,HH_FCSP!$F$18:$F$3617,"white")</f>
        <v>0</v>
      </c>
    </row>
    <row r="430">
      <c r="A430" s="38"/>
      <c r="B430" s="38">
        <v>0.0</v>
      </c>
      <c r="C430" s="38">
        <v>0.0</v>
      </c>
      <c r="D430" s="38">
        <v>0.0</v>
      </c>
      <c r="E430" s="38"/>
      <c r="F430" s="38">
        <f t="shared" si="1"/>
        <v>0</v>
      </c>
      <c r="G430" s="38">
        <f>COUNTIFS(HH_FCSP!$G$18:$G$3617,$E430,HH_FCSP!$F$18:$F$3617,"catapult/crossbow")</f>
        <v>0</v>
      </c>
      <c r="H430" s="38">
        <f>COUNTIFS(HH_FCSP!$G$18:$G$3617,$E430,HH_FCSP!$F$18:$F$3617,"white")</f>
        <v>0</v>
      </c>
    </row>
    <row r="431">
      <c r="A431" s="38"/>
      <c r="B431" s="38">
        <v>0.0</v>
      </c>
      <c r="C431" s="38">
        <v>0.0</v>
      </c>
      <c r="D431" s="38">
        <v>0.0</v>
      </c>
      <c r="E431" s="38"/>
      <c r="F431" s="38">
        <f t="shared" si="1"/>
        <v>0</v>
      </c>
      <c r="G431" s="38">
        <f>COUNTIFS(HH_FCSP!$G$18:$G$3617,$E431,HH_FCSP!$F$18:$F$3617,"catapult/crossbow")</f>
        <v>0</v>
      </c>
      <c r="H431" s="38">
        <f>COUNTIFS(HH_FCSP!$G$18:$G$3617,$E431,HH_FCSP!$F$18:$F$3617,"white")</f>
        <v>0</v>
      </c>
    </row>
    <row r="432">
      <c r="A432" s="38"/>
      <c r="B432" s="38">
        <v>0.0</v>
      </c>
      <c r="C432" s="38">
        <v>0.0</v>
      </c>
      <c r="D432" s="38">
        <v>0.0</v>
      </c>
      <c r="E432" s="38"/>
      <c r="F432" s="38">
        <f t="shared" si="1"/>
        <v>0</v>
      </c>
      <c r="G432" s="38">
        <f>COUNTIFS(HH_FCSP!$G$18:$G$3617,$E432,HH_FCSP!$F$18:$F$3617,"catapult/crossbow")</f>
        <v>0</v>
      </c>
      <c r="H432" s="38">
        <f>COUNTIFS(HH_FCSP!$G$18:$G$3617,$E432,HH_FCSP!$F$18:$F$3617,"white")</f>
        <v>0</v>
      </c>
    </row>
    <row r="433">
      <c r="A433" s="38"/>
      <c r="B433" s="38">
        <v>0.0</v>
      </c>
      <c r="C433" s="38">
        <v>0.0</v>
      </c>
      <c r="D433" s="38">
        <v>0.0</v>
      </c>
      <c r="E433" s="38"/>
      <c r="F433" s="38">
        <f t="shared" si="1"/>
        <v>0</v>
      </c>
      <c r="G433" s="38">
        <f>COUNTIFS(HH_FCSP!$G$18:$G$3617,$E433,HH_FCSP!$F$18:$F$3617,"catapult/crossbow")</f>
        <v>0</v>
      </c>
      <c r="H433" s="38">
        <f>COUNTIFS(HH_FCSP!$G$18:$G$3617,$E433,HH_FCSP!$F$18:$F$3617,"white")</f>
        <v>0</v>
      </c>
    </row>
    <row r="434">
      <c r="A434" s="38"/>
      <c r="B434" s="38">
        <v>0.0</v>
      </c>
      <c r="C434" s="38">
        <v>0.0</v>
      </c>
      <c r="D434" s="38">
        <v>0.0</v>
      </c>
      <c r="E434" s="38"/>
      <c r="F434" s="38">
        <f t="shared" si="1"/>
        <v>0</v>
      </c>
      <c r="G434" s="38">
        <f>COUNTIFS(HH_FCSP!$G$18:$G$3617,$E434,HH_FCSP!$F$18:$F$3617,"catapult/crossbow")</f>
        <v>0</v>
      </c>
      <c r="H434" s="38">
        <f>COUNTIFS(HH_FCSP!$G$18:$G$3617,$E434,HH_FCSP!$F$18:$F$3617,"white")</f>
        <v>0</v>
      </c>
    </row>
    <row r="435">
      <c r="A435" s="38"/>
      <c r="B435" s="38">
        <v>0.0</v>
      </c>
      <c r="C435" s="38">
        <v>0.0</v>
      </c>
      <c r="D435" s="38">
        <v>0.0</v>
      </c>
      <c r="E435" s="38"/>
      <c r="F435" s="38">
        <f t="shared" si="1"/>
        <v>0</v>
      </c>
      <c r="G435" s="38">
        <f>COUNTIFS(HH_FCSP!$G$18:$G$3617,$E435,HH_FCSP!$F$18:$F$3617,"catapult/crossbow")</f>
        <v>0</v>
      </c>
      <c r="H435" s="38">
        <f>COUNTIFS(HH_FCSP!$G$18:$G$3617,$E435,HH_FCSP!$F$18:$F$3617,"white")</f>
        <v>0</v>
      </c>
    </row>
    <row r="436">
      <c r="A436" s="38"/>
      <c r="B436" s="38">
        <v>0.0</v>
      </c>
      <c r="C436" s="38">
        <v>0.0</v>
      </c>
      <c r="D436" s="38">
        <v>0.0</v>
      </c>
      <c r="E436" s="38"/>
      <c r="F436" s="38">
        <f t="shared" si="1"/>
        <v>0</v>
      </c>
      <c r="G436" s="38">
        <f>COUNTIFS(HH_FCSP!$G$18:$G$3617,$E436,HH_FCSP!$F$18:$F$3617,"catapult/crossbow")</f>
        <v>0</v>
      </c>
      <c r="H436" s="38">
        <f>COUNTIFS(HH_FCSP!$G$18:$G$3617,$E436,HH_FCSP!$F$18:$F$3617,"white")</f>
        <v>0</v>
      </c>
    </row>
    <row r="437">
      <c r="A437" s="38"/>
      <c r="B437" s="38">
        <v>0.0</v>
      </c>
      <c r="C437" s="38">
        <v>0.0</v>
      </c>
      <c r="D437" s="38">
        <v>0.0</v>
      </c>
      <c r="E437" s="38"/>
      <c r="F437" s="38">
        <f t="shared" si="1"/>
        <v>0</v>
      </c>
      <c r="G437" s="38">
        <f>COUNTIFS(HH_FCSP!$G$18:$G$3617,$E437,HH_FCSP!$F$18:$F$3617,"catapult/crossbow")</f>
        <v>0</v>
      </c>
      <c r="H437" s="38">
        <f>COUNTIFS(HH_FCSP!$G$18:$G$3617,$E437,HH_FCSP!$F$18:$F$3617,"white")</f>
        <v>0</v>
      </c>
    </row>
    <row r="438">
      <c r="A438" s="38"/>
      <c r="B438" s="38">
        <v>0.0</v>
      </c>
      <c r="C438" s="38">
        <v>0.0</v>
      </c>
      <c r="D438" s="38">
        <v>0.0</v>
      </c>
      <c r="E438" s="38"/>
      <c r="F438" s="38">
        <f t="shared" si="1"/>
        <v>0</v>
      </c>
      <c r="G438" s="38">
        <f>COUNTIFS(HH_FCSP!$G$18:$G$3617,$E438,HH_FCSP!$F$18:$F$3617,"catapult/crossbow")</f>
        <v>0</v>
      </c>
      <c r="H438" s="38">
        <f>COUNTIFS(HH_FCSP!$G$18:$G$3617,$E438,HH_FCSP!$F$18:$F$3617,"white")</f>
        <v>0</v>
      </c>
    </row>
    <row r="439">
      <c r="A439" s="38"/>
      <c r="B439" s="38">
        <v>0.0</v>
      </c>
      <c r="C439" s="38">
        <v>0.0</v>
      </c>
      <c r="D439" s="38">
        <v>0.0</v>
      </c>
      <c r="E439" s="38"/>
      <c r="F439" s="38">
        <f t="shared" si="1"/>
        <v>0</v>
      </c>
      <c r="G439" s="38">
        <f>COUNTIFS(HH_FCSP!$G$18:$G$3617,$E439,HH_FCSP!$F$18:$F$3617,"catapult/crossbow")</f>
        <v>0</v>
      </c>
      <c r="H439" s="38">
        <f>COUNTIFS(HH_FCSP!$G$18:$G$3617,$E439,HH_FCSP!$F$18:$F$3617,"white")</f>
        <v>0</v>
      </c>
    </row>
    <row r="440">
      <c r="A440" s="38"/>
      <c r="B440" s="38">
        <v>0.0</v>
      </c>
      <c r="C440" s="38">
        <v>0.0</v>
      </c>
      <c r="D440" s="38">
        <v>0.0</v>
      </c>
      <c r="E440" s="38"/>
      <c r="F440" s="38">
        <f t="shared" si="1"/>
        <v>0</v>
      </c>
      <c r="G440" s="38">
        <f>COUNTIFS(HH_FCSP!$G$18:$G$3617,$E440,HH_FCSP!$F$18:$F$3617,"catapult/crossbow")</f>
        <v>0</v>
      </c>
      <c r="H440" s="38">
        <f>COUNTIFS(HH_FCSP!$G$18:$G$3617,$E440,HH_FCSP!$F$18:$F$3617,"white")</f>
        <v>0</v>
      </c>
    </row>
    <row r="441">
      <c r="A441" s="38"/>
      <c r="B441" s="38">
        <v>0.0</v>
      </c>
      <c r="C441" s="38">
        <v>0.0</v>
      </c>
      <c r="D441" s="38">
        <v>0.0</v>
      </c>
      <c r="E441" s="38"/>
      <c r="F441" s="38">
        <f t="shared" si="1"/>
        <v>0</v>
      </c>
      <c r="G441" s="38">
        <f>COUNTIFS(HH_FCSP!$G$18:$G$3617,$E441,HH_FCSP!$F$18:$F$3617,"catapult/crossbow")</f>
        <v>0</v>
      </c>
      <c r="H441" s="38">
        <f>COUNTIFS(HH_FCSP!$G$18:$G$3617,$E441,HH_FCSP!$F$18:$F$3617,"white")</f>
        <v>0</v>
      </c>
    </row>
    <row r="442">
      <c r="A442" s="38"/>
      <c r="B442" s="38">
        <v>0.0</v>
      </c>
      <c r="C442" s="38">
        <v>0.0</v>
      </c>
      <c r="D442" s="38">
        <v>0.0</v>
      </c>
      <c r="E442" s="38"/>
      <c r="F442" s="38">
        <f t="shared" si="1"/>
        <v>0</v>
      </c>
      <c r="G442" s="38">
        <f>COUNTIFS(HH_FCSP!$G$18:$G$3617,$E442,HH_FCSP!$F$18:$F$3617,"catapult/crossbow")</f>
        <v>0</v>
      </c>
      <c r="H442" s="38">
        <f>COUNTIFS(HH_FCSP!$G$18:$G$3617,$E442,HH_FCSP!$F$18:$F$3617,"white")</f>
        <v>0</v>
      </c>
    </row>
    <row r="443">
      <c r="A443" s="38"/>
      <c r="B443" s="38">
        <v>0.0</v>
      </c>
      <c r="C443" s="38">
        <v>0.0</v>
      </c>
      <c r="D443" s="38">
        <v>0.0</v>
      </c>
      <c r="E443" s="38"/>
      <c r="F443" s="38">
        <f t="shared" si="1"/>
        <v>0</v>
      </c>
      <c r="G443" s="38">
        <f>COUNTIFS(HH_FCSP!$G$18:$G$3617,$E443,HH_FCSP!$F$18:$F$3617,"catapult/crossbow")</f>
        <v>0</v>
      </c>
      <c r="H443" s="38">
        <f>COUNTIFS(HH_FCSP!$G$18:$G$3617,$E443,HH_FCSP!$F$18:$F$3617,"white")</f>
        <v>0</v>
      </c>
    </row>
    <row r="444">
      <c r="A444" s="38"/>
      <c r="B444" s="38">
        <v>0.0</v>
      </c>
      <c r="C444" s="38">
        <v>0.0</v>
      </c>
      <c r="D444" s="38">
        <v>0.0</v>
      </c>
      <c r="E444" s="38"/>
      <c r="F444" s="38">
        <f t="shared" si="1"/>
        <v>0</v>
      </c>
      <c r="G444" s="38">
        <f>COUNTIFS(HH_FCSP!$G$18:$G$3617,$E444,HH_FCSP!$F$18:$F$3617,"catapult/crossbow")</f>
        <v>0</v>
      </c>
      <c r="H444" s="38">
        <f>COUNTIFS(HH_FCSP!$G$18:$G$3617,$E444,HH_FCSP!$F$18:$F$3617,"white")</f>
        <v>0</v>
      </c>
    </row>
    <row r="445">
      <c r="A445" s="38"/>
      <c r="B445" s="38">
        <v>0.0</v>
      </c>
      <c r="C445" s="38">
        <v>0.0</v>
      </c>
      <c r="D445" s="38">
        <v>0.0</v>
      </c>
      <c r="E445" s="38"/>
      <c r="F445" s="38">
        <f t="shared" si="1"/>
        <v>0</v>
      </c>
      <c r="G445" s="38">
        <f>COUNTIFS(HH_FCSP!$G$18:$G$3617,$E445,HH_FCSP!$F$18:$F$3617,"catapult/crossbow")</f>
        <v>0</v>
      </c>
      <c r="H445" s="38">
        <f>COUNTIFS(HH_FCSP!$G$18:$G$3617,$E445,HH_FCSP!$F$18:$F$3617,"white")</f>
        <v>0</v>
      </c>
    </row>
    <row r="446">
      <c r="A446" s="38"/>
      <c r="B446" s="38">
        <v>0.0</v>
      </c>
      <c r="C446" s="38">
        <v>0.0</v>
      </c>
      <c r="D446" s="38">
        <v>0.0</v>
      </c>
      <c r="E446" s="38"/>
      <c r="F446" s="38">
        <f t="shared" si="1"/>
        <v>0</v>
      </c>
      <c r="G446" s="38">
        <f>COUNTIFS(HH_FCSP!$G$18:$G$3617,$E446,HH_FCSP!$F$18:$F$3617,"catapult/crossbow")</f>
        <v>0</v>
      </c>
      <c r="H446" s="38">
        <f>COUNTIFS(HH_FCSP!$G$18:$G$3617,$E446,HH_FCSP!$F$18:$F$3617,"white")</f>
        <v>0</v>
      </c>
    </row>
    <row r="447">
      <c r="A447" s="38"/>
      <c r="B447" s="38">
        <v>0.0</v>
      </c>
      <c r="C447" s="38">
        <v>0.0</v>
      </c>
      <c r="D447" s="38">
        <v>0.0</v>
      </c>
      <c r="E447" s="38"/>
      <c r="F447" s="38">
        <f t="shared" si="1"/>
        <v>0</v>
      </c>
      <c r="G447" s="38">
        <f>COUNTIFS(HH_FCSP!$G$18:$G$3617,$E447,HH_FCSP!$F$18:$F$3617,"catapult/crossbow")</f>
        <v>0</v>
      </c>
      <c r="H447" s="38">
        <f>COUNTIFS(HH_FCSP!$G$18:$G$3617,$E447,HH_FCSP!$F$18:$F$3617,"white")</f>
        <v>0</v>
      </c>
    </row>
    <row r="448">
      <c r="A448" s="38"/>
      <c r="B448" s="38">
        <v>0.0</v>
      </c>
      <c r="C448" s="38">
        <v>0.0</v>
      </c>
      <c r="D448" s="38">
        <v>0.0</v>
      </c>
      <c r="E448" s="38"/>
      <c r="F448" s="38">
        <f t="shared" si="1"/>
        <v>0</v>
      </c>
      <c r="G448" s="38">
        <f>COUNTIFS(HH_FCSP!$G$18:$G$3617,$E448,HH_FCSP!$F$18:$F$3617,"catapult/crossbow")</f>
        <v>0</v>
      </c>
      <c r="H448" s="38">
        <f>COUNTIFS(HH_FCSP!$G$18:$G$3617,$E448,HH_FCSP!$F$18:$F$3617,"white")</f>
        <v>0</v>
      </c>
    </row>
    <row r="449">
      <c r="A449" s="38"/>
      <c r="B449" s="38">
        <v>0.0</v>
      </c>
      <c r="C449" s="38">
        <v>0.0</v>
      </c>
      <c r="D449" s="38">
        <v>0.0</v>
      </c>
      <c r="E449" s="38"/>
      <c r="F449" s="38">
        <f t="shared" si="1"/>
        <v>0</v>
      </c>
      <c r="G449" s="38">
        <f>COUNTIFS(HH_FCSP!$G$18:$G$3617,$E449,HH_FCSP!$F$18:$F$3617,"catapult/crossbow")</f>
        <v>0</v>
      </c>
      <c r="H449" s="38">
        <f>COUNTIFS(HH_FCSP!$G$18:$G$3617,$E449,HH_FCSP!$F$18:$F$3617,"white")</f>
        <v>0</v>
      </c>
    </row>
    <row r="450">
      <c r="A450" s="38"/>
      <c r="B450" s="38">
        <v>0.0</v>
      </c>
      <c r="C450" s="38">
        <v>0.0</v>
      </c>
      <c r="D450" s="38">
        <v>0.0</v>
      </c>
      <c r="E450" s="38"/>
      <c r="F450" s="38">
        <f t="shared" si="1"/>
        <v>0</v>
      </c>
      <c r="G450" s="38">
        <f>COUNTIFS(HH_FCSP!$G$18:$G$3617,$E450,HH_FCSP!$F$18:$F$3617,"catapult/crossbow")</f>
        <v>0</v>
      </c>
      <c r="H450" s="38">
        <f>COUNTIFS(HH_FCSP!$G$18:$G$3617,$E450,HH_FCSP!$F$18:$F$3617,"white")</f>
        <v>0</v>
      </c>
    </row>
    <row r="451">
      <c r="A451" s="38"/>
      <c r="B451" s="38">
        <v>0.0</v>
      </c>
      <c r="C451" s="38">
        <v>0.0</v>
      </c>
      <c r="D451" s="38">
        <v>0.0</v>
      </c>
      <c r="E451" s="38"/>
      <c r="F451" s="38">
        <f t="shared" si="1"/>
        <v>0</v>
      </c>
      <c r="G451" s="38">
        <f>COUNTIFS(HH_FCSP!$G$18:$G$3617,$E451,HH_FCSP!$F$18:$F$3617,"catapult/crossbow")</f>
        <v>0</v>
      </c>
      <c r="H451" s="38">
        <f>COUNTIFS(HH_FCSP!$G$18:$G$3617,$E451,HH_FCSP!$F$18:$F$3617,"white")</f>
        <v>0</v>
      </c>
    </row>
    <row r="452">
      <c r="A452" s="38"/>
      <c r="B452" s="38">
        <v>0.0</v>
      </c>
      <c r="C452" s="38">
        <v>0.0</v>
      </c>
      <c r="D452" s="38">
        <v>0.0</v>
      </c>
      <c r="E452" s="38"/>
      <c r="F452" s="38">
        <f t="shared" si="1"/>
        <v>0</v>
      </c>
      <c r="G452" s="38">
        <f>COUNTIFS(HH_FCSP!$G$18:$G$3617,$E452,HH_FCSP!$F$18:$F$3617,"catapult/crossbow")</f>
        <v>0</v>
      </c>
      <c r="H452" s="38">
        <f>COUNTIFS(HH_FCSP!$G$18:$G$3617,$E452,HH_FCSP!$F$18:$F$3617,"white")</f>
        <v>0</v>
      </c>
    </row>
    <row r="453">
      <c r="A453" s="38"/>
      <c r="B453" s="38">
        <v>0.0</v>
      </c>
      <c r="C453" s="38">
        <v>0.0</v>
      </c>
      <c r="D453" s="38">
        <v>0.0</v>
      </c>
      <c r="E453" s="38"/>
      <c r="F453" s="38">
        <f t="shared" si="1"/>
        <v>0</v>
      </c>
      <c r="G453" s="38">
        <f>COUNTIFS(HH_FCSP!$G$18:$G$3617,$E453,HH_FCSP!$F$18:$F$3617,"catapult/crossbow")</f>
        <v>0</v>
      </c>
      <c r="H453" s="38">
        <f>COUNTIFS(HH_FCSP!$G$18:$G$3617,$E453,HH_FCSP!$F$18:$F$3617,"white")</f>
        <v>0</v>
      </c>
    </row>
    <row r="454">
      <c r="A454" s="38"/>
      <c r="B454" s="38">
        <v>0.0</v>
      </c>
      <c r="C454" s="38">
        <v>0.0</v>
      </c>
      <c r="D454" s="38">
        <v>0.0</v>
      </c>
      <c r="E454" s="38"/>
      <c r="F454" s="38">
        <f t="shared" si="1"/>
        <v>0</v>
      </c>
      <c r="G454" s="38">
        <f>COUNTIFS(HH_FCSP!$G$18:$G$3617,$E454,HH_FCSP!$F$18:$F$3617,"catapult/crossbow")</f>
        <v>0</v>
      </c>
      <c r="H454" s="38">
        <f>COUNTIFS(HH_FCSP!$G$18:$G$3617,$E454,HH_FCSP!$F$18:$F$3617,"white")</f>
        <v>0</v>
      </c>
    </row>
    <row r="455">
      <c r="A455" s="38"/>
      <c r="B455" s="38">
        <v>0.0</v>
      </c>
      <c r="C455" s="38">
        <v>0.0</v>
      </c>
      <c r="D455" s="38">
        <v>0.0</v>
      </c>
      <c r="E455" s="38"/>
      <c r="F455" s="38">
        <f t="shared" si="1"/>
        <v>0</v>
      </c>
      <c r="G455" s="38">
        <f>COUNTIFS(HH_FCSP!$G$18:$G$3617,$E455,HH_FCSP!$F$18:$F$3617,"catapult/crossbow")</f>
        <v>0</v>
      </c>
      <c r="H455" s="38">
        <f>COUNTIFS(HH_FCSP!$G$18:$G$3617,$E455,HH_FCSP!$F$18:$F$3617,"white")</f>
        <v>0</v>
      </c>
    </row>
    <row r="456">
      <c r="A456" s="38"/>
      <c r="B456" s="38">
        <v>0.0</v>
      </c>
      <c r="C456" s="38">
        <v>0.0</v>
      </c>
      <c r="D456" s="38">
        <v>0.0</v>
      </c>
      <c r="E456" s="38"/>
      <c r="F456" s="38">
        <f t="shared" si="1"/>
        <v>0</v>
      </c>
      <c r="G456" s="38">
        <f>COUNTIFS(HH_FCSP!$G$18:$G$3617,$E456,HH_FCSP!$F$18:$F$3617,"catapult/crossbow")</f>
        <v>0</v>
      </c>
      <c r="H456" s="38">
        <f>COUNTIFS(HH_FCSP!$G$18:$G$3617,$E456,HH_FCSP!$F$18:$F$3617,"white")</f>
        <v>0</v>
      </c>
    </row>
    <row r="457">
      <c r="A457" s="38"/>
      <c r="B457" s="38">
        <v>0.0</v>
      </c>
      <c r="C457" s="38">
        <v>0.0</v>
      </c>
      <c r="D457" s="38">
        <v>0.0</v>
      </c>
      <c r="E457" s="38"/>
      <c r="F457" s="38">
        <f t="shared" si="1"/>
        <v>0</v>
      </c>
      <c r="G457" s="38">
        <f>COUNTIFS(HH_FCSP!$G$18:$G$3617,$E457,HH_FCSP!$F$18:$F$3617,"catapult/crossbow")</f>
        <v>0</v>
      </c>
      <c r="H457" s="38">
        <f>COUNTIFS(HH_FCSP!$G$18:$G$3617,$E457,HH_FCSP!$F$18:$F$3617,"white")</f>
        <v>0</v>
      </c>
    </row>
    <row r="458">
      <c r="A458" s="38"/>
      <c r="B458" s="38">
        <v>0.0</v>
      </c>
      <c r="C458" s="38">
        <v>0.0</v>
      </c>
      <c r="D458" s="38">
        <v>0.0</v>
      </c>
      <c r="E458" s="38"/>
      <c r="F458" s="38">
        <f t="shared" si="1"/>
        <v>0</v>
      </c>
      <c r="G458" s="38">
        <f>COUNTIFS(HH_FCSP!$G$18:$G$3617,$E458,HH_FCSP!$F$18:$F$3617,"catapult/crossbow")</f>
        <v>0</v>
      </c>
      <c r="H458" s="38">
        <f>COUNTIFS(HH_FCSP!$G$18:$G$3617,$E458,HH_FCSP!$F$18:$F$3617,"white")</f>
        <v>0</v>
      </c>
    </row>
    <row r="459">
      <c r="A459" s="38"/>
      <c r="B459" s="38">
        <v>0.0</v>
      </c>
      <c r="C459" s="38">
        <v>0.0</v>
      </c>
      <c r="D459" s="38">
        <v>0.0</v>
      </c>
      <c r="E459" s="38"/>
      <c r="F459" s="38">
        <f t="shared" si="1"/>
        <v>0</v>
      </c>
      <c r="G459" s="38">
        <f>COUNTIFS(HH_FCSP!$G$18:$G$3617,$E459,HH_FCSP!$F$18:$F$3617,"catapult/crossbow")</f>
        <v>0</v>
      </c>
      <c r="H459" s="38">
        <f>COUNTIFS(HH_FCSP!$G$18:$G$3617,$E459,HH_FCSP!$F$18:$F$3617,"white")</f>
        <v>0</v>
      </c>
    </row>
    <row r="460">
      <c r="A460" s="38"/>
      <c r="B460" s="38">
        <v>0.0</v>
      </c>
      <c r="C460" s="38">
        <v>0.0</v>
      </c>
      <c r="D460" s="38">
        <v>0.0</v>
      </c>
      <c r="E460" s="38"/>
      <c r="F460" s="38">
        <f t="shared" si="1"/>
        <v>0</v>
      </c>
      <c r="G460" s="38">
        <f>COUNTIFS(HH_FCSP!$G$18:$G$3617,$E460,HH_FCSP!$F$18:$F$3617,"catapult/crossbow")</f>
        <v>0</v>
      </c>
      <c r="H460" s="38">
        <f>COUNTIFS(HH_FCSP!$G$18:$G$3617,$E460,HH_FCSP!$F$18:$F$3617,"white")</f>
        <v>0</v>
      </c>
    </row>
    <row r="461">
      <c r="A461" s="38"/>
      <c r="B461" s="38">
        <v>0.0</v>
      </c>
      <c r="C461" s="38">
        <v>0.0</v>
      </c>
      <c r="D461" s="38">
        <v>0.0</v>
      </c>
      <c r="E461" s="38"/>
      <c r="F461" s="38">
        <f t="shared" si="1"/>
        <v>0</v>
      </c>
      <c r="G461" s="38">
        <f>COUNTIFS(HH_FCSP!$G$18:$G$3617,$E461,HH_FCSP!$F$18:$F$3617,"catapult/crossbow")</f>
        <v>0</v>
      </c>
      <c r="H461" s="38">
        <f>COUNTIFS(HH_FCSP!$G$18:$G$3617,$E461,HH_FCSP!$F$18:$F$3617,"white")</f>
        <v>0</v>
      </c>
    </row>
    <row r="462">
      <c r="A462" s="38"/>
      <c r="B462" s="38">
        <v>0.0</v>
      </c>
      <c r="C462" s="38">
        <v>0.0</v>
      </c>
      <c r="D462" s="38">
        <v>0.0</v>
      </c>
      <c r="E462" s="38"/>
      <c r="F462" s="38">
        <f t="shared" si="1"/>
        <v>0</v>
      </c>
      <c r="G462" s="38">
        <f>COUNTIFS(HH_FCSP!$G$18:$G$3617,$E462,HH_FCSP!$F$18:$F$3617,"catapult/crossbow")</f>
        <v>0</v>
      </c>
      <c r="H462" s="38">
        <f>COUNTIFS(HH_FCSP!$G$18:$G$3617,$E462,HH_FCSP!$F$18:$F$3617,"white")</f>
        <v>0</v>
      </c>
    </row>
    <row r="463">
      <c r="A463" s="38"/>
      <c r="B463" s="38">
        <v>0.0</v>
      </c>
      <c r="C463" s="38">
        <v>0.0</v>
      </c>
      <c r="D463" s="38">
        <v>0.0</v>
      </c>
      <c r="E463" s="38"/>
      <c r="F463" s="38">
        <f t="shared" si="1"/>
        <v>0</v>
      </c>
      <c r="G463" s="38">
        <f>COUNTIFS(HH_FCSP!$G$18:$G$3617,$E463,HH_FCSP!$F$18:$F$3617,"catapult/crossbow")</f>
        <v>0</v>
      </c>
      <c r="H463" s="38">
        <f>COUNTIFS(HH_FCSP!$G$18:$G$3617,$E463,HH_FCSP!$F$18:$F$3617,"white")</f>
        <v>0</v>
      </c>
    </row>
    <row r="464">
      <c r="A464" s="38"/>
      <c r="B464" s="38">
        <v>0.0</v>
      </c>
      <c r="C464" s="38">
        <v>0.0</v>
      </c>
      <c r="D464" s="38">
        <v>0.0</v>
      </c>
      <c r="E464" s="38"/>
      <c r="F464" s="38">
        <f t="shared" si="1"/>
        <v>0</v>
      </c>
      <c r="G464" s="38">
        <f>COUNTIFS(HH_FCSP!$G$18:$G$3617,$E464,HH_FCSP!$F$18:$F$3617,"catapult/crossbow")</f>
        <v>0</v>
      </c>
      <c r="H464" s="38">
        <f>COUNTIFS(HH_FCSP!$G$18:$G$3617,$E464,HH_FCSP!$F$18:$F$3617,"white")</f>
        <v>0</v>
      </c>
    </row>
    <row r="465">
      <c r="A465" s="38"/>
      <c r="B465" s="38">
        <v>0.0</v>
      </c>
      <c r="C465" s="38">
        <v>0.0</v>
      </c>
      <c r="D465" s="38">
        <v>0.0</v>
      </c>
      <c r="E465" s="38"/>
      <c r="F465" s="38">
        <f t="shared" si="1"/>
        <v>0</v>
      </c>
      <c r="G465" s="38">
        <f>COUNTIFS(HH_FCSP!$G$18:$G$3617,$E465,HH_FCSP!$F$18:$F$3617,"catapult/crossbow")</f>
        <v>0</v>
      </c>
      <c r="H465" s="38">
        <f>COUNTIFS(HH_FCSP!$G$18:$G$3617,$E465,HH_FCSP!$F$18:$F$3617,"white")</f>
        <v>0</v>
      </c>
    </row>
    <row r="466">
      <c r="A466" s="38"/>
      <c r="B466" s="38">
        <v>0.0</v>
      </c>
      <c r="C466" s="38">
        <v>0.0</v>
      </c>
      <c r="D466" s="38">
        <v>0.0</v>
      </c>
      <c r="E466" s="38"/>
      <c r="F466" s="38">
        <f t="shared" si="1"/>
        <v>0</v>
      </c>
      <c r="G466" s="38">
        <f>COUNTIFS(HH_FCSP!$G$18:$G$3617,$E466,HH_FCSP!$F$18:$F$3617,"catapult/crossbow")</f>
        <v>0</v>
      </c>
      <c r="H466" s="38">
        <f>COUNTIFS(HH_FCSP!$G$18:$G$3617,$E466,HH_FCSP!$F$18:$F$3617,"white")</f>
        <v>0</v>
      </c>
    </row>
    <row r="467">
      <c r="A467" s="38"/>
      <c r="B467" s="38">
        <v>0.0</v>
      </c>
      <c r="C467" s="38">
        <v>0.0</v>
      </c>
      <c r="D467" s="38">
        <v>0.0</v>
      </c>
      <c r="E467" s="38"/>
      <c r="F467" s="38">
        <f t="shared" si="1"/>
        <v>0</v>
      </c>
      <c r="G467" s="38">
        <f>COUNTIFS(HH_FCSP!$G$18:$G$3617,$E467,HH_FCSP!$F$18:$F$3617,"catapult/crossbow")</f>
        <v>0</v>
      </c>
      <c r="H467" s="38">
        <f>COUNTIFS(HH_FCSP!$G$18:$G$3617,$E467,HH_FCSP!$F$18:$F$3617,"white")</f>
        <v>0</v>
      </c>
    </row>
    <row r="468">
      <c r="A468" s="38"/>
      <c r="B468" s="38">
        <v>0.0</v>
      </c>
      <c r="C468" s="38">
        <v>0.0</v>
      </c>
      <c r="D468" s="38">
        <v>0.0</v>
      </c>
      <c r="E468" s="38"/>
      <c r="F468" s="38">
        <f t="shared" si="1"/>
        <v>0</v>
      </c>
      <c r="G468" s="38">
        <f>COUNTIFS(HH_FCSP!$G$18:$G$3617,$E468,HH_FCSP!$F$18:$F$3617,"catapult/crossbow")</f>
        <v>0</v>
      </c>
      <c r="H468" s="38">
        <f>COUNTIFS(HH_FCSP!$G$18:$G$3617,$E468,HH_FCSP!$F$18:$F$3617,"white")</f>
        <v>0</v>
      </c>
    </row>
    <row r="469">
      <c r="A469" s="38"/>
      <c r="B469" s="38">
        <v>0.0</v>
      </c>
      <c r="C469" s="38">
        <v>0.0</v>
      </c>
      <c r="D469" s="38">
        <v>0.0</v>
      </c>
      <c r="E469" s="38"/>
      <c r="F469" s="38">
        <f t="shared" si="1"/>
        <v>0</v>
      </c>
      <c r="G469" s="38">
        <f>COUNTIFS(HH_FCSP!$G$18:$G$3617,$E469,HH_FCSP!$F$18:$F$3617,"catapult/crossbow")</f>
        <v>0</v>
      </c>
      <c r="H469" s="38">
        <f>COUNTIFS(HH_FCSP!$G$18:$G$3617,$E469,HH_FCSP!$F$18:$F$3617,"white")</f>
        <v>0</v>
      </c>
    </row>
    <row r="470">
      <c r="A470" s="38"/>
      <c r="B470" s="38">
        <v>0.0</v>
      </c>
      <c r="C470" s="38">
        <v>0.0</v>
      </c>
      <c r="D470" s="38">
        <v>0.0</v>
      </c>
      <c r="E470" s="38"/>
      <c r="F470" s="38">
        <f t="shared" si="1"/>
        <v>0</v>
      </c>
      <c r="G470" s="38">
        <f>COUNTIFS(HH_FCSP!$G$18:$G$3617,$E470,HH_FCSP!$F$18:$F$3617,"catapult/crossbow")</f>
        <v>0</v>
      </c>
      <c r="H470" s="38">
        <f>COUNTIFS(HH_FCSP!$G$18:$G$3617,$E470,HH_FCSP!$F$18:$F$3617,"white")</f>
        <v>0</v>
      </c>
    </row>
    <row r="471">
      <c r="A471" s="38"/>
      <c r="B471" s="38">
        <v>0.0</v>
      </c>
      <c r="C471" s="38">
        <v>0.0</v>
      </c>
      <c r="D471" s="38">
        <v>0.0</v>
      </c>
      <c r="E471" s="38"/>
      <c r="F471" s="38">
        <f t="shared" si="1"/>
        <v>0</v>
      </c>
      <c r="G471" s="38">
        <f>COUNTIFS(HH_FCSP!$G$18:$G$3617,$E471,HH_FCSP!$F$18:$F$3617,"catapult/crossbow")</f>
        <v>0</v>
      </c>
      <c r="H471" s="38">
        <f>COUNTIFS(HH_FCSP!$G$18:$G$3617,$E471,HH_FCSP!$F$18:$F$3617,"white")</f>
        <v>0</v>
      </c>
    </row>
    <row r="472">
      <c r="A472" s="38"/>
      <c r="B472" s="38">
        <v>0.0</v>
      </c>
      <c r="C472" s="38">
        <v>0.0</v>
      </c>
      <c r="D472" s="38">
        <v>0.0</v>
      </c>
      <c r="E472" s="38"/>
      <c r="F472" s="38">
        <f t="shared" si="1"/>
        <v>0</v>
      </c>
      <c r="G472" s="38">
        <f>COUNTIFS(HH_FCSP!$G$18:$G$3617,$E472,HH_FCSP!$F$18:$F$3617,"catapult/crossbow")</f>
        <v>0</v>
      </c>
      <c r="H472" s="38">
        <f>COUNTIFS(HH_FCSP!$G$18:$G$3617,$E472,HH_FCSP!$F$18:$F$3617,"white")</f>
        <v>0</v>
      </c>
    </row>
    <row r="473">
      <c r="A473" s="38"/>
      <c r="B473" s="38">
        <v>0.0</v>
      </c>
      <c r="C473" s="38">
        <v>0.0</v>
      </c>
      <c r="D473" s="38">
        <v>0.0</v>
      </c>
      <c r="E473" s="38"/>
      <c r="F473" s="38">
        <f t="shared" si="1"/>
        <v>0</v>
      </c>
      <c r="G473" s="38">
        <f>COUNTIFS(HH_FCSP!$G$18:$G$3617,$E473,HH_FCSP!$F$18:$F$3617,"catapult/crossbow")</f>
        <v>0</v>
      </c>
      <c r="H473" s="38">
        <f>COUNTIFS(HH_FCSP!$G$18:$G$3617,$E473,HH_FCSP!$F$18:$F$3617,"white")</f>
        <v>0</v>
      </c>
    </row>
    <row r="474">
      <c r="A474" s="38"/>
      <c r="B474" s="38">
        <v>0.0</v>
      </c>
      <c r="C474" s="38">
        <v>0.0</v>
      </c>
      <c r="D474" s="38">
        <v>0.0</v>
      </c>
      <c r="E474" s="38"/>
      <c r="F474" s="38">
        <f t="shared" si="1"/>
        <v>0</v>
      </c>
      <c r="G474" s="38">
        <f>COUNTIFS(HH_FCSP!$G$18:$G$3617,$E474,HH_FCSP!$F$18:$F$3617,"catapult/crossbow")</f>
        <v>0</v>
      </c>
      <c r="H474" s="38">
        <f>COUNTIFS(HH_FCSP!$G$18:$G$3617,$E474,HH_FCSP!$F$18:$F$3617,"white")</f>
        <v>0</v>
      </c>
    </row>
    <row r="475">
      <c r="A475" s="38"/>
      <c r="B475" s="38">
        <v>0.0</v>
      </c>
      <c r="C475" s="38">
        <v>0.0</v>
      </c>
      <c r="D475" s="38">
        <v>0.0</v>
      </c>
      <c r="E475" s="38"/>
      <c r="F475" s="38">
        <f t="shared" si="1"/>
        <v>0</v>
      </c>
      <c r="G475" s="38">
        <f>COUNTIFS(HH_FCSP!$G$18:$G$3617,$E475,HH_FCSP!$F$18:$F$3617,"catapult/crossbow")</f>
        <v>0</v>
      </c>
      <c r="H475" s="38">
        <f>COUNTIFS(HH_FCSP!$G$18:$G$3617,$E475,HH_FCSP!$F$18:$F$3617,"white")</f>
        <v>0</v>
      </c>
    </row>
    <row r="476">
      <c r="A476" s="38"/>
      <c r="B476" s="38">
        <v>0.0</v>
      </c>
      <c r="C476" s="38">
        <v>0.0</v>
      </c>
      <c r="D476" s="38">
        <v>0.0</v>
      </c>
      <c r="E476" s="38"/>
      <c r="F476" s="38">
        <f t="shared" si="1"/>
        <v>0</v>
      </c>
      <c r="G476" s="38">
        <f>COUNTIFS(HH_FCSP!$G$18:$G$3617,$E476,HH_FCSP!$F$18:$F$3617,"catapult/crossbow")</f>
        <v>0</v>
      </c>
      <c r="H476" s="38">
        <f>COUNTIFS(HH_FCSP!$G$18:$G$3617,$E476,HH_FCSP!$F$18:$F$3617,"white")</f>
        <v>0</v>
      </c>
    </row>
    <row r="477">
      <c r="A477" s="38"/>
      <c r="B477" s="38">
        <v>0.0</v>
      </c>
      <c r="C477" s="38">
        <v>0.0</v>
      </c>
      <c r="D477" s="38">
        <v>0.0</v>
      </c>
      <c r="E477" s="38"/>
      <c r="F477" s="38">
        <f t="shared" si="1"/>
        <v>0</v>
      </c>
      <c r="G477" s="38">
        <f>COUNTIFS(HH_FCSP!$G$18:$G$3617,$E477,HH_FCSP!$F$18:$F$3617,"catapult/crossbow")</f>
        <v>0</v>
      </c>
      <c r="H477" s="38">
        <f>COUNTIFS(HH_FCSP!$G$18:$G$3617,$E477,HH_FCSP!$F$18:$F$3617,"white")</f>
        <v>0</v>
      </c>
    </row>
    <row r="478">
      <c r="A478" s="38"/>
      <c r="B478" s="38">
        <v>0.0</v>
      </c>
      <c r="C478" s="38">
        <v>0.0</v>
      </c>
      <c r="D478" s="38">
        <v>0.0</v>
      </c>
      <c r="E478" s="38"/>
      <c r="F478" s="38">
        <f t="shared" si="1"/>
        <v>0</v>
      </c>
      <c r="G478" s="38">
        <f>COUNTIFS(HH_FCSP!$G$18:$G$3617,$E478,HH_FCSP!$F$18:$F$3617,"catapult/crossbow")</f>
        <v>0</v>
      </c>
      <c r="H478" s="38">
        <f>COUNTIFS(HH_FCSP!$G$18:$G$3617,$E478,HH_FCSP!$F$18:$F$3617,"white")</f>
        <v>0</v>
      </c>
    </row>
    <row r="479">
      <c r="A479" s="38"/>
      <c r="B479" s="38">
        <v>0.0</v>
      </c>
      <c r="C479" s="38">
        <v>0.0</v>
      </c>
      <c r="D479" s="38">
        <v>0.0</v>
      </c>
      <c r="E479" s="38"/>
      <c r="F479" s="38">
        <f t="shared" si="1"/>
        <v>0</v>
      </c>
      <c r="G479" s="38">
        <f>COUNTIFS(HH_FCSP!$G$18:$G$3617,$E479,HH_FCSP!$F$18:$F$3617,"catapult/crossbow")</f>
        <v>0</v>
      </c>
      <c r="H479" s="38">
        <f>COUNTIFS(HH_FCSP!$G$18:$G$3617,$E479,HH_FCSP!$F$18:$F$3617,"white")</f>
        <v>0</v>
      </c>
    </row>
    <row r="480">
      <c r="A480" s="38"/>
      <c r="B480" s="38">
        <v>0.0</v>
      </c>
      <c r="C480" s="38">
        <v>0.0</v>
      </c>
      <c r="D480" s="38">
        <v>0.0</v>
      </c>
      <c r="E480" s="38"/>
      <c r="F480" s="38">
        <f t="shared" si="1"/>
        <v>0</v>
      </c>
      <c r="G480" s="38">
        <f>COUNTIFS(HH_FCSP!$G$18:$G$3617,$E480,HH_FCSP!$F$18:$F$3617,"catapult/crossbow")</f>
        <v>0</v>
      </c>
      <c r="H480" s="38">
        <f>COUNTIFS(HH_FCSP!$G$18:$G$3617,$E480,HH_FCSP!$F$18:$F$3617,"white")</f>
        <v>0</v>
      </c>
    </row>
    <row r="481">
      <c r="A481" s="38"/>
      <c r="B481" s="38">
        <v>0.0</v>
      </c>
      <c r="C481" s="38">
        <v>0.0</v>
      </c>
      <c r="D481" s="38">
        <v>0.0</v>
      </c>
      <c r="E481" s="38"/>
      <c r="F481" s="38">
        <f t="shared" si="1"/>
        <v>0</v>
      </c>
      <c r="G481" s="38">
        <f>COUNTIFS(HH_FCSP!$G$18:$G$3617,$E481,HH_FCSP!$F$18:$F$3617,"catapult/crossbow")</f>
        <v>0</v>
      </c>
      <c r="H481" s="38">
        <f>COUNTIFS(HH_FCSP!$G$18:$G$3617,$E481,HH_FCSP!$F$18:$F$3617,"white")</f>
        <v>0</v>
      </c>
    </row>
    <row r="482">
      <c r="A482" s="38"/>
      <c r="B482" s="38">
        <v>0.0</v>
      </c>
      <c r="C482" s="38">
        <v>0.0</v>
      </c>
      <c r="D482" s="38">
        <v>0.0</v>
      </c>
      <c r="E482" s="38"/>
      <c r="F482" s="38">
        <f t="shared" si="1"/>
        <v>0</v>
      </c>
      <c r="G482" s="38">
        <f>COUNTIFS(HH_FCSP!$G$18:$G$3617,$E482,HH_FCSP!$F$18:$F$3617,"catapult/crossbow")</f>
        <v>0</v>
      </c>
      <c r="H482" s="38">
        <f>COUNTIFS(HH_FCSP!$G$18:$G$3617,$E482,HH_FCSP!$F$18:$F$3617,"white")</f>
        <v>0</v>
      </c>
    </row>
    <row r="483">
      <c r="A483" s="38"/>
      <c r="B483" s="38">
        <v>0.0</v>
      </c>
      <c r="C483" s="38">
        <v>0.0</v>
      </c>
      <c r="D483" s="38">
        <v>0.0</v>
      </c>
      <c r="E483" s="38"/>
      <c r="F483" s="38">
        <f t="shared" si="1"/>
        <v>0</v>
      </c>
      <c r="G483" s="38">
        <f>COUNTIFS(HH_FCSP!$G$18:$G$3617,$E483,HH_FCSP!$F$18:$F$3617,"catapult/crossbow")</f>
        <v>0</v>
      </c>
      <c r="H483" s="38">
        <f>COUNTIFS(HH_FCSP!$G$18:$G$3617,$E483,HH_FCSP!$F$18:$F$3617,"white")</f>
        <v>0</v>
      </c>
    </row>
    <row r="484">
      <c r="A484" s="38"/>
      <c r="B484" s="38">
        <v>0.0</v>
      </c>
      <c r="C484" s="38">
        <v>0.0</v>
      </c>
      <c r="D484" s="38">
        <v>0.0</v>
      </c>
      <c r="E484" s="38"/>
      <c r="F484" s="38">
        <f t="shared" si="1"/>
        <v>0</v>
      </c>
      <c r="G484" s="38">
        <f>COUNTIFS(HH_FCSP!$G$18:$G$3617,$E484,HH_FCSP!$F$18:$F$3617,"catapult/crossbow")</f>
        <v>0</v>
      </c>
      <c r="H484" s="38">
        <f>COUNTIFS(HH_FCSP!$G$18:$G$3617,$E484,HH_FCSP!$F$18:$F$3617,"white")</f>
        <v>0</v>
      </c>
    </row>
    <row r="485">
      <c r="A485" s="38"/>
      <c r="B485" s="38">
        <v>0.0</v>
      </c>
      <c r="C485" s="38">
        <v>0.0</v>
      </c>
      <c r="D485" s="38">
        <v>0.0</v>
      </c>
      <c r="E485" s="38"/>
      <c r="F485" s="38">
        <f t="shared" si="1"/>
        <v>0</v>
      </c>
      <c r="G485" s="38">
        <f>COUNTIFS(HH_FCSP!$G$18:$G$3617,$E485,HH_FCSP!$F$18:$F$3617,"catapult/crossbow")</f>
        <v>0</v>
      </c>
      <c r="H485" s="38">
        <f>COUNTIFS(HH_FCSP!$G$18:$G$3617,$E485,HH_FCSP!$F$18:$F$3617,"white")</f>
        <v>0</v>
      </c>
    </row>
    <row r="486">
      <c r="A486" s="38"/>
      <c r="B486" s="38">
        <v>0.0</v>
      </c>
      <c r="C486" s="38">
        <v>0.0</v>
      </c>
      <c r="D486" s="38">
        <v>0.0</v>
      </c>
      <c r="E486" s="38"/>
      <c r="F486" s="38">
        <f t="shared" si="1"/>
        <v>0</v>
      </c>
      <c r="G486" s="38">
        <f>COUNTIFS(HH_FCSP!$G$18:$G$3617,$E486,HH_FCSP!$F$18:$F$3617,"catapult/crossbow")</f>
        <v>0</v>
      </c>
      <c r="H486" s="38">
        <f>COUNTIFS(HH_FCSP!$G$18:$G$3617,$E486,HH_FCSP!$F$18:$F$3617,"white")</f>
        <v>0</v>
      </c>
    </row>
    <row r="487">
      <c r="A487" s="38"/>
      <c r="B487" s="38">
        <v>0.0</v>
      </c>
      <c r="C487" s="38">
        <v>0.0</v>
      </c>
      <c r="D487" s="38">
        <v>0.0</v>
      </c>
      <c r="E487" s="38"/>
      <c r="F487" s="38">
        <f t="shared" si="1"/>
        <v>0</v>
      </c>
      <c r="G487" s="38">
        <f>COUNTIFS(HH_FCSP!$G$18:$G$3617,$E487,HH_FCSP!$F$18:$F$3617,"catapult/crossbow")</f>
        <v>0</v>
      </c>
      <c r="H487" s="38">
        <f>COUNTIFS(HH_FCSP!$G$18:$G$3617,$E487,HH_FCSP!$F$18:$F$3617,"white")</f>
        <v>0</v>
      </c>
    </row>
    <row r="488">
      <c r="A488" s="38"/>
      <c r="B488" s="38">
        <v>0.0</v>
      </c>
      <c r="C488" s="38">
        <v>0.0</v>
      </c>
      <c r="D488" s="38">
        <v>0.0</v>
      </c>
      <c r="E488" s="38"/>
      <c r="F488" s="38">
        <f t="shared" si="1"/>
        <v>0</v>
      </c>
      <c r="G488" s="38">
        <f>COUNTIFS(HH_FCSP!$G$18:$G$3617,$E488,HH_FCSP!$F$18:$F$3617,"catapult/crossbow")</f>
        <v>0</v>
      </c>
      <c r="H488" s="38">
        <f>COUNTIFS(HH_FCSP!$G$18:$G$3617,$E488,HH_FCSP!$F$18:$F$3617,"white")</f>
        <v>0</v>
      </c>
    </row>
    <row r="489">
      <c r="A489" s="38"/>
      <c r="B489" s="38">
        <v>0.0</v>
      </c>
      <c r="C489" s="38">
        <v>0.0</v>
      </c>
      <c r="D489" s="38">
        <v>0.0</v>
      </c>
      <c r="E489" s="38"/>
      <c r="F489" s="38">
        <f t="shared" si="1"/>
        <v>0</v>
      </c>
      <c r="G489" s="38">
        <f>COUNTIFS(HH_FCSP!$G$18:$G$3617,$E489,HH_FCSP!$F$18:$F$3617,"catapult/crossbow")</f>
        <v>0</v>
      </c>
      <c r="H489" s="38">
        <f>COUNTIFS(HH_FCSP!$G$18:$G$3617,$E489,HH_FCSP!$F$18:$F$3617,"white")</f>
        <v>0</v>
      </c>
    </row>
    <row r="490">
      <c r="A490" s="38"/>
      <c r="B490" s="38">
        <v>0.0</v>
      </c>
      <c r="C490" s="38">
        <v>0.0</v>
      </c>
      <c r="D490" s="38">
        <v>0.0</v>
      </c>
      <c r="E490" s="38"/>
      <c r="F490" s="38">
        <f t="shared" si="1"/>
        <v>0</v>
      </c>
      <c r="G490" s="38">
        <f>COUNTIFS(HH_FCSP!$G$18:$G$3617,$E490,HH_FCSP!$F$18:$F$3617,"catapult/crossbow")</f>
        <v>0</v>
      </c>
      <c r="H490" s="38">
        <f>COUNTIFS(HH_FCSP!$G$18:$G$3617,$E490,HH_FCSP!$F$18:$F$3617,"white")</f>
        <v>0</v>
      </c>
    </row>
    <row r="491">
      <c r="A491" s="38"/>
      <c r="B491" s="38">
        <v>0.0</v>
      </c>
      <c r="C491" s="38">
        <v>0.0</v>
      </c>
      <c r="D491" s="38">
        <v>0.0</v>
      </c>
      <c r="E491" s="38"/>
      <c r="F491" s="38">
        <f t="shared" si="1"/>
        <v>0</v>
      </c>
      <c r="G491" s="38">
        <f>COUNTIFS(HH_FCSP!$G$18:$G$3617,$E491,HH_FCSP!$F$18:$F$3617,"catapult/crossbow")</f>
        <v>0</v>
      </c>
      <c r="H491" s="38">
        <f>COUNTIFS(HH_FCSP!$G$18:$G$3617,$E491,HH_FCSP!$F$18:$F$3617,"white")</f>
        <v>0</v>
      </c>
    </row>
    <row r="492">
      <c r="A492" s="38"/>
      <c r="B492" s="38">
        <v>0.0</v>
      </c>
      <c r="C492" s="38">
        <v>0.0</v>
      </c>
      <c r="D492" s="38">
        <v>0.0</v>
      </c>
      <c r="E492" s="38"/>
      <c r="F492" s="38">
        <f t="shared" si="1"/>
        <v>0</v>
      </c>
      <c r="G492" s="38">
        <f>COUNTIFS(HH_FCSP!$G$18:$G$3617,$E492,HH_FCSP!$F$18:$F$3617,"catapult/crossbow")</f>
        <v>0</v>
      </c>
      <c r="H492" s="38">
        <f>COUNTIFS(HH_FCSP!$G$18:$G$3617,$E492,HH_FCSP!$F$18:$F$3617,"white")</f>
        <v>0</v>
      </c>
    </row>
    <row r="493">
      <c r="A493" s="38"/>
      <c r="B493" s="38">
        <v>0.0</v>
      </c>
      <c r="C493" s="38">
        <v>0.0</v>
      </c>
      <c r="D493" s="38">
        <v>0.0</v>
      </c>
      <c r="E493" s="38"/>
      <c r="F493" s="38">
        <f t="shared" si="1"/>
        <v>0</v>
      </c>
      <c r="G493" s="38">
        <f>COUNTIFS(HH_FCSP!$G$18:$G$3617,$E493,HH_FCSP!$F$18:$F$3617,"catapult/crossbow")</f>
        <v>0</v>
      </c>
      <c r="H493" s="38">
        <f>COUNTIFS(HH_FCSP!$G$18:$G$3617,$E493,HH_FCSP!$F$18:$F$3617,"white")</f>
        <v>0</v>
      </c>
    </row>
    <row r="494">
      <c r="A494" s="38"/>
      <c r="B494" s="38">
        <v>0.0</v>
      </c>
      <c r="C494" s="38">
        <v>0.0</v>
      </c>
      <c r="D494" s="38">
        <v>0.0</v>
      </c>
      <c r="E494" s="38"/>
      <c r="F494" s="38">
        <f t="shared" si="1"/>
        <v>0</v>
      </c>
      <c r="G494" s="38">
        <f>COUNTIFS(HH_FCSP!$G$18:$G$3617,$E494,HH_FCSP!$F$18:$F$3617,"catapult/crossbow")</f>
        <v>0</v>
      </c>
      <c r="H494" s="38">
        <f>COUNTIFS(HH_FCSP!$G$18:$G$3617,$E494,HH_FCSP!$F$18:$F$3617,"white")</f>
        <v>0</v>
      </c>
    </row>
    <row r="495">
      <c r="A495" s="38"/>
      <c r="B495" s="38">
        <v>0.0</v>
      </c>
      <c r="C495" s="38">
        <v>0.0</v>
      </c>
      <c r="D495" s="38">
        <v>0.0</v>
      </c>
      <c r="E495" s="38"/>
      <c r="F495" s="38">
        <f t="shared" si="1"/>
        <v>0</v>
      </c>
      <c r="G495" s="38">
        <f>COUNTIFS(HH_FCSP!$G$18:$G$3617,$E495,HH_FCSP!$F$18:$F$3617,"catapult/crossbow")</f>
        <v>0</v>
      </c>
      <c r="H495" s="38">
        <f>COUNTIFS(HH_FCSP!$G$18:$G$3617,$E495,HH_FCSP!$F$18:$F$3617,"white")</f>
        <v>0</v>
      </c>
    </row>
    <row r="496">
      <c r="A496" s="38"/>
      <c r="B496" s="38">
        <v>0.0</v>
      </c>
      <c r="C496" s="38">
        <v>0.0</v>
      </c>
      <c r="D496" s="38">
        <v>0.0</v>
      </c>
      <c r="E496" s="38"/>
      <c r="F496" s="38">
        <f t="shared" si="1"/>
        <v>0</v>
      </c>
      <c r="G496" s="38">
        <f>COUNTIFS(HH_FCSP!$G$18:$G$3617,$E496,HH_FCSP!$F$18:$F$3617,"catapult/crossbow")</f>
        <v>0</v>
      </c>
      <c r="H496" s="38">
        <f>COUNTIFS(HH_FCSP!$G$18:$G$3617,$E496,HH_FCSP!$F$18:$F$3617,"white")</f>
        <v>0</v>
      </c>
    </row>
    <row r="497">
      <c r="A497" s="38"/>
      <c r="B497" s="38">
        <v>0.0</v>
      </c>
      <c r="C497" s="38">
        <v>0.0</v>
      </c>
      <c r="D497" s="38">
        <v>0.0</v>
      </c>
      <c r="E497" s="38"/>
      <c r="F497" s="38">
        <f t="shared" si="1"/>
        <v>0</v>
      </c>
      <c r="G497" s="38">
        <f>COUNTIFS(HH_FCSP!$G$18:$G$3617,$E497,HH_FCSP!$F$18:$F$3617,"catapult/crossbow")</f>
        <v>0</v>
      </c>
      <c r="H497" s="38">
        <f>COUNTIFS(HH_FCSP!$G$18:$G$3617,$E497,HH_FCSP!$F$18:$F$3617,"white")</f>
        <v>0</v>
      </c>
    </row>
    <row r="498">
      <c r="A498" s="38"/>
      <c r="B498" s="38">
        <v>0.0</v>
      </c>
      <c r="C498" s="38">
        <v>0.0</v>
      </c>
      <c r="D498" s="38">
        <v>0.0</v>
      </c>
      <c r="E498" s="38"/>
      <c r="F498" s="38">
        <f t="shared" si="1"/>
        <v>0</v>
      </c>
      <c r="G498" s="38">
        <f>COUNTIFS(HH_FCSP!$G$18:$G$3617,$E498,HH_FCSP!$F$18:$F$3617,"catapult/crossbow")</f>
        <v>0</v>
      </c>
      <c r="H498" s="38">
        <f>COUNTIFS(HH_FCSP!$G$18:$G$3617,$E498,HH_FCSP!$F$18:$F$3617,"white")</f>
        <v>0</v>
      </c>
    </row>
    <row r="499">
      <c r="A499" s="38"/>
      <c r="B499" s="38">
        <v>0.0</v>
      </c>
      <c r="C499" s="38">
        <v>0.0</v>
      </c>
      <c r="D499" s="38">
        <v>0.0</v>
      </c>
      <c r="E499" s="38"/>
      <c r="F499" s="38">
        <f t="shared" si="1"/>
        <v>0</v>
      </c>
      <c r="G499" s="38">
        <f>COUNTIFS(HH_FCSP!$G$18:$G$3617,$E499,HH_FCSP!$F$18:$F$3617,"catapult/crossbow")</f>
        <v>0</v>
      </c>
      <c r="H499" s="38">
        <f>COUNTIFS(HH_FCSP!$G$18:$G$3617,$E499,HH_FCSP!$F$18:$F$3617,"white")</f>
        <v>0</v>
      </c>
    </row>
    <row r="500">
      <c r="A500" s="38"/>
      <c r="B500" s="38">
        <v>0.0</v>
      </c>
      <c r="C500" s="38">
        <v>0.0</v>
      </c>
      <c r="D500" s="38">
        <v>0.0</v>
      </c>
      <c r="E500" s="38"/>
      <c r="F500" s="38">
        <f t="shared" si="1"/>
        <v>0</v>
      </c>
      <c r="G500" s="38">
        <f>COUNTIFS(HH_FCSP!$G$18:$G$3617,$E500,HH_FCSP!$F$18:$F$3617,"catapult/crossbow")</f>
        <v>0</v>
      </c>
      <c r="H500" s="38">
        <f>COUNTIFS(HH_FCSP!$G$18:$G$3617,$E500,HH_FCSP!$F$18:$F$3617,"white")</f>
        <v>0</v>
      </c>
    </row>
    <row r="501">
      <c r="A501" s="38"/>
      <c r="B501" s="38">
        <v>0.0</v>
      </c>
      <c r="C501" s="38">
        <v>0.0</v>
      </c>
      <c r="D501" s="38">
        <v>0.0</v>
      </c>
      <c r="E501" s="38"/>
      <c r="F501" s="38">
        <f t="shared" si="1"/>
        <v>0</v>
      </c>
      <c r="G501" s="38">
        <f>COUNTIFS(HH_FCSP!$G$18:$G$3617,$E501,HH_FCSP!$F$18:$F$3617,"catapult/crossbow")</f>
        <v>0</v>
      </c>
      <c r="H501" s="38">
        <f>COUNTIFS(HH_FCSP!$G$18:$G$3617,$E501,HH_FCSP!$F$18:$F$3617,"white")</f>
        <v>0</v>
      </c>
    </row>
    <row r="502">
      <c r="A502" s="38"/>
      <c r="B502" s="38">
        <v>0.0</v>
      </c>
      <c r="C502" s="38">
        <v>0.0</v>
      </c>
      <c r="D502" s="38">
        <v>0.0</v>
      </c>
      <c r="E502" s="38"/>
      <c r="F502" s="38">
        <f t="shared" si="1"/>
        <v>0</v>
      </c>
      <c r="G502" s="38">
        <f>COUNTIFS(HH_FCSP!$G$18:$G$3617,$E502,HH_FCSP!$F$18:$F$3617,"catapult/crossbow")</f>
        <v>0</v>
      </c>
      <c r="H502" s="38">
        <f>COUNTIFS(HH_FCSP!$G$18:$G$3617,$E502,HH_FCSP!$F$18:$F$3617,"white")</f>
        <v>0</v>
      </c>
    </row>
    <row r="503">
      <c r="A503" s="38"/>
      <c r="B503" s="38">
        <v>0.0</v>
      </c>
      <c r="C503" s="38">
        <v>0.0</v>
      </c>
      <c r="D503" s="38">
        <v>0.0</v>
      </c>
      <c r="E503" s="38"/>
      <c r="F503" s="38">
        <f t="shared" si="1"/>
        <v>0</v>
      </c>
      <c r="G503" s="38">
        <f>COUNTIFS(HH_FCSP!$G$18:$G$3617,$E503,HH_FCSP!$F$18:$F$3617,"catapult/crossbow")</f>
        <v>0</v>
      </c>
      <c r="H503" s="38">
        <f>COUNTIFS(HH_FCSP!$G$18:$G$3617,$E503,HH_FCSP!$F$18:$F$3617,"white")</f>
        <v>0</v>
      </c>
    </row>
    <row r="504">
      <c r="A504" s="38"/>
      <c r="B504" s="38">
        <v>0.0</v>
      </c>
      <c r="C504" s="38">
        <v>0.0</v>
      </c>
      <c r="D504" s="38">
        <v>0.0</v>
      </c>
      <c r="E504" s="38"/>
      <c r="F504" s="38">
        <f t="shared" si="1"/>
        <v>0</v>
      </c>
      <c r="G504" s="38">
        <f>COUNTIFS(HH_FCSP!$G$18:$G$3617,$E504,HH_FCSP!$F$18:$F$3617,"catapult/crossbow")</f>
        <v>0</v>
      </c>
      <c r="H504" s="38">
        <f>COUNTIFS(HH_FCSP!$G$18:$G$3617,$E504,HH_FCSP!$F$18:$F$3617,"white")</f>
        <v>0</v>
      </c>
    </row>
    <row r="505">
      <c r="A505" s="38"/>
      <c r="B505" s="38">
        <v>0.0</v>
      </c>
      <c r="C505" s="38">
        <v>0.0</v>
      </c>
      <c r="D505" s="38">
        <v>0.0</v>
      </c>
      <c r="E505" s="38"/>
      <c r="F505" s="38">
        <f t="shared" si="1"/>
        <v>0</v>
      </c>
      <c r="G505" s="38">
        <f>COUNTIFS(HH_FCSP!$G$18:$G$3617,$E505,HH_FCSP!$F$18:$F$3617,"catapult/crossbow")</f>
        <v>0</v>
      </c>
      <c r="H505" s="38">
        <f>COUNTIFS(HH_FCSP!$G$18:$G$3617,$E505,HH_FCSP!$F$18:$F$3617,"white")</f>
        <v>0</v>
      </c>
    </row>
    <row r="506">
      <c r="A506" s="38"/>
      <c r="B506" s="38">
        <v>0.0</v>
      </c>
      <c r="C506" s="38">
        <v>0.0</v>
      </c>
      <c r="D506" s="38">
        <v>0.0</v>
      </c>
      <c r="E506" s="38"/>
      <c r="F506" s="38">
        <f t="shared" si="1"/>
        <v>0</v>
      </c>
      <c r="G506" s="38">
        <f>COUNTIFS(HH_FCSP!$G$18:$G$3617,$E506,HH_FCSP!$F$18:$F$3617,"catapult/crossbow")</f>
        <v>0</v>
      </c>
      <c r="H506" s="38">
        <f>COUNTIFS(HH_FCSP!$G$18:$G$3617,$E506,HH_FCSP!$F$18:$F$3617,"white")</f>
        <v>0</v>
      </c>
    </row>
    <row r="507">
      <c r="A507" s="38"/>
      <c r="B507" s="38">
        <v>0.0</v>
      </c>
      <c r="C507" s="38">
        <v>0.0</v>
      </c>
      <c r="D507" s="38">
        <v>0.0</v>
      </c>
      <c r="E507" s="38"/>
      <c r="F507" s="38">
        <f t="shared" si="1"/>
        <v>0</v>
      </c>
      <c r="G507" s="38">
        <f>COUNTIFS(HH_FCSP!$G$18:$G$3617,$E507,HH_FCSP!$F$18:$F$3617,"catapult/crossbow")</f>
        <v>0</v>
      </c>
      <c r="H507" s="38">
        <f>COUNTIFS(HH_FCSP!$G$18:$G$3617,$E507,HH_FCSP!$F$18:$F$3617,"white")</f>
        <v>0</v>
      </c>
    </row>
    <row r="508">
      <c r="A508" s="38"/>
      <c r="B508" s="38">
        <v>0.0</v>
      </c>
      <c r="C508" s="38">
        <v>0.0</v>
      </c>
      <c r="D508" s="38">
        <v>0.0</v>
      </c>
      <c r="E508" s="38"/>
      <c r="F508" s="38">
        <f t="shared" si="1"/>
        <v>0</v>
      </c>
      <c r="G508" s="38">
        <f>COUNTIFS(HH_FCSP!$G$18:$G$3617,$E508,HH_FCSP!$F$18:$F$3617,"catapult/crossbow")</f>
        <v>0</v>
      </c>
      <c r="H508" s="38">
        <f>COUNTIFS(HH_FCSP!$G$18:$G$3617,$E508,HH_FCSP!$F$18:$F$3617,"white")</f>
        <v>0</v>
      </c>
    </row>
    <row r="509">
      <c r="A509" s="38"/>
      <c r="B509" s="38">
        <v>0.0</v>
      </c>
      <c r="C509" s="38">
        <v>0.0</v>
      </c>
      <c r="D509" s="38">
        <v>0.0</v>
      </c>
      <c r="E509" s="38"/>
      <c r="F509" s="38">
        <f t="shared" si="1"/>
        <v>0</v>
      </c>
      <c r="G509" s="38">
        <f>COUNTIFS(HH_FCSP!$G$18:$G$3617,$E509,HH_FCSP!$F$18:$F$3617,"catapult/crossbow")</f>
        <v>0</v>
      </c>
      <c r="H509" s="38">
        <f>COUNTIFS(HH_FCSP!$G$18:$G$3617,$E509,HH_FCSP!$F$18:$F$3617,"white")</f>
        <v>0</v>
      </c>
    </row>
    <row r="510">
      <c r="A510" s="38"/>
      <c r="B510" s="38">
        <v>0.0</v>
      </c>
      <c r="C510" s="38">
        <v>0.0</v>
      </c>
      <c r="D510" s="38">
        <v>0.0</v>
      </c>
      <c r="E510" s="38"/>
      <c r="F510" s="38">
        <f t="shared" si="1"/>
        <v>0</v>
      </c>
      <c r="G510" s="38">
        <f>COUNTIFS(HH_FCSP!$G$18:$G$3617,$E510,HH_FCSP!$F$18:$F$3617,"catapult/crossbow")</f>
        <v>0</v>
      </c>
      <c r="H510" s="38">
        <f>COUNTIFS(HH_FCSP!$G$18:$G$3617,$E510,HH_FCSP!$F$18:$F$3617,"white")</f>
        <v>0</v>
      </c>
    </row>
    <row r="511">
      <c r="A511" s="38"/>
      <c r="B511" s="38">
        <v>0.0</v>
      </c>
      <c r="C511" s="38">
        <v>0.0</v>
      </c>
      <c r="D511" s="38">
        <v>0.0</v>
      </c>
      <c r="E511" s="38"/>
      <c r="F511" s="38">
        <f t="shared" si="1"/>
        <v>0</v>
      </c>
      <c r="G511" s="38">
        <f>COUNTIFS(HH_FCSP!$G$18:$G$3617,$E511,HH_FCSP!$F$18:$F$3617,"catapult/crossbow")</f>
        <v>0</v>
      </c>
      <c r="H511" s="38">
        <f>COUNTIFS(HH_FCSP!$G$18:$G$3617,$E511,HH_FCSP!$F$18:$F$3617,"white")</f>
        <v>0</v>
      </c>
    </row>
    <row r="512">
      <c r="A512" s="38"/>
      <c r="B512" s="38">
        <v>0.0</v>
      </c>
      <c r="C512" s="38">
        <v>0.0</v>
      </c>
      <c r="D512" s="38">
        <v>0.0</v>
      </c>
      <c r="E512" s="38"/>
      <c r="F512" s="38">
        <f t="shared" si="1"/>
        <v>0</v>
      </c>
      <c r="G512" s="38">
        <f>COUNTIFS(HH_FCSP!$G$18:$G$3617,$E512,HH_FCSP!$F$18:$F$3617,"catapult/crossbow")</f>
        <v>0</v>
      </c>
      <c r="H512" s="38">
        <f>COUNTIFS(HH_FCSP!$G$18:$G$3617,$E512,HH_FCSP!$F$18:$F$3617,"white")</f>
        <v>0</v>
      </c>
    </row>
    <row r="513">
      <c r="A513" s="38"/>
      <c r="B513" s="38">
        <v>0.0</v>
      </c>
      <c r="C513" s="38">
        <v>0.0</v>
      </c>
      <c r="D513" s="38">
        <v>0.0</v>
      </c>
      <c r="E513" s="38"/>
      <c r="F513" s="38">
        <f t="shared" si="1"/>
        <v>0</v>
      </c>
      <c r="G513" s="38">
        <f>COUNTIFS(HH_FCSP!$G$18:$G$3617,$E513,HH_FCSP!$F$18:$F$3617,"catapult/crossbow")</f>
        <v>0</v>
      </c>
      <c r="H513" s="38">
        <f>COUNTIFS(HH_FCSP!$G$18:$G$3617,$E513,HH_FCSP!$F$18:$F$3617,"white")</f>
        <v>0</v>
      </c>
    </row>
    <row r="514">
      <c r="A514" s="38"/>
      <c r="B514" s="38">
        <v>0.0</v>
      </c>
      <c r="C514" s="38">
        <v>0.0</v>
      </c>
      <c r="D514" s="38">
        <v>0.0</v>
      </c>
      <c r="E514" s="38"/>
      <c r="F514" s="38">
        <f t="shared" si="1"/>
        <v>0</v>
      </c>
      <c r="G514" s="38">
        <f>COUNTIFS(HH_FCSP!$G$18:$G$3617,$E514,HH_FCSP!$F$18:$F$3617,"catapult/crossbow")</f>
        <v>0</v>
      </c>
      <c r="H514" s="38">
        <f>COUNTIFS(HH_FCSP!$G$18:$G$3617,$E514,HH_FCSP!$F$18:$F$3617,"white")</f>
        <v>0</v>
      </c>
    </row>
    <row r="515">
      <c r="A515" s="38"/>
      <c r="B515" s="38">
        <v>0.0</v>
      </c>
      <c r="C515" s="38">
        <v>0.0</v>
      </c>
      <c r="D515" s="38">
        <v>0.0</v>
      </c>
      <c r="E515" s="38"/>
      <c r="F515" s="38">
        <f t="shared" si="1"/>
        <v>0</v>
      </c>
      <c r="G515" s="38">
        <f>COUNTIFS(HH_FCSP!$G$18:$G$3617,$E515,HH_FCSP!$F$18:$F$3617,"catapult/crossbow")</f>
        <v>0</v>
      </c>
      <c r="H515" s="38">
        <f>COUNTIFS(HH_FCSP!$G$18:$G$3617,$E515,HH_FCSP!$F$18:$F$3617,"white")</f>
        <v>0</v>
      </c>
    </row>
    <row r="516">
      <c r="A516" s="38"/>
      <c r="B516" s="38">
        <v>0.0</v>
      </c>
      <c r="C516" s="38">
        <v>0.0</v>
      </c>
      <c r="D516" s="38">
        <v>0.0</v>
      </c>
      <c r="E516" s="38"/>
      <c r="F516" s="38">
        <f t="shared" si="1"/>
        <v>0</v>
      </c>
      <c r="G516" s="38">
        <f>COUNTIFS(HH_FCSP!$G$18:$G$3617,$E516,HH_FCSP!$F$18:$F$3617,"catapult/crossbow")</f>
        <v>0</v>
      </c>
      <c r="H516" s="38">
        <f>COUNTIFS(HH_FCSP!$G$18:$G$3617,$E516,HH_FCSP!$F$18:$F$3617,"white")</f>
        <v>0</v>
      </c>
    </row>
    <row r="517">
      <c r="A517" s="38"/>
      <c r="B517" s="38">
        <v>0.0</v>
      </c>
      <c r="C517" s="38">
        <v>0.0</v>
      </c>
      <c r="D517" s="38">
        <v>0.0</v>
      </c>
      <c r="E517" s="38"/>
      <c r="F517" s="38">
        <f t="shared" si="1"/>
        <v>0</v>
      </c>
      <c r="G517" s="38">
        <f>COUNTIFS(HH_FCSP!$G$18:$G$3617,$E517,HH_FCSP!$F$18:$F$3617,"catapult/crossbow")</f>
        <v>0</v>
      </c>
      <c r="H517" s="38">
        <f>COUNTIFS(HH_FCSP!$G$18:$G$3617,$E517,HH_FCSP!$F$18:$F$3617,"white")</f>
        <v>0</v>
      </c>
    </row>
    <row r="518">
      <c r="A518" s="38"/>
      <c r="B518" s="38">
        <v>0.0</v>
      </c>
      <c r="C518" s="38">
        <v>0.0</v>
      </c>
      <c r="D518" s="38">
        <v>0.0</v>
      </c>
      <c r="E518" s="38"/>
      <c r="F518" s="38">
        <f t="shared" si="1"/>
        <v>0</v>
      </c>
      <c r="G518" s="38">
        <f>COUNTIFS(HH_FCSP!$G$18:$G$3617,$E518,HH_FCSP!$F$18:$F$3617,"catapult/crossbow")</f>
        <v>0</v>
      </c>
      <c r="H518" s="38">
        <f>COUNTIFS(HH_FCSP!$G$18:$G$3617,$E518,HH_FCSP!$F$18:$F$3617,"white")</f>
        <v>0</v>
      </c>
    </row>
    <row r="519">
      <c r="A519" s="38"/>
      <c r="B519" s="38">
        <v>0.0</v>
      </c>
      <c r="C519" s="38">
        <v>0.0</v>
      </c>
      <c r="D519" s="38">
        <v>0.0</v>
      </c>
      <c r="E519" s="38"/>
      <c r="F519" s="38">
        <f t="shared" si="1"/>
        <v>0</v>
      </c>
      <c r="G519" s="38">
        <f>COUNTIFS(HH_FCSP!$G$18:$G$3617,$E519,HH_FCSP!$F$18:$F$3617,"catapult/crossbow")</f>
        <v>0</v>
      </c>
      <c r="H519" s="38">
        <f>COUNTIFS(HH_FCSP!$G$18:$G$3617,$E519,HH_FCSP!$F$18:$F$3617,"white")</f>
        <v>0</v>
      </c>
    </row>
    <row r="520">
      <c r="A520" s="38"/>
      <c r="B520" s="38">
        <v>0.0</v>
      </c>
      <c r="C520" s="38">
        <v>0.0</v>
      </c>
      <c r="D520" s="38">
        <v>0.0</v>
      </c>
      <c r="E520" s="38"/>
      <c r="F520" s="38">
        <f t="shared" si="1"/>
        <v>0</v>
      </c>
      <c r="G520" s="38">
        <f>COUNTIFS(HH_FCSP!$G$18:$G$3617,$E520,HH_FCSP!$F$18:$F$3617,"catapult/crossbow")</f>
        <v>0</v>
      </c>
      <c r="H520" s="38">
        <f>COUNTIFS(HH_FCSP!$G$18:$G$3617,$E520,HH_FCSP!$F$18:$F$3617,"white")</f>
        <v>0</v>
      </c>
    </row>
    <row r="521">
      <c r="A521" s="38"/>
      <c r="B521" s="38">
        <v>0.0</v>
      </c>
      <c r="C521" s="38">
        <v>0.0</v>
      </c>
      <c r="D521" s="38">
        <v>0.0</v>
      </c>
      <c r="E521" s="38"/>
      <c r="F521" s="38">
        <f t="shared" si="1"/>
        <v>0</v>
      </c>
      <c r="G521" s="38">
        <f>COUNTIFS(HH_FCSP!$G$18:$G$3617,$E521,HH_FCSP!$F$18:$F$3617,"catapult/crossbow")</f>
        <v>0</v>
      </c>
      <c r="H521" s="38">
        <f>COUNTIFS(HH_FCSP!$G$18:$G$3617,$E521,HH_FCSP!$F$18:$F$3617,"white")</f>
        <v>0</v>
      </c>
    </row>
    <row r="522">
      <c r="A522" s="38"/>
      <c r="B522" s="38">
        <v>0.0</v>
      </c>
      <c r="C522" s="38">
        <v>0.0</v>
      </c>
      <c r="D522" s="38">
        <v>0.0</v>
      </c>
      <c r="E522" s="38"/>
      <c r="F522" s="38">
        <f t="shared" si="1"/>
        <v>0</v>
      </c>
      <c r="G522" s="38">
        <f>COUNTIFS(HH_FCSP!$G$18:$G$3617,$E522,HH_FCSP!$F$18:$F$3617,"catapult/crossbow")</f>
        <v>0</v>
      </c>
      <c r="H522" s="38">
        <f>COUNTIFS(HH_FCSP!$G$18:$G$3617,$E522,HH_FCSP!$F$18:$F$3617,"white")</f>
        <v>0</v>
      </c>
    </row>
    <row r="523">
      <c r="A523" s="38"/>
      <c r="B523" s="38">
        <v>0.0</v>
      </c>
      <c r="C523" s="38">
        <v>0.0</v>
      </c>
      <c r="D523" s="38">
        <v>0.0</v>
      </c>
      <c r="E523" s="38"/>
      <c r="F523" s="38">
        <f t="shared" si="1"/>
        <v>0</v>
      </c>
      <c r="G523" s="38">
        <f>COUNTIFS(HH_FCSP!$G$18:$G$3617,$E523,HH_FCSP!$F$18:$F$3617,"catapult/crossbow")</f>
        <v>0</v>
      </c>
      <c r="H523" s="38">
        <f>COUNTIFS(HH_FCSP!$G$18:$G$3617,$E523,HH_FCSP!$F$18:$F$3617,"white")</f>
        <v>0</v>
      </c>
    </row>
    <row r="524">
      <c r="A524" s="38"/>
      <c r="B524" s="38">
        <v>0.0</v>
      </c>
      <c r="C524" s="38">
        <v>0.0</v>
      </c>
      <c r="D524" s="38">
        <v>0.0</v>
      </c>
      <c r="E524" s="38"/>
      <c r="F524" s="38">
        <f t="shared" si="1"/>
        <v>0</v>
      </c>
      <c r="G524" s="38">
        <f>COUNTIFS(HH_FCSP!$G$18:$G$3617,$E524,HH_FCSP!$F$18:$F$3617,"catapult/crossbow")</f>
        <v>0</v>
      </c>
      <c r="H524" s="38">
        <f>COUNTIFS(HH_FCSP!$G$18:$G$3617,$E524,HH_FCSP!$F$18:$F$3617,"white")</f>
        <v>0</v>
      </c>
    </row>
    <row r="525">
      <c r="A525" s="38"/>
      <c r="B525" s="38">
        <v>0.0</v>
      </c>
      <c r="C525" s="38">
        <v>0.0</v>
      </c>
      <c r="D525" s="38">
        <v>0.0</v>
      </c>
      <c r="E525" s="38"/>
      <c r="F525" s="38">
        <f t="shared" si="1"/>
        <v>0</v>
      </c>
      <c r="G525" s="38">
        <f>COUNTIFS(HH_FCSP!$G$18:$G$3617,$E525,HH_FCSP!$F$18:$F$3617,"catapult/crossbow")</f>
        <v>0</v>
      </c>
      <c r="H525" s="38">
        <f>COUNTIFS(HH_FCSP!$G$18:$G$3617,$E525,HH_FCSP!$F$18:$F$3617,"white")</f>
        <v>0</v>
      </c>
    </row>
    <row r="526">
      <c r="A526" s="38"/>
      <c r="B526" s="38">
        <v>0.0</v>
      </c>
      <c r="C526" s="38">
        <v>0.0</v>
      </c>
      <c r="D526" s="38">
        <v>0.0</v>
      </c>
      <c r="E526" s="38"/>
      <c r="F526" s="38">
        <f t="shared" si="1"/>
        <v>0</v>
      </c>
      <c r="G526" s="38">
        <f>COUNTIFS(HH_FCSP!$G$18:$G$3617,$E526,HH_FCSP!$F$18:$F$3617,"catapult/crossbow")</f>
        <v>0</v>
      </c>
      <c r="H526" s="38">
        <f>COUNTIFS(HH_FCSP!$G$18:$G$3617,$E526,HH_FCSP!$F$18:$F$3617,"white")</f>
        <v>0</v>
      </c>
    </row>
    <row r="527">
      <c r="A527" s="38"/>
      <c r="B527" s="38">
        <v>0.0</v>
      </c>
      <c r="C527" s="38">
        <v>0.0</v>
      </c>
      <c r="D527" s="38">
        <v>0.0</v>
      </c>
      <c r="E527" s="38"/>
      <c r="F527" s="38">
        <f t="shared" si="1"/>
        <v>0</v>
      </c>
      <c r="G527" s="38">
        <f>COUNTIFS(HH_FCSP!$G$18:$G$3617,$E527,HH_FCSP!$F$18:$F$3617,"catapult/crossbow")</f>
        <v>0</v>
      </c>
      <c r="H527" s="38">
        <f>COUNTIFS(HH_FCSP!$G$18:$G$3617,$E527,HH_FCSP!$F$18:$F$3617,"white")</f>
        <v>0</v>
      </c>
    </row>
    <row r="528">
      <c r="A528" s="38"/>
      <c r="B528" s="38">
        <v>0.0</v>
      </c>
      <c r="C528" s="38">
        <v>0.0</v>
      </c>
      <c r="D528" s="38">
        <v>0.0</v>
      </c>
      <c r="E528" s="38"/>
      <c r="F528" s="38">
        <f t="shared" si="1"/>
        <v>0</v>
      </c>
      <c r="G528" s="38">
        <f>COUNTIFS(HH_FCSP!$G$18:$G$3617,$E528,HH_FCSP!$F$18:$F$3617,"catapult/crossbow")</f>
        <v>0</v>
      </c>
      <c r="H528" s="38">
        <f>COUNTIFS(HH_FCSP!$G$18:$G$3617,$E528,HH_FCSP!$F$18:$F$3617,"white")</f>
        <v>0</v>
      </c>
    </row>
    <row r="529">
      <c r="A529" s="38"/>
      <c r="B529" s="38">
        <v>0.0</v>
      </c>
      <c r="C529" s="38">
        <v>0.0</v>
      </c>
      <c r="D529" s="38">
        <v>0.0</v>
      </c>
      <c r="E529" s="38"/>
      <c r="F529" s="38">
        <f t="shared" si="1"/>
        <v>0</v>
      </c>
      <c r="G529" s="38">
        <f>COUNTIFS(HH_FCSP!$G$18:$G$3617,$E529,HH_FCSP!$F$18:$F$3617,"catapult/crossbow")</f>
        <v>0</v>
      </c>
      <c r="H529" s="38">
        <f>COUNTIFS(HH_FCSP!$G$18:$G$3617,$E529,HH_FCSP!$F$18:$F$3617,"white")</f>
        <v>0</v>
      </c>
    </row>
    <row r="530">
      <c r="A530" s="38"/>
      <c r="B530" s="38">
        <v>0.0</v>
      </c>
      <c r="C530" s="38">
        <v>0.0</v>
      </c>
      <c r="D530" s="38">
        <v>0.0</v>
      </c>
      <c r="E530" s="38"/>
      <c r="F530" s="38">
        <f t="shared" si="1"/>
        <v>0</v>
      </c>
      <c r="G530" s="38">
        <f>COUNTIFS(HH_FCSP!$G$18:$G$3617,$E530,HH_FCSP!$F$18:$F$3617,"catapult/crossbow")</f>
        <v>0</v>
      </c>
      <c r="H530" s="38">
        <f>COUNTIFS(HH_FCSP!$G$18:$G$3617,$E530,HH_FCSP!$F$18:$F$3617,"white")</f>
        <v>0</v>
      </c>
    </row>
    <row r="531">
      <c r="A531" s="38"/>
      <c r="B531" s="38">
        <v>0.0</v>
      </c>
      <c r="C531" s="38">
        <v>0.0</v>
      </c>
      <c r="D531" s="38">
        <v>0.0</v>
      </c>
      <c r="E531" s="38"/>
      <c r="F531" s="38">
        <f t="shared" si="1"/>
        <v>0</v>
      </c>
      <c r="G531" s="38">
        <f>COUNTIFS(HH_FCSP!$G$18:$G$3617,$E531,HH_FCSP!$F$18:$F$3617,"catapult/crossbow")</f>
        <v>0</v>
      </c>
      <c r="H531" s="38">
        <f>COUNTIFS(HH_FCSP!$G$18:$G$3617,$E531,HH_FCSP!$F$18:$F$3617,"white")</f>
        <v>0</v>
      </c>
    </row>
    <row r="532">
      <c r="A532" s="38"/>
      <c r="B532" s="38">
        <v>0.0</v>
      </c>
      <c r="C532" s="38">
        <v>0.0</v>
      </c>
      <c r="D532" s="38">
        <v>0.0</v>
      </c>
      <c r="E532" s="38"/>
      <c r="F532" s="38">
        <f t="shared" si="1"/>
        <v>0</v>
      </c>
      <c r="G532" s="38">
        <f>COUNTIFS(HH_FCSP!$G$18:$G$3617,$E532,HH_FCSP!$F$18:$F$3617,"catapult/crossbow")</f>
        <v>0</v>
      </c>
      <c r="H532" s="38">
        <f>COUNTIFS(HH_FCSP!$G$18:$G$3617,$E532,HH_FCSP!$F$18:$F$3617,"white")</f>
        <v>0</v>
      </c>
    </row>
    <row r="533">
      <c r="A533" s="38"/>
      <c r="B533" s="38">
        <v>0.0</v>
      </c>
      <c r="C533" s="38">
        <v>0.0</v>
      </c>
      <c r="D533" s="38">
        <v>0.0</v>
      </c>
      <c r="E533" s="38"/>
      <c r="F533" s="38">
        <f t="shared" si="1"/>
        <v>0</v>
      </c>
      <c r="G533" s="38">
        <f>COUNTIFS(HH_FCSP!$G$18:$G$3617,$E533,HH_FCSP!$F$18:$F$3617,"catapult/crossbow")</f>
        <v>0</v>
      </c>
      <c r="H533" s="38">
        <f>COUNTIFS(HH_FCSP!$G$18:$G$3617,$E533,HH_FCSP!$F$18:$F$3617,"white")</f>
        <v>0</v>
      </c>
    </row>
    <row r="534">
      <c r="A534" s="38"/>
      <c r="B534" s="38">
        <v>0.0</v>
      </c>
      <c r="C534" s="38">
        <v>0.0</v>
      </c>
      <c r="D534" s="38">
        <v>0.0</v>
      </c>
      <c r="E534" s="38"/>
      <c r="F534" s="38">
        <f t="shared" si="1"/>
        <v>0</v>
      </c>
      <c r="G534" s="38">
        <f>COUNTIFS(HH_FCSP!$G$18:$G$3617,$E534,HH_FCSP!$F$18:$F$3617,"catapult/crossbow")</f>
        <v>0</v>
      </c>
      <c r="H534" s="38">
        <f>COUNTIFS(HH_FCSP!$G$18:$G$3617,$E534,HH_FCSP!$F$18:$F$3617,"white")</f>
        <v>0</v>
      </c>
    </row>
    <row r="535">
      <c r="A535" s="38"/>
      <c r="B535" s="38">
        <v>0.0</v>
      </c>
      <c r="C535" s="38">
        <v>0.0</v>
      </c>
      <c r="D535" s="38">
        <v>0.0</v>
      </c>
      <c r="E535" s="38"/>
      <c r="F535" s="38">
        <f t="shared" si="1"/>
        <v>0</v>
      </c>
      <c r="G535" s="38">
        <f>COUNTIFS(HH_FCSP!$G$18:$G$3617,$E535,HH_FCSP!$F$18:$F$3617,"catapult/crossbow")</f>
        <v>0</v>
      </c>
      <c r="H535" s="38">
        <f>COUNTIFS(HH_FCSP!$G$18:$G$3617,$E535,HH_FCSP!$F$18:$F$3617,"white")</f>
        <v>0</v>
      </c>
    </row>
    <row r="536">
      <c r="A536" s="38"/>
      <c r="B536" s="38">
        <v>0.0</v>
      </c>
      <c r="C536" s="38">
        <v>0.0</v>
      </c>
      <c r="D536" s="38">
        <v>0.0</v>
      </c>
      <c r="E536" s="38"/>
      <c r="F536" s="38">
        <f t="shared" si="1"/>
        <v>0</v>
      </c>
      <c r="G536" s="38">
        <f>COUNTIFS(HH_FCSP!$G$18:$G$3617,$E536,HH_FCSP!$F$18:$F$3617,"catapult/crossbow")</f>
        <v>0</v>
      </c>
      <c r="H536" s="38">
        <f>COUNTIFS(HH_FCSP!$G$18:$G$3617,$E536,HH_FCSP!$F$18:$F$3617,"white")</f>
        <v>0</v>
      </c>
    </row>
    <row r="537">
      <c r="A537" s="38"/>
      <c r="B537" s="38">
        <v>0.0</v>
      </c>
      <c r="C537" s="38">
        <v>0.0</v>
      </c>
      <c r="D537" s="38">
        <v>0.0</v>
      </c>
      <c r="E537" s="38"/>
      <c r="F537" s="38">
        <f t="shared" si="1"/>
        <v>0</v>
      </c>
      <c r="G537" s="38">
        <f>COUNTIFS(HH_FCSP!$G$18:$G$3617,$E537,HH_FCSP!$F$18:$F$3617,"catapult/crossbow")</f>
        <v>0</v>
      </c>
      <c r="H537" s="38">
        <f>COUNTIFS(HH_FCSP!$G$18:$G$3617,$E537,HH_FCSP!$F$18:$F$3617,"white")</f>
        <v>0</v>
      </c>
    </row>
    <row r="538">
      <c r="A538" s="38"/>
      <c r="B538" s="38">
        <v>0.0</v>
      </c>
      <c r="C538" s="38">
        <v>0.0</v>
      </c>
      <c r="D538" s="38">
        <v>0.0</v>
      </c>
      <c r="E538" s="38"/>
      <c r="F538" s="38">
        <f t="shared" si="1"/>
        <v>0</v>
      </c>
      <c r="G538" s="38">
        <f>COUNTIFS(HH_FCSP!$G$18:$G$3617,$E538,HH_FCSP!$F$18:$F$3617,"catapult/crossbow")</f>
        <v>0</v>
      </c>
      <c r="H538" s="38">
        <f>COUNTIFS(HH_FCSP!$G$18:$G$3617,$E538,HH_FCSP!$F$18:$F$3617,"white")</f>
        <v>0</v>
      </c>
    </row>
    <row r="539">
      <c r="A539" s="38"/>
      <c r="B539" s="38">
        <v>0.0</v>
      </c>
      <c r="C539" s="38">
        <v>0.0</v>
      </c>
      <c r="D539" s="38">
        <v>0.0</v>
      </c>
      <c r="E539" s="38"/>
      <c r="F539" s="38">
        <f t="shared" si="1"/>
        <v>0</v>
      </c>
      <c r="G539" s="38">
        <f>COUNTIFS(HH_FCSP!$G$18:$G$3617,$E539,HH_FCSP!$F$18:$F$3617,"catapult/crossbow")</f>
        <v>0</v>
      </c>
      <c r="H539" s="38">
        <f>COUNTIFS(HH_FCSP!$G$18:$G$3617,$E539,HH_FCSP!$F$18:$F$3617,"white")</f>
        <v>0</v>
      </c>
    </row>
    <row r="540">
      <c r="A540" s="38"/>
      <c r="B540" s="38">
        <v>0.0</v>
      </c>
      <c r="C540" s="38">
        <v>0.0</v>
      </c>
      <c r="D540" s="38">
        <v>0.0</v>
      </c>
      <c r="E540" s="38"/>
      <c r="F540" s="38">
        <f t="shared" si="1"/>
        <v>0</v>
      </c>
      <c r="G540" s="38">
        <f>COUNTIFS(HH_FCSP!$G$18:$G$3617,$E540,HH_FCSP!$F$18:$F$3617,"catapult/crossbow")</f>
        <v>0</v>
      </c>
      <c r="H540" s="38">
        <f>COUNTIFS(HH_FCSP!$G$18:$G$3617,$E540,HH_FCSP!$F$18:$F$3617,"white")</f>
        <v>0</v>
      </c>
    </row>
    <row r="541">
      <c r="A541" s="38"/>
      <c r="B541" s="38">
        <v>0.0</v>
      </c>
      <c r="C541" s="38">
        <v>0.0</v>
      </c>
      <c r="D541" s="38">
        <v>0.0</v>
      </c>
      <c r="E541" s="38"/>
      <c r="F541" s="38">
        <f t="shared" si="1"/>
        <v>0</v>
      </c>
      <c r="G541" s="38">
        <f>COUNTIFS(HH_FCSP!$G$18:$G$3617,$E541,HH_FCSP!$F$18:$F$3617,"catapult/crossbow")</f>
        <v>0</v>
      </c>
      <c r="H541" s="38">
        <f>COUNTIFS(HH_FCSP!$G$18:$G$3617,$E541,HH_FCSP!$F$18:$F$3617,"white")</f>
        <v>0</v>
      </c>
    </row>
    <row r="542">
      <c r="A542" s="38"/>
      <c r="B542" s="38">
        <v>0.0</v>
      </c>
      <c r="C542" s="38">
        <v>0.0</v>
      </c>
      <c r="D542" s="38">
        <v>0.0</v>
      </c>
      <c r="E542" s="38"/>
      <c r="F542" s="38">
        <f t="shared" si="1"/>
        <v>0</v>
      </c>
      <c r="G542" s="38">
        <f>COUNTIFS(HH_FCSP!$G$18:$G$3617,$E542,HH_FCSP!$F$18:$F$3617,"catapult/crossbow")</f>
        <v>0</v>
      </c>
      <c r="H542" s="38">
        <f>COUNTIFS(HH_FCSP!$G$18:$G$3617,$E542,HH_FCSP!$F$18:$F$3617,"white")</f>
        <v>0</v>
      </c>
    </row>
    <row r="543">
      <c r="A543" s="38"/>
      <c r="B543" s="38">
        <v>0.0</v>
      </c>
      <c r="C543" s="38">
        <v>0.0</v>
      </c>
      <c r="D543" s="38">
        <v>0.0</v>
      </c>
      <c r="E543" s="38"/>
      <c r="F543" s="38">
        <f t="shared" si="1"/>
        <v>0</v>
      </c>
      <c r="G543" s="38">
        <f>COUNTIFS(HH_FCSP!$G$18:$G$3617,$E543,HH_FCSP!$F$18:$F$3617,"catapult/crossbow")</f>
        <v>0</v>
      </c>
      <c r="H543" s="38">
        <f>COUNTIFS(HH_FCSP!$G$18:$G$3617,$E543,HH_FCSP!$F$18:$F$3617,"white")</f>
        <v>0</v>
      </c>
    </row>
    <row r="544">
      <c r="A544" s="38"/>
      <c r="B544" s="38">
        <v>0.0</v>
      </c>
      <c r="C544" s="38">
        <v>0.0</v>
      </c>
      <c r="D544" s="38">
        <v>0.0</v>
      </c>
      <c r="E544" s="38"/>
      <c r="F544" s="38">
        <f t="shared" si="1"/>
        <v>0</v>
      </c>
      <c r="G544" s="38">
        <f>COUNTIFS(HH_FCSP!$G$18:$G$3617,$E544,HH_FCSP!$F$18:$F$3617,"catapult/crossbow")</f>
        <v>0</v>
      </c>
      <c r="H544" s="38">
        <f>COUNTIFS(HH_FCSP!$G$18:$G$3617,$E544,HH_FCSP!$F$18:$F$3617,"white")</f>
        <v>0</v>
      </c>
    </row>
    <row r="545">
      <c r="A545" s="38"/>
      <c r="B545" s="38">
        <v>0.0</v>
      </c>
      <c r="C545" s="38">
        <v>0.0</v>
      </c>
      <c r="D545" s="38">
        <v>0.0</v>
      </c>
      <c r="E545" s="38"/>
      <c r="F545" s="38">
        <f t="shared" si="1"/>
        <v>0</v>
      </c>
      <c r="G545" s="38">
        <f>COUNTIFS(HH_FCSP!$G$18:$G$3617,$E545,HH_FCSP!$F$18:$F$3617,"catapult/crossbow")</f>
        <v>0</v>
      </c>
      <c r="H545" s="38">
        <f>COUNTIFS(HH_FCSP!$G$18:$G$3617,$E545,HH_FCSP!$F$18:$F$3617,"white")</f>
        <v>0</v>
      </c>
    </row>
    <row r="546">
      <c r="A546" s="38"/>
      <c r="B546" s="38">
        <v>0.0</v>
      </c>
      <c r="C546" s="38">
        <v>0.0</v>
      </c>
      <c r="D546" s="38">
        <v>0.0</v>
      </c>
      <c r="E546" s="38"/>
      <c r="F546" s="38">
        <f t="shared" si="1"/>
        <v>0</v>
      </c>
      <c r="G546" s="38">
        <f>COUNTIFS(HH_FCSP!$G$18:$G$3617,$E546,HH_FCSP!$F$18:$F$3617,"catapult/crossbow")</f>
        <v>0</v>
      </c>
      <c r="H546" s="38">
        <f>COUNTIFS(HH_FCSP!$G$18:$G$3617,$E546,HH_FCSP!$F$18:$F$3617,"white")</f>
        <v>0</v>
      </c>
    </row>
    <row r="547">
      <c r="A547" s="38"/>
      <c r="B547" s="38">
        <v>0.0</v>
      </c>
      <c r="C547" s="38">
        <v>0.0</v>
      </c>
      <c r="D547" s="38">
        <v>0.0</v>
      </c>
      <c r="E547" s="38"/>
      <c r="F547" s="38">
        <f t="shared" si="1"/>
        <v>0</v>
      </c>
      <c r="G547" s="38">
        <f>COUNTIFS(HH_FCSP!$G$18:$G$3617,$E547,HH_FCSP!$F$18:$F$3617,"catapult/crossbow")</f>
        <v>0</v>
      </c>
      <c r="H547" s="38">
        <f>COUNTIFS(HH_FCSP!$G$18:$G$3617,$E547,HH_FCSP!$F$18:$F$3617,"white")</f>
        <v>0</v>
      </c>
    </row>
    <row r="548">
      <c r="A548" s="38"/>
      <c r="B548" s="38">
        <v>0.0</v>
      </c>
      <c r="C548" s="38">
        <v>0.0</v>
      </c>
      <c r="D548" s="38">
        <v>0.0</v>
      </c>
      <c r="E548" s="38"/>
      <c r="F548" s="38">
        <f t="shared" si="1"/>
        <v>0</v>
      </c>
      <c r="G548" s="38">
        <f>COUNTIFS(HH_FCSP!$G$18:$G$3617,$E548,HH_FCSP!$F$18:$F$3617,"catapult/crossbow")</f>
        <v>0</v>
      </c>
      <c r="H548" s="38">
        <f>COUNTIFS(HH_FCSP!$G$18:$G$3617,$E548,HH_FCSP!$F$18:$F$3617,"white")</f>
        <v>0</v>
      </c>
    </row>
    <row r="549">
      <c r="A549" s="38"/>
      <c r="B549" s="38">
        <v>0.0</v>
      </c>
      <c r="C549" s="38">
        <v>0.0</v>
      </c>
      <c r="D549" s="38">
        <v>0.0</v>
      </c>
      <c r="E549" s="38"/>
      <c r="F549" s="38">
        <f t="shared" si="1"/>
        <v>0</v>
      </c>
      <c r="G549" s="38">
        <f>COUNTIFS(HH_FCSP!$G$18:$G$3617,$E549,HH_FCSP!$F$18:$F$3617,"catapult/crossbow")</f>
        <v>0</v>
      </c>
      <c r="H549" s="38">
        <f>COUNTIFS(HH_FCSP!$G$18:$G$3617,$E549,HH_FCSP!$F$18:$F$3617,"white")</f>
        <v>0</v>
      </c>
    </row>
    <row r="550">
      <c r="A550" s="38"/>
      <c r="B550" s="38">
        <v>0.0</v>
      </c>
      <c r="C550" s="38">
        <v>0.0</v>
      </c>
      <c r="D550" s="38">
        <v>0.0</v>
      </c>
      <c r="E550" s="38"/>
      <c r="F550" s="38">
        <f t="shared" si="1"/>
        <v>0</v>
      </c>
      <c r="G550" s="38">
        <f>COUNTIFS(HH_FCSP!$G$18:$G$3617,$E550,HH_FCSP!$F$18:$F$3617,"catapult/crossbow")</f>
        <v>0</v>
      </c>
      <c r="H550" s="38">
        <f>COUNTIFS(HH_FCSP!$G$18:$G$3617,$E550,HH_FCSP!$F$18:$F$3617,"white")</f>
        <v>0</v>
      </c>
    </row>
    <row r="551">
      <c r="A551" s="38"/>
      <c r="B551" s="38">
        <v>0.0</v>
      </c>
      <c r="C551" s="38">
        <v>0.0</v>
      </c>
      <c r="D551" s="38">
        <v>0.0</v>
      </c>
      <c r="E551" s="38"/>
      <c r="F551" s="38">
        <f t="shared" si="1"/>
        <v>0</v>
      </c>
      <c r="G551" s="38">
        <f>COUNTIFS(HH_FCSP!$G$18:$G$3617,$E551,HH_FCSP!$F$18:$F$3617,"catapult/crossbow")</f>
        <v>0</v>
      </c>
      <c r="H551" s="38">
        <f>COUNTIFS(HH_FCSP!$G$18:$G$3617,$E551,HH_FCSP!$F$18:$F$3617,"white")</f>
        <v>0</v>
      </c>
    </row>
    <row r="552">
      <c r="A552" s="38"/>
      <c r="B552" s="38">
        <v>0.0</v>
      </c>
      <c r="C552" s="38">
        <v>0.0</v>
      </c>
      <c r="D552" s="38">
        <v>0.0</v>
      </c>
      <c r="E552" s="38"/>
      <c r="F552" s="38">
        <f t="shared" si="1"/>
        <v>0</v>
      </c>
      <c r="G552" s="38">
        <f>COUNTIFS(HH_FCSP!$G$18:$G$3617,$E552,HH_FCSP!$F$18:$F$3617,"catapult/crossbow")</f>
        <v>0</v>
      </c>
      <c r="H552" s="38">
        <f>COUNTIFS(HH_FCSP!$G$18:$G$3617,$E552,HH_FCSP!$F$18:$F$3617,"white")</f>
        <v>0</v>
      </c>
    </row>
    <row r="553">
      <c r="A553" s="38"/>
      <c r="B553" s="38">
        <v>0.0</v>
      </c>
      <c r="C553" s="38">
        <v>0.0</v>
      </c>
      <c r="D553" s="38">
        <v>0.0</v>
      </c>
      <c r="E553" s="38"/>
      <c r="F553" s="38">
        <f t="shared" si="1"/>
        <v>0</v>
      </c>
      <c r="G553" s="38">
        <f>COUNTIFS(HH_FCSP!$G$18:$G$3617,$E553,HH_FCSP!$F$18:$F$3617,"catapult/crossbow")</f>
        <v>0</v>
      </c>
      <c r="H553" s="38">
        <f>COUNTIFS(HH_FCSP!$G$18:$G$3617,$E553,HH_FCSP!$F$18:$F$3617,"white")</f>
        <v>0</v>
      </c>
    </row>
    <row r="554">
      <c r="A554" s="38"/>
      <c r="B554" s="38">
        <v>0.0</v>
      </c>
      <c r="C554" s="38">
        <v>0.0</v>
      </c>
      <c r="D554" s="38">
        <v>0.0</v>
      </c>
      <c r="E554" s="38"/>
      <c r="F554" s="38">
        <f t="shared" si="1"/>
        <v>0</v>
      </c>
      <c r="G554" s="38">
        <f>COUNTIFS(HH_FCSP!$G$18:$G$3617,$E554,HH_FCSP!$F$18:$F$3617,"catapult/crossbow")</f>
        <v>0</v>
      </c>
      <c r="H554" s="38">
        <f>COUNTIFS(HH_FCSP!$G$18:$G$3617,$E554,HH_FCSP!$F$18:$F$3617,"white")</f>
        <v>0</v>
      </c>
    </row>
    <row r="555">
      <c r="A555" s="38"/>
      <c r="B555" s="38">
        <v>0.0</v>
      </c>
      <c r="C555" s="38">
        <v>0.0</v>
      </c>
      <c r="D555" s="38">
        <v>0.0</v>
      </c>
      <c r="E555" s="38"/>
      <c r="F555" s="38">
        <f t="shared" si="1"/>
        <v>0</v>
      </c>
      <c r="G555" s="38">
        <f>COUNTIFS(HH_FCSP!$G$18:$G$3617,$E555,HH_FCSP!$F$18:$F$3617,"catapult/crossbow")</f>
        <v>0</v>
      </c>
      <c r="H555" s="38">
        <f>COUNTIFS(HH_FCSP!$G$18:$G$3617,$E555,HH_FCSP!$F$18:$F$3617,"white")</f>
        <v>0</v>
      </c>
    </row>
    <row r="556">
      <c r="A556" s="38"/>
      <c r="B556" s="38">
        <v>0.0</v>
      </c>
      <c r="C556" s="38">
        <v>0.0</v>
      </c>
      <c r="D556" s="38">
        <v>0.0</v>
      </c>
      <c r="E556" s="38"/>
      <c r="F556" s="38">
        <f t="shared" si="1"/>
        <v>0</v>
      </c>
      <c r="G556" s="38">
        <f>COUNTIFS(HH_FCSP!$G$18:$G$3617,$E556,HH_FCSP!$F$18:$F$3617,"catapult/crossbow")</f>
        <v>0</v>
      </c>
      <c r="H556" s="38">
        <f>COUNTIFS(HH_FCSP!$G$18:$G$3617,$E556,HH_FCSP!$F$18:$F$3617,"white")</f>
        <v>0</v>
      </c>
    </row>
    <row r="557">
      <c r="A557" s="38"/>
      <c r="B557" s="38">
        <v>0.0</v>
      </c>
      <c r="C557" s="38">
        <v>0.0</v>
      </c>
      <c r="D557" s="38">
        <v>0.0</v>
      </c>
      <c r="E557" s="38"/>
      <c r="F557" s="38">
        <f t="shared" si="1"/>
        <v>0</v>
      </c>
      <c r="G557" s="38">
        <f>COUNTIFS(HH_FCSP!$G$18:$G$3617,$E557,HH_FCSP!$F$18:$F$3617,"catapult/crossbow")</f>
        <v>0</v>
      </c>
      <c r="H557" s="38">
        <f>COUNTIFS(HH_FCSP!$G$18:$G$3617,$E557,HH_FCSP!$F$18:$F$3617,"white")</f>
        <v>0</v>
      </c>
    </row>
    <row r="558">
      <c r="A558" s="38"/>
      <c r="B558" s="38">
        <v>0.0</v>
      </c>
      <c r="C558" s="38">
        <v>0.0</v>
      </c>
      <c r="D558" s="38">
        <v>0.0</v>
      </c>
      <c r="E558" s="38"/>
      <c r="F558" s="38">
        <f t="shared" si="1"/>
        <v>0</v>
      </c>
      <c r="G558" s="38">
        <f>COUNTIFS(HH_FCSP!$G$18:$G$3617,$E558,HH_FCSP!$F$18:$F$3617,"catapult/crossbow")</f>
        <v>0</v>
      </c>
      <c r="H558" s="38">
        <f>COUNTIFS(HH_FCSP!$G$18:$G$3617,$E558,HH_FCSP!$F$18:$F$3617,"white")</f>
        <v>0</v>
      </c>
    </row>
    <row r="559">
      <c r="A559" s="38"/>
      <c r="B559" s="38">
        <v>0.0</v>
      </c>
      <c r="C559" s="38">
        <v>0.0</v>
      </c>
      <c r="D559" s="38">
        <v>0.0</v>
      </c>
      <c r="E559" s="38"/>
      <c r="F559" s="38">
        <f t="shared" si="1"/>
        <v>0</v>
      </c>
      <c r="G559" s="38">
        <f>COUNTIFS(HH_FCSP!$G$18:$G$3617,$E559,HH_FCSP!$F$18:$F$3617,"catapult/crossbow")</f>
        <v>0</v>
      </c>
      <c r="H559" s="38">
        <f>COUNTIFS(HH_FCSP!$G$18:$G$3617,$E559,HH_FCSP!$F$18:$F$3617,"white")</f>
        <v>0</v>
      </c>
    </row>
    <row r="560">
      <c r="A560" s="38"/>
      <c r="B560" s="38">
        <v>0.0</v>
      </c>
      <c r="C560" s="38">
        <v>0.0</v>
      </c>
      <c r="D560" s="38">
        <v>0.0</v>
      </c>
      <c r="E560" s="38"/>
      <c r="F560" s="38">
        <f t="shared" si="1"/>
        <v>0</v>
      </c>
      <c r="G560" s="38">
        <f>COUNTIFS(HH_FCSP!$G$18:$G$3617,$E560,HH_FCSP!$F$18:$F$3617,"catapult/crossbow")</f>
        <v>0</v>
      </c>
      <c r="H560" s="38">
        <f>COUNTIFS(HH_FCSP!$G$18:$G$3617,$E560,HH_FCSP!$F$18:$F$3617,"white")</f>
        <v>0</v>
      </c>
    </row>
    <row r="561">
      <c r="A561" s="38"/>
      <c r="B561" s="38">
        <v>0.0</v>
      </c>
      <c r="C561" s="38">
        <v>0.0</v>
      </c>
      <c r="D561" s="38">
        <v>0.0</v>
      </c>
      <c r="E561" s="38"/>
      <c r="F561" s="38">
        <f t="shared" si="1"/>
        <v>0</v>
      </c>
      <c r="G561" s="38">
        <f>COUNTIFS(HH_FCSP!$G$18:$G$3617,$E561,HH_FCSP!$F$18:$F$3617,"catapult/crossbow")</f>
        <v>0</v>
      </c>
      <c r="H561" s="38">
        <f>COUNTIFS(HH_FCSP!$G$18:$G$3617,$E561,HH_FCSP!$F$18:$F$3617,"white")</f>
        <v>0</v>
      </c>
    </row>
    <row r="562">
      <c r="A562" s="38"/>
      <c r="B562" s="38">
        <v>0.0</v>
      </c>
      <c r="C562" s="38">
        <v>0.0</v>
      </c>
      <c r="D562" s="38">
        <v>0.0</v>
      </c>
      <c r="E562" s="38"/>
      <c r="F562" s="38">
        <f t="shared" si="1"/>
        <v>0</v>
      </c>
      <c r="G562" s="38">
        <f>COUNTIFS(HH_FCSP!$G$18:$G$3617,$E562,HH_FCSP!$F$18:$F$3617,"catapult/crossbow")</f>
        <v>0</v>
      </c>
      <c r="H562" s="38">
        <f>COUNTIFS(HH_FCSP!$G$18:$G$3617,$E562,HH_FCSP!$F$18:$F$3617,"white")</f>
        <v>0</v>
      </c>
    </row>
    <row r="563">
      <c r="A563" s="38"/>
      <c r="B563" s="38">
        <v>0.0</v>
      </c>
      <c r="C563" s="38">
        <v>0.0</v>
      </c>
      <c r="D563" s="38">
        <v>0.0</v>
      </c>
      <c r="E563" s="38"/>
      <c r="F563" s="38">
        <f t="shared" si="1"/>
        <v>0</v>
      </c>
      <c r="G563" s="38">
        <f>COUNTIFS(HH_FCSP!$G$18:$G$3617,$E563,HH_FCSP!$F$18:$F$3617,"catapult/crossbow")</f>
        <v>0</v>
      </c>
      <c r="H563" s="38">
        <f>COUNTIFS(HH_FCSP!$G$18:$G$3617,$E563,HH_FCSP!$F$18:$F$3617,"white")</f>
        <v>0</v>
      </c>
    </row>
    <row r="564">
      <c r="A564" s="38"/>
      <c r="B564" s="38">
        <v>0.0</v>
      </c>
      <c r="C564" s="38">
        <v>0.0</v>
      </c>
      <c r="D564" s="38">
        <v>0.0</v>
      </c>
      <c r="E564" s="38"/>
      <c r="F564" s="38">
        <f t="shared" si="1"/>
        <v>0</v>
      </c>
      <c r="G564" s="38">
        <f>COUNTIFS(HH_FCSP!$G$18:$G$3617,$E564,HH_FCSP!$F$18:$F$3617,"catapult/crossbow")</f>
        <v>0</v>
      </c>
      <c r="H564" s="38">
        <f>COUNTIFS(HH_FCSP!$G$18:$G$3617,$E564,HH_FCSP!$F$18:$F$3617,"white")</f>
        <v>0</v>
      </c>
    </row>
    <row r="565">
      <c r="A565" s="38"/>
      <c r="B565" s="38">
        <v>0.0</v>
      </c>
      <c r="C565" s="38">
        <v>0.0</v>
      </c>
      <c r="D565" s="38">
        <v>0.0</v>
      </c>
      <c r="E565" s="38"/>
      <c r="F565" s="38">
        <f t="shared" si="1"/>
        <v>0</v>
      </c>
      <c r="G565" s="38">
        <f>COUNTIFS(HH_FCSP!$G$18:$G$3617,$E565,HH_FCSP!$F$18:$F$3617,"catapult/crossbow")</f>
        <v>0</v>
      </c>
      <c r="H565" s="38">
        <f>COUNTIFS(HH_FCSP!$G$18:$G$3617,$E565,HH_FCSP!$F$18:$F$3617,"white")</f>
        <v>0</v>
      </c>
    </row>
    <row r="566">
      <c r="A566" s="38"/>
      <c r="B566" s="38">
        <v>0.0</v>
      </c>
      <c r="C566" s="38">
        <v>0.0</v>
      </c>
      <c r="D566" s="38">
        <v>0.0</v>
      </c>
      <c r="E566" s="38"/>
      <c r="F566" s="38">
        <f t="shared" si="1"/>
        <v>0</v>
      </c>
      <c r="G566" s="38">
        <f>COUNTIFS(HH_FCSP!$G$18:$G$3617,$E566,HH_FCSP!$F$18:$F$3617,"catapult/crossbow")</f>
        <v>0</v>
      </c>
      <c r="H566" s="38">
        <f>COUNTIFS(HH_FCSP!$G$18:$G$3617,$E566,HH_FCSP!$F$18:$F$3617,"white")</f>
        <v>0</v>
      </c>
    </row>
    <row r="567">
      <c r="A567" s="38"/>
      <c r="B567" s="38">
        <v>0.0</v>
      </c>
      <c r="C567" s="38">
        <v>0.0</v>
      </c>
      <c r="D567" s="38">
        <v>0.0</v>
      </c>
      <c r="E567" s="38"/>
      <c r="F567" s="38">
        <f t="shared" si="1"/>
        <v>0</v>
      </c>
      <c r="G567" s="38">
        <f>COUNTIFS(HH_FCSP!$G$18:$G$3617,$E567,HH_FCSP!$F$18:$F$3617,"catapult/crossbow")</f>
        <v>0</v>
      </c>
      <c r="H567" s="38">
        <f>COUNTIFS(HH_FCSP!$G$18:$G$3617,$E567,HH_FCSP!$F$18:$F$3617,"white")</f>
        <v>0</v>
      </c>
    </row>
    <row r="568">
      <c r="A568" s="38"/>
      <c r="B568" s="38">
        <v>0.0</v>
      </c>
      <c r="C568" s="38">
        <v>0.0</v>
      </c>
      <c r="D568" s="38">
        <v>0.0</v>
      </c>
      <c r="E568" s="38"/>
      <c r="F568" s="38">
        <f t="shared" si="1"/>
        <v>0</v>
      </c>
      <c r="G568" s="38">
        <f>COUNTIFS(HH_FCSP!$G$18:$G$3617,$E568,HH_FCSP!$F$18:$F$3617,"catapult/crossbow")</f>
        <v>0</v>
      </c>
      <c r="H568" s="38">
        <f>COUNTIFS(HH_FCSP!$G$18:$G$3617,$E568,HH_FCSP!$F$18:$F$3617,"white")</f>
        <v>0</v>
      </c>
    </row>
    <row r="569">
      <c r="A569" s="38"/>
      <c r="B569" s="38">
        <v>0.0</v>
      </c>
      <c r="C569" s="38">
        <v>0.0</v>
      </c>
      <c r="D569" s="38">
        <v>0.0</v>
      </c>
      <c r="E569" s="38"/>
      <c r="F569" s="38">
        <f t="shared" si="1"/>
        <v>0</v>
      </c>
      <c r="G569" s="38">
        <f>COUNTIFS(HH_FCSP!$G$18:$G$3617,$E569,HH_FCSP!$F$18:$F$3617,"catapult/crossbow")</f>
        <v>0</v>
      </c>
      <c r="H569" s="38">
        <f>COUNTIFS(HH_FCSP!$G$18:$G$3617,$E569,HH_FCSP!$F$18:$F$3617,"white")</f>
        <v>0</v>
      </c>
    </row>
    <row r="570">
      <c r="A570" s="38"/>
      <c r="B570" s="38">
        <v>0.0</v>
      </c>
      <c r="C570" s="38">
        <v>0.0</v>
      </c>
      <c r="D570" s="38">
        <v>0.0</v>
      </c>
      <c r="E570" s="38"/>
      <c r="F570" s="38">
        <f t="shared" si="1"/>
        <v>0</v>
      </c>
      <c r="G570" s="38">
        <f>COUNTIFS(HH_FCSP!$G$18:$G$3617,$E570,HH_FCSP!$F$18:$F$3617,"catapult/crossbow")</f>
        <v>0</v>
      </c>
      <c r="H570" s="38">
        <f>COUNTIFS(HH_FCSP!$G$18:$G$3617,$E570,HH_FCSP!$F$18:$F$3617,"white")</f>
        <v>0</v>
      </c>
    </row>
    <row r="571">
      <c r="A571" s="38"/>
      <c r="B571" s="38">
        <v>0.0</v>
      </c>
      <c r="C571" s="38">
        <v>0.0</v>
      </c>
      <c r="D571" s="38">
        <v>0.0</v>
      </c>
      <c r="E571" s="38"/>
      <c r="F571" s="38">
        <f t="shared" si="1"/>
        <v>0</v>
      </c>
      <c r="G571" s="38">
        <f>COUNTIFS(HH_FCSP!$G$18:$G$3617,$E571,HH_FCSP!$F$18:$F$3617,"catapult/crossbow")</f>
        <v>0</v>
      </c>
      <c r="H571" s="38">
        <f>COUNTIFS(HH_FCSP!$G$18:$G$3617,$E571,HH_FCSP!$F$18:$F$3617,"white")</f>
        <v>0</v>
      </c>
    </row>
    <row r="572">
      <c r="A572" s="38"/>
      <c r="B572" s="38">
        <v>0.0</v>
      </c>
      <c r="C572" s="38">
        <v>0.0</v>
      </c>
      <c r="D572" s="38">
        <v>0.0</v>
      </c>
      <c r="E572" s="38"/>
      <c r="F572" s="38">
        <f t="shared" si="1"/>
        <v>0</v>
      </c>
      <c r="G572" s="38">
        <f>COUNTIFS(HH_FCSP!$G$18:$G$3617,$E572,HH_FCSP!$F$18:$F$3617,"catapult/crossbow")</f>
        <v>0</v>
      </c>
      <c r="H572" s="38">
        <f>COUNTIFS(HH_FCSP!$G$18:$G$3617,$E572,HH_FCSP!$F$18:$F$3617,"white")</f>
        <v>0</v>
      </c>
    </row>
    <row r="573">
      <c r="A573" s="38"/>
      <c r="B573" s="38">
        <v>0.0</v>
      </c>
      <c r="C573" s="38">
        <v>0.0</v>
      </c>
      <c r="D573" s="38">
        <v>0.0</v>
      </c>
      <c r="E573" s="38"/>
      <c r="F573" s="38">
        <f t="shared" si="1"/>
        <v>0</v>
      </c>
      <c r="G573" s="38">
        <f>COUNTIFS(HH_FCSP!$G$18:$G$3617,$E573,HH_FCSP!$F$18:$F$3617,"catapult/crossbow")</f>
        <v>0</v>
      </c>
      <c r="H573" s="38">
        <f>COUNTIFS(HH_FCSP!$G$18:$G$3617,$E573,HH_FCSP!$F$18:$F$3617,"white")</f>
        <v>0</v>
      </c>
    </row>
    <row r="574">
      <c r="A574" s="38"/>
      <c r="B574" s="38">
        <v>0.0</v>
      </c>
      <c r="C574" s="38">
        <v>0.0</v>
      </c>
      <c r="D574" s="38">
        <v>0.0</v>
      </c>
      <c r="E574" s="38"/>
      <c r="F574" s="38">
        <f t="shared" si="1"/>
        <v>0</v>
      </c>
      <c r="G574" s="38">
        <f>COUNTIFS(HH_FCSP!$G$18:$G$3617,$E574,HH_FCSP!$F$18:$F$3617,"catapult/crossbow")</f>
        <v>0</v>
      </c>
      <c r="H574" s="38">
        <f>COUNTIFS(HH_FCSP!$G$18:$G$3617,$E574,HH_FCSP!$F$18:$F$3617,"white")</f>
        <v>0</v>
      </c>
    </row>
    <row r="575">
      <c r="A575" s="38"/>
      <c r="B575" s="38">
        <v>0.0</v>
      </c>
      <c r="C575" s="38">
        <v>0.0</v>
      </c>
      <c r="D575" s="38">
        <v>0.0</v>
      </c>
      <c r="E575" s="38"/>
      <c r="F575" s="38">
        <f t="shared" si="1"/>
        <v>0</v>
      </c>
      <c r="G575" s="38">
        <f>COUNTIFS(HH_FCSP!$G$18:$G$3617,$E575,HH_FCSP!$F$18:$F$3617,"catapult/crossbow")</f>
        <v>0</v>
      </c>
      <c r="H575" s="38">
        <f>COUNTIFS(HH_FCSP!$G$18:$G$3617,$E575,HH_FCSP!$F$18:$F$3617,"white")</f>
        <v>0</v>
      </c>
    </row>
    <row r="576">
      <c r="A576" s="38"/>
      <c r="B576" s="38">
        <v>0.0</v>
      </c>
      <c r="C576" s="38">
        <v>0.0</v>
      </c>
      <c r="D576" s="38">
        <v>0.0</v>
      </c>
      <c r="E576" s="38"/>
      <c r="F576" s="38">
        <f t="shared" si="1"/>
        <v>0</v>
      </c>
      <c r="G576" s="38">
        <f>COUNTIFS(HH_FCSP!$G$18:$G$3617,$E576,HH_FCSP!$F$18:$F$3617,"catapult/crossbow")</f>
        <v>0</v>
      </c>
      <c r="H576" s="38">
        <f>COUNTIFS(HH_FCSP!$G$18:$G$3617,$E576,HH_FCSP!$F$18:$F$3617,"white")</f>
        <v>0</v>
      </c>
    </row>
    <row r="577">
      <c r="A577" s="38"/>
      <c r="B577" s="38">
        <v>0.0</v>
      </c>
      <c r="C577" s="38">
        <v>0.0</v>
      </c>
      <c r="D577" s="38">
        <v>0.0</v>
      </c>
      <c r="E577" s="38"/>
      <c r="F577" s="38">
        <f t="shared" si="1"/>
        <v>0</v>
      </c>
      <c r="G577" s="38">
        <f>COUNTIFS(HH_FCSP!$G$18:$G$3617,$E577,HH_FCSP!$F$18:$F$3617,"catapult/crossbow")</f>
        <v>0</v>
      </c>
      <c r="H577" s="38">
        <f>COUNTIFS(HH_FCSP!$G$18:$G$3617,$E577,HH_FCSP!$F$18:$F$3617,"white")</f>
        <v>0</v>
      </c>
    </row>
    <row r="578">
      <c r="A578" s="38"/>
      <c r="B578" s="38">
        <v>0.0</v>
      </c>
      <c r="C578" s="38">
        <v>0.0</v>
      </c>
      <c r="D578" s="38">
        <v>0.0</v>
      </c>
      <c r="E578" s="38"/>
      <c r="F578" s="38">
        <f t="shared" si="1"/>
        <v>0</v>
      </c>
      <c r="G578" s="38">
        <f>COUNTIFS(HH_FCSP!$G$18:$G$3617,$E578,HH_FCSP!$F$18:$F$3617,"catapult/crossbow")</f>
        <v>0</v>
      </c>
      <c r="H578" s="38">
        <f>COUNTIFS(HH_FCSP!$G$18:$G$3617,$E578,HH_FCSP!$F$18:$F$3617,"white")</f>
        <v>0</v>
      </c>
    </row>
    <row r="579">
      <c r="A579" s="38"/>
      <c r="B579" s="38">
        <v>0.0</v>
      </c>
      <c r="C579" s="38">
        <v>0.0</v>
      </c>
      <c r="D579" s="38">
        <v>0.0</v>
      </c>
      <c r="E579" s="38"/>
      <c r="F579" s="38">
        <f t="shared" si="1"/>
        <v>0</v>
      </c>
      <c r="G579" s="38">
        <f>COUNTIFS(HH_FCSP!$G$18:$G$3617,$E579,HH_FCSP!$F$18:$F$3617,"catapult/crossbow")</f>
        <v>0</v>
      </c>
      <c r="H579" s="38">
        <f>COUNTIFS(HH_FCSP!$G$18:$G$3617,$E579,HH_FCSP!$F$18:$F$3617,"white")</f>
        <v>0</v>
      </c>
    </row>
    <row r="580">
      <c r="A580" s="38"/>
      <c r="B580" s="38">
        <v>0.0</v>
      </c>
      <c r="C580" s="38">
        <v>0.0</v>
      </c>
      <c r="D580" s="38">
        <v>0.0</v>
      </c>
      <c r="E580" s="38"/>
      <c r="F580" s="38">
        <f t="shared" si="1"/>
        <v>0</v>
      </c>
      <c r="G580" s="38">
        <f>COUNTIFS(HH_FCSP!$G$18:$G$3617,$E580,HH_FCSP!$F$18:$F$3617,"catapult/crossbow")</f>
        <v>0</v>
      </c>
      <c r="H580" s="38">
        <f>COUNTIFS(HH_FCSP!$G$18:$G$3617,$E580,HH_FCSP!$F$18:$F$3617,"white")</f>
        <v>0</v>
      </c>
    </row>
    <row r="581">
      <c r="A581" s="38"/>
      <c r="B581" s="38">
        <v>0.0</v>
      </c>
      <c r="C581" s="38">
        <v>0.0</v>
      </c>
      <c r="D581" s="38">
        <v>0.0</v>
      </c>
      <c r="E581" s="38"/>
      <c r="F581" s="38">
        <f t="shared" si="1"/>
        <v>0</v>
      </c>
      <c r="G581" s="38">
        <f>COUNTIFS(HH_FCSP!$G$18:$G$3617,$E581,HH_FCSP!$F$18:$F$3617,"catapult/crossbow")</f>
        <v>0</v>
      </c>
      <c r="H581" s="38">
        <f>COUNTIFS(HH_FCSP!$G$18:$G$3617,$E581,HH_FCSP!$F$18:$F$3617,"white")</f>
        <v>0</v>
      </c>
    </row>
    <row r="582">
      <c r="A582" s="38"/>
      <c r="B582" s="38">
        <v>0.0</v>
      </c>
      <c r="C582" s="38">
        <v>0.0</v>
      </c>
      <c r="D582" s="38">
        <v>0.0</v>
      </c>
      <c r="E582" s="38"/>
      <c r="F582" s="38">
        <f t="shared" si="1"/>
        <v>0</v>
      </c>
      <c r="G582" s="38">
        <f>COUNTIFS(HH_FCSP!$G$18:$G$3617,$E582,HH_FCSP!$F$18:$F$3617,"catapult/crossbow")</f>
        <v>0</v>
      </c>
      <c r="H582" s="38">
        <f>COUNTIFS(HH_FCSP!$G$18:$G$3617,$E582,HH_FCSP!$F$18:$F$3617,"white")</f>
        <v>0</v>
      </c>
    </row>
    <row r="583">
      <c r="A583" s="38"/>
      <c r="B583" s="38">
        <v>0.0</v>
      </c>
      <c r="C583" s="38">
        <v>0.0</v>
      </c>
      <c r="D583" s="38">
        <v>0.0</v>
      </c>
      <c r="E583" s="38"/>
      <c r="F583" s="38">
        <f t="shared" si="1"/>
        <v>0</v>
      </c>
      <c r="G583" s="38">
        <f>COUNTIFS(HH_FCSP!$G$18:$G$3617,$E583,HH_FCSP!$F$18:$F$3617,"catapult/crossbow")</f>
        <v>0</v>
      </c>
      <c r="H583" s="38">
        <f>COUNTIFS(HH_FCSP!$G$18:$G$3617,$E583,HH_FCSP!$F$18:$F$3617,"white")</f>
        <v>0</v>
      </c>
    </row>
    <row r="584">
      <c r="A584" s="38"/>
      <c r="B584" s="38">
        <v>0.0</v>
      </c>
      <c r="C584" s="38">
        <v>0.0</v>
      </c>
      <c r="D584" s="38">
        <v>0.0</v>
      </c>
      <c r="E584" s="38"/>
      <c r="F584" s="38">
        <f t="shared" si="1"/>
        <v>0</v>
      </c>
      <c r="G584" s="38">
        <f>COUNTIFS(HH_FCSP!$G$18:$G$3617,$E584,HH_FCSP!$F$18:$F$3617,"catapult/crossbow")</f>
        <v>0</v>
      </c>
      <c r="H584" s="38">
        <f>COUNTIFS(HH_FCSP!$G$18:$G$3617,$E584,HH_FCSP!$F$18:$F$3617,"white")</f>
        <v>0</v>
      </c>
    </row>
    <row r="585">
      <c r="A585" s="38"/>
      <c r="B585" s="38">
        <v>0.0</v>
      </c>
      <c r="C585" s="38">
        <v>0.0</v>
      </c>
      <c r="D585" s="38">
        <v>0.0</v>
      </c>
      <c r="E585" s="38"/>
      <c r="F585" s="38">
        <f t="shared" si="1"/>
        <v>0</v>
      </c>
      <c r="G585" s="38">
        <f>COUNTIFS(HH_FCSP!$G$18:$G$3617,$E585,HH_FCSP!$F$18:$F$3617,"catapult/crossbow")</f>
        <v>0</v>
      </c>
      <c r="H585" s="38">
        <f>COUNTIFS(HH_FCSP!$G$18:$G$3617,$E585,HH_FCSP!$F$18:$F$3617,"white")</f>
        <v>0</v>
      </c>
    </row>
    <row r="586">
      <c r="A586" s="38"/>
      <c r="B586" s="38">
        <v>0.0</v>
      </c>
      <c r="C586" s="38">
        <v>0.0</v>
      </c>
      <c r="D586" s="38">
        <v>0.0</v>
      </c>
      <c r="E586" s="38"/>
      <c r="F586" s="38">
        <f t="shared" si="1"/>
        <v>0</v>
      </c>
      <c r="G586" s="38">
        <f>COUNTIFS(HH_FCSP!$G$18:$G$3617,$E586,HH_FCSP!$F$18:$F$3617,"catapult/crossbow")</f>
        <v>0</v>
      </c>
      <c r="H586" s="38">
        <f>COUNTIFS(HH_FCSP!$G$18:$G$3617,$E586,HH_FCSP!$F$18:$F$3617,"white")</f>
        <v>0</v>
      </c>
    </row>
    <row r="587">
      <c r="A587" s="38"/>
      <c r="B587" s="38">
        <v>0.0</v>
      </c>
      <c r="C587" s="38">
        <v>0.0</v>
      </c>
      <c r="D587" s="38">
        <v>0.0</v>
      </c>
      <c r="E587" s="38"/>
      <c r="F587" s="38">
        <f t="shared" si="1"/>
        <v>0</v>
      </c>
      <c r="G587" s="38">
        <f>COUNTIFS(HH_FCSP!$G$18:$G$3617,$E587,HH_FCSP!$F$18:$F$3617,"catapult/crossbow")</f>
        <v>0</v>
      </c>
      <c r="H587" s="38">
        <f>COUNTIFS(HH_FCSP!$G$18:$G$3617,$E587,HH_FCSP!$F$18:$F$3617,"white")</f>
        <v>0</v>
      </c>
    </row>
    <row r="588">
      <c r="A588" s="38"/>
      <c r="B588" s="38">
        <v>0.0</v>
      </c>
      <c r="C588" s="38">
        <v>0.0</v>
      </c>
      <c r="D588" s="38">
        <v>0.0</v>
      </c>
      <c r="E588" s="38"/>
      <c r="F588" s="38">
        <f t="shared" si="1"/>
        <v>0</v>
      </c>
      <c r="G588" s="38">
        <f>COUNTIFS(HH_FCSP!$G$18:$G$3617,$E588,HH_FCSP!$F$18:$F$3617,"catapult/crossbow")</f>
        <v>0</v>
      </c>
      <c r="H588" s="38">
        <f>COUNTIFS(HH_FCSP!$G$18:$G$3617,$E588,HH_FCSP!$F$18:$F$3617,"white")</f>
        <v>0</v>
      </c>
    </row>
    <row r="589">
      <c r="A589" s="38"/>
      <c r="B589" s="38">
        <v>0.0</v>
      </c>
      <c r="C589" s="38">
        <v>0.0</v>
      </c>
      <c r="D589" s="38">
        <v>0.0</v>
      </c>
      <c r="E589" s="38"/>
      <c r="F589" s="38">
        <f t="shared" si="1"/>
        <v>0</v>
      </c>
      <c r="G589" s="38">
        <f>COUNTIFS(HH_FCSP!$G$18:$G$3617,$E589,HH_FCSP!$F$18:$F$3617,"catapult/crossbow")</f>
        <v>0</v>
      </c>
      <c r="H589" s="38">
        <f>COUNTIFS(HH_FCSP!$G$18:$G$3617,$E589,HH_FCSP!$F$18:$F$3617,"white")</f>
        <v>0</v>
      </c>
    </row>
    <row r="590">
      <c r="A590" s="38"/>
      <c r="B590" s="38">
        <v>0.0</v>
      </c>
      <c r="C590" s="38">
        <v>0.0</v>
      </c>
      <c r="D590" s="38">
        <v>0.0</v>
      </c>
      <c r="E590" s="38"/>
      <c r="F590" s="38">
        <f t="shared" si="1"/>
        <v>0</v>
      </c>
      <c r="G590" s="38">
        <f>COUNTIFS(HH_FCSP!$G$18:$G$3617,$E590,HH_FCSP!$F$18:$F$3617,"catapult/crossbow")</f>
        <v>0</v>
      </c>
      <c r="H590" s="38">
        <f>COUNTIFS(HH_FCSP!$G$18:$G$3617,$E590,HH_FCSP!$F$18:$F$3617,"white")</f>
        <v>0</v>
      </c>
    </row>
    <row r="591">
      <c r="A591" s="38"/>
      <c r="B591" s="38">
        <v>0.0</v>
      </c>
      <c r="C591" s="38">
        <v>0.0</v>
      </c>
      <c r="D591" s="38">
        <v>0.0</v>
      </c>
      <c r="E591" s="38"/>
      <c r="F591" s="38">
        <f t="shared" si="1"/>
        <v>0</v>
      </c>
      <c r="G591" s="38">
        <f>COUNTIFS(HH_FCSP!$G$18:$G$3617,$E591,HH_FCSP!$F$18:$F$3617,"catapult/crossbow")</f>
        <v>0</v>
      </c>
      <c r="H591" s="38">
        <f>COUNTIFS(HH_FCSP!$G$18:$G$3617,$E591,HH_FCSP!$F$18:$F$3617,"white")</f>
        <v>0</v>
      </c>
    </row>
    <row r="592">
      <c r="A592" s="38"/>
      <c r="B592" s="38">
        <v>0.0</v>
      </c>
      <c r="C592" s="38">
        <v>0.0</v>
      </c>
      <c r="D592" s="38">
        <v>0.0</v>
      </c>
      <c r="E592" s="38"/>
      <c r="F592" s="38">
        <f t="shared" si="1"/>
        <v>0</v>
      </c>
      <c r="G592" s="38">
        <f>COUNTIFS(HH_FCSP!$G$18:$G$3617,$E592,HH_FCSP!$F$18:$F$3617,"catapult/crossbow")</f>
        <v>0</v>
      </c>
      <c r="H592" s="38">
        <f>COUNTIFS(HH_FCSP!$G$18:$G$3617,$E592,HH_FCSP!$F$18:$F$3617,"white")</f>
        <v>0</v>
      </c>
    </row>
    <row r="593">
      <c r="A593" s="38"/>
      <c r="B593" s="38">
        <v>0.0</v>
      </c>
      <c r="C593" s="38">
        <v>0.0</v>
      </c>
      <c r="D593" s="38">
        <v>0.0</v>
      </c>
      <c r="E593" s="38"/>
      <c r="F593" s="38">
        <f t="shared" si="1"/>
        <v>0</v>
      </c>
      <c r="G593" s="38">
        <f>COUNTIFS(HH_FCSP!$G$18:$G$3617,$E593,HH_FCSP!$F$18:$F$3617,"catapult/crossbow")</f>
        <v>0</v>
      </c>
      <c r="H593" s="38">
        <f>COUNTIFS(HH_FCSP!$G$18:$G$3617,$E593,HH_FCSP!$F$18:$F$3617,"white")</f>
        <v>0</v>
      </c>
    </row>
    <row r="594">
      <c r="A594" s="38"/>
      <c r="B594" s="38">
        <v>0.0</v>
      </c>
      <c r="C594" s="38">
        <v>0.0</v>
      </c>
      <c r="D594" s="38">
        <v>0.0</v>
      </c>
      <c r="E594" s="38"/>
      <c r="F594" s="38">
        <f t="shared" si="1"/>
        <v>0</v>
      </c>
      <c r="G594" s="38">
        <f>COUNTIFS(HH_FCSP!$G$18:$G$3617,$E594,HH_FCSP!$F$18:$F$3617,"catapult/crossbow")</f>
        <v>0</v>
      </c>
      <c r="H594" s="38">
        <f>COUNTIFS(HH_FCSP!$G$18:$G$3617,$E594,HH_FCSP!$F$18:$F$3617,"white")</f>
        <v>0</v>
      </c>
    </row>
    <row r="595">
      <c r="A595" s="38"/>
      <c r="B595" s="38">
        <v>0.0</v>
      </c>
      <c r="C595" s="38">
        <v>0.0</v>
      </c>
      <c r="D595" s="38">
        <v>0.0</v>
      </c>
      <c r="E595" s="38"/>
      <c r="F595" s="38">
        <f t="shared" si="1"/>
        <v>0</v>
      </c>
      <c r="G595" s="38">
        <f>COUNTIFS(HH_FCSP!$G$18:$G$3617,$E595,HH_FCSP!$F$18:$F$3617,"catapult/crossbow")</f>
        <v>0</v>
      </c>
      <c r="H595" s="38">
        <f>COUNTIFS(HH_FCSP!$G$18:$G$3617,$E595,HH_FCSP!$F$18:$F$3617,"white")</f>
        <v>0</v>
      </c>
    </row>
    <row r="596">
      <c r="A596" s="38"/>
      <c r="B596" s="38">
        <v>0.0</v>
      </c>
      <c r="C596" s="38">
        <v>0.0</v>
      </c>
      <c r="D596" s="38">
        <v>0.0</v>
      </c>
      <c r="E596" s="38"/>
      <c r="F596" s="38">
        <f t="shared" si="1"/>
        <v>0</v>
      </c>
      <c r="G596" s="38">
        <f>COUNTIFS(HH_FCSP!$G$18:$G$3617,$E596,HH_FCSP!$F$18:$F$3617,"catapult/crossbow")</f>
        <v>0</v>
      </c>
      <c r="H596" s="38">
        <f>COUNTIFS(HH_FCSP!$G$18:$G$3617,$E596,HH_FCSP!$F$18:$F$3617,"white")</f>
        <v>0</v>
      </c>
    </row>
    <row r="597">
      <c r="A597" s="38"/>
      <c r="B597" s="38">
        <v>0.0</v>
      </c>
      <c r="C597" s="38">
        <v>0.0</v>
      </c>
      <c r="D597" s="38">
        <v>0.0</v>
      </c>
      <c r="E597" s="38"/>
      <c r="F597" s="38">
        <f t="shared" si="1"/>
        <v>0</v>
      </c>
      <c r="G597" s="38">
        <f>COUNTIFS(HH_FCSP!$G$18:$G$3617,$E597,HH_FCSP!$F$18:$F$3617,"catapult/crossbow")</f>
        <v>0</v>
      </c>
      <c r="H597" s="38">
        <f>COUNTIFS(HH_FCSP!$G$18:$G$3617,$E597,HH_FCSP!$F$18:$F$3617,"white")</f>
        <v>0</v>
      </c>
    </row>
    <row r="598">
      <c r="A598" s="38"/>
      <c r="B598" s="38">
        <v>0.0</v>
      </c>
      <c r="C598" s="38">
        <v>0.0</v>
      </c>
      <c r="D598" s="38">
        <v>0.0</v>
      </c>
      <c r="E598" s="38"/>
      <c r="F598" s="38">
        <f t="shared" si="1"/>
        <v>0</v>
      </c>
      <c r="G598" s="38">
        <f>COUNTIFS(HH_FCSP!$G$18:$G$3617,$E598,HH_FCSP!$F$18:$F$3617,"catapult/crossbow")</f>
        <v>0</v>
      </c>
      <c r="H598" s="38">
        <f>COUNTIFS(HH_FCSP!$G$18:$G$3617,$E598,HH_FCSP!$F$18:$F$3617,"white")</f>
        <v>0</v>
      </c>
    </row>
    <row r="599">
      <c r="A599" s="38"/>
      <c r="B599" s="38">
        <v>0.0</v>
      </c>
      <c r="C599" s="38">
        <v>0.0</v>
      </c>
      <c r="D599" s="38">
        <v>0.0</v>
      </c>
      <c r="E599" s="38"/>
      <c r="F599" s="38">
        <f t="shared" si="1"/>
        <v>0</v>
      </c>
      <c r="G599" s="38">
        <f>COUNTIFS(HH_FCSP!$G$18:$G$3617,$E599,HH_FCSP!$F$18:$F$3617,"catapult/crossbow")</f>
        <v>0</v>
      </c>
      <c r="H599" s="38">
        <f>COUNTIFS(HH_FCSP!$G$18:$G$3617,$E599,HH_FCSP!$F$18:$F$3617,"white")</f>
        <v>0</v>
      </c>
    </row>
    <row r="600">
      <c r="A600" s="38"/>
      <c r="B600" s="38">
        <v>0.0</v>
      </c>
      <c r="C600" s="38">
        <v>0.0</v>
      </c>
      <c r="D600" s="38">
        <v>0.0</v>
      </c>
      <c r="E600" s="38"/>
      <c r="F600" s="38">
        <f t="shared" si="1"/>
        <v>0</v>
      </c>
      <c r="G600" s="38">
        <f>COUNTIFS(HH_FCSP!$G$18:$G$3617,$E600,HH_FCSP!$F$18:$F$3617,"catapult/crossbow")</f>
        <v>0</v>
      </c>
      <c r="H600" s="38">
        <f>COUNTIFS(HH_FCSP!$G$18:$G$3617,$E600,HH_FCSP!$F$18:$F$3617,"white")</f>
        <v>0</v>
      </c>
    </row>
    <row r="601">
      <c r="A601" s="38"/>
      <c r="B601" s="38">
        <v>0.0</v>
      </c>
      <c r="C601" s="38">
        <v>0.0</v>
      </c>
      <c r="D601" s="38">
        <v>0.0</v>
      </c>
      <c r="E601" s="38"/>
      <c r="F601" s="38">
        <f t="shared" si="1"/>
        <v>0</v>
      </c>
      <c r="G601" s="38">
        <f>COUNTIFS(HH_FCSP!$G$18:$G$3617,$E601,HH_FCSP!$F$18:$F$3617,"catapult/crossbow")</f>
        <v>0</v>
      </c>
      <c r="H601" s="38">
        <f>COUNTIFS(HH_FCSP!$G$18:$G$3617,$E601,HH_FCSP!$F$18:$F$3617,"white")</f>
        <v>0</v>
      </c>
    </row>
    <row r="602">
      <c r="A602" s="38"/>
      <c r="B602" s="38">
        <v>0.0</v>
      </c>
      <c r="C602" s="38">
        <v>0.0</v>
      </c>
      <c r="D602" s="38">
        <v>0.0</v>
      </c>
      <c r="E602" s="38"/>
      <c r="F602" s="38">
        <f t="shared" si="1"/>
        <v>0</v>
      </c>
      <c r="G602" s="38">
        <f>COUNTIFS(HH_FCSP!$G$18:$G$3617,$E602,HH_FCSP!$F$18:$F$3617,"catapult/crossbow")</f>
        <v>0</v>
      </c>
      <c r="H602" s="38">
        <f>COUNTIFS(HH_FCSP!$G$18:$G$3617,$E602,HH_FCSP!$F$18:$F$3617,"white")</f>
        <v>0</v>
      </c>
    </row>
    <row r="603">
      <c r="A603" s="38"/>
      <c r="B603" s="38">
        <v>0.0</v>
      </c>
      <c r="C603" s="38">
        <v>0.0</v>
      </c>
      <c r="D603" s="38">
        <v>0.0</v>
      </c>
      <c r="E603" s="38"/>
      <c r="F603" s="38">
        <f t="shared" si="1"/>
        <v>0</v>
      </c>
      <c r="G603" s="38">
        <f>COUNTIFS(HH_FCSP!$G$18:$G$3617,$E603,HH_FCSP!$F$18:$F$3617,"catapult/crossbow")</f>
        <v>0</v>
      </c>
      <c r="H603" s="38">
        <f>COUNTIFS(HH_FCSP!$G$18:$G$3617,$E603,HH_FCSP!$F$18:$F$3617,"white")</f>
        <v>0</v>
      </c>
    </row>
    <row r="604">
      <c r="A604" s="38"/>
      <c r="B604" s="38">
        <v>0.0</v>
      </c>
      <c r="C604" s="38">
        <v>0.0</v>
      </c>
      <c r="D604" s="38">
        <v>0.0</v>
      </c>
      <c r="E604" s="38"/>
      <c r="F604" s="38">
        <f t="shared" si="1"/>
        <v>0</v>
      </c>
      <c r="G604" s="38">
        <f>COUNTIFS(HH_FCSP!$G$18:$G$3617,$E604,HH_FCSP!$F$18:$F$3617,"catapult/crossbow")</f>
        <v>0</v>
      </c>
      <c r="H604" s="38">
        <f>COUNTIFS(HH_FCSP!$G$18:$G$3617,$E604,HH_FCSP!$F$18:$F$3617,"white")</f>
        <v>0</v>
      </c>
    </row>
    <row r="605">
      <c r="A605" s="38"/>
      <c r="B605" s="38">
        <v>0.0</v>
      </c>
      <c r="C605" s="38">
        <v>0.0</v>
      </c>
      <c r="D605" s="38">
        <v>0.0</v>
      </c>
      <c r="E605" s="38"/>
      <c r="F605" s="38">
        <f t="shared" si="1"/>
        <v>0</v>
      </c>
      <c r="G605" s="38">
        <f>COUNTIFS(HH_FCSP!$G$18:$G$3617,$E605,HH_FCSP!$F$18:$F$3617,"catapult/crossbow")</f>
        <v>0</v>
      </c>
      <c r="H605" s="38">
        <f>COUNTIFS(HH_FCSP!$G$18:$G$3617,$E605,HH_FCSP!$F$18:$F$3617,"white")</f>
        <v>0</v>
      </c>
    </row>
    <row r="606">
      <c r="A606" s="38"/>
      <c r="B606" s="38">
        <v>0.0</v>
      </c>
      <c r="C606" s="38">
        <v>0.0</v>
      </c>
      <c r="D606" s="38">
        <v>0.0</v>
      </c>
      <c r="E606" s="38"/>
      <c r="F606" s="38">
        <f t="shared" si="1"/>
        <v>0</v>
      </c>
      <c r="G606" s="38">
        <f>COUNTIFS(HH_FCSP!$G$18:$G$3617,$E606,HH_FCSP!$F$18:$F$3617,"catapult/crossbow")</f>
        <v>0</v>
      </c>
      <c r="H606" s="38">
        <f>COUNTIFS(HH_FCSP!$G$18:$G$3617,$E606,HH_FCSP!$F$18:$F$3617,"white")</f>
        <v>0</v>
      </c>
    </row>
    <row r="607">
      <c r="A607" s="38"/>
      <c r="B607" s="38">
        <v>0.0</v>
      </c>
      <c r="C607" s="38">
        <v>0.0</v>
      </c>
      <c r="D607" s="38">
        <v>0.0</v>
      </c>
      <c r="E607" s="38"/>
      <c r="F607" s="38">
        <f t="shared" si="1"/>
        <v>0</v>
      </c>
      <c r="G607" s="38">
        <f>COUNTIFS(HH_FCSP!$G$18:$G$3617,$E607,HH_FCSP!$F$18:$F$3617,"catapult/crossbow")</f>
        <v>0</v>
      </c>
      <c r="H607" s="38">
        <f>COUNTIFS(HH_FCSP!$G$18:$G$3617,$E607,HH_FCSP!$F$18:$F$3617,"white")</f>
        <v>0</v>
      </c>
    </row>
    <row r="608">
      <c r="A608" s="38"/>
      <c r="B608" s="38">
        <v>0.0</v>
      </c>
      <c r="C608" s="38">
        <v>0.0</v>
      </c>
      <c r="D608" s="38">
        <v>0.0</v>
      </c>
      <c r="E608" s="38"/>
      <c r="F608" s="38">
        <f t="shared" si="1"/>
        <v>0</v>
      </c>
      <c r="G608" s="38">
        <f>COUNTIFS(HH_FCSP!$G$18:$G$3617,$E608,HH_FCSP!$F$18:$F$3617,"catapult/crossbow")</f>
        <v>0</v>
      </c>
      <c r="H608" s="38">
        <f>COUNTIFS(HH_FCSP!$G$18:$G$3617,$E608,HH_FCSP!$F$18:$F$3617,"white")</f>
        <v>0</v>
      </c>
    </row>
    <row r="609">
      <c r="A609" s="38"/>
      <c r="B609" s="38">
        <v>0.0</v>
      </c>
      <c r="C609" s="38">
        <v>0.0</v>
      </c>
      <c r="D609" s="38">
        <v>0.0</v>
      </c>
      <c r="E609" s="38"/>
      <c r="F609" s="38">
        <f t="shared" si="1"/>
        <v>0</v>
      </c>
      <c r="G609" s="38">
        <f>COUNTIFS(HH_FCSP!$G$18:$G$3617,$E609,HH_FCSP!$F$18:$F$3617,"catapult/crossbow")</f>
        <v>0</v>
      </c>
      <c r="H609" s="38">
        <f>COUNTIFS(HH_FCSP!$G$18:$G$3617,$E609,HH_FCSP!$F$18:$F$3617,"white")</f>
        <v>0</v>
      </c>
    </row>
    <row r="610">
      <c r="A610" s="38"/>
      <c r="B610" s="38">
        <v>0.0</v>
      </c>
      <c r="C610" s="38">
        <v>0.0</v>
      </c>
      <c r="D610" s="38">
        <v>0.0</v>
      </c>
      <c r="E610" s="38"/>
      <c r="F610" s="38">
        <f t="shared" si="1"/>
        <v>0</v>
      </c>
      <c r="G610" s="38">
        <f>COUNTIFS(HH_FCSP!$G$18:$G$3617,$E610,HH_FCSP!$F$18:$F$3617,"catapult/crossbow")</f>
        <v>0</v>
      </c>
      <c r="H610" s="38">
        <f>COUNTIFS(HH_FCSP!$G$18:$G$3617,$E610,HH_FCSP!$F$18:$F$3617,"white")</f>
        <v>0</v>
      </c>
    </row>
    <row r="611">
      <c r="A611" s="38"/>
      <c r="B611" s="38">
        <v>0.0</v>
      </c>
      <c r="C611" s="38">
        <v>0.0</v>
      </c>
      <c r="D611" s="38">
        <v>0.0</v>
      </c>
      <c r="E611" s="38"/>
      <c r="F611" s="38">
        <f t="shared" si="1"/>
        <v>0</v>
      </c>
      <c r="G611" s="38">
        <f>COUNTIFS(HH_FCSP!$G$18:$G$3617,$E611,HH_FCSP!$F$18:$F$3617,"catapult/crossbow")</f>
        <v>0</v>
      </c>
      <c r="H611" s="38">
        <f>COUNTIFS(HH_FCSP!$G$18:$G$3617,$E611,HH_FCSP!$F$18:$F$3617,"white")</f>
        <v>0</v>
      </c>
    </row>
    <row r="612">
      <c r="A612" s="38"/>
      <c r="B612" s="38">
        <v>0.0</v>
      </c>
      <c r="C612" s="38">
        <v>0.0</v>
      </c>
      <c r="D612" s="38">
        <v>0.0</v>
      </c>
      <c r="E612" s="38"/>
      <c r="F612" s="38">
        <f t="shared" si="1"/>
        <v>0</v>
      </c>
      <c r="G612" s="38">
        <f>COUNTIFS(HH_FCSP!$G$18:$G$3617,$E612,HH_FCSP!$F$18:$F$3617,"catapult/crossbow")</f>
        <v>0</v>
      </c>
      <c r="H612" s="38">
        <f>COUNTIFS(HH_FCSP!$G$18:$G$3617,$E612,HH_FCSP!$F$18:$F$3617,"white")</f>
        <v>0</v>
      </c>
    </row>
    <row r="613">
      <c r="A613" s="38"/>
      <c r="B613" s="38">
        <v>0.0</v>
      </c>
      <c r="C613" s="38">
        <v>0.0</v>
      </c>
      <c r="D613" s="38">
        <v>0.0</v>
      </c>
      <c r="E613" s="38"/>
      <c r="F613" s="38">
        <f t="shared" si="1"/>
        <v>0</v>
      </c>
      <c r="G613" s="38">
        <f>COUNTIFS(HH_FCSP!$G$18:$G$3617,$E613,HH_FCSP!$F$18:$F$3617,"catapult/crossbow")</f>
        <v>0</v>
      </c>
      <c r="H613" s="38">
        <f>COUNTIFS(HH_FCSP!$G$18:$G$3617,$E613,HH_FCSP!$F$18:$F$3617,"white")</f>
        <v>0</v>
      </c>
    </row>
    <row r="614">
      <c r="A614" s="38"/>
      <c r="B614" s="38">
        <v>0.0</v>
      </c>
      <c r="C614" s="38">
        <v>0.0</v>
      </c>
      <c r="D614" s="38">
        <v>0.0</v>
      </c>
      <c r="E614" s="38"/>
      <c r="F614" s="38">
        <f t="shared" si="1"/>
        <v>0</v>
      </c>
      <c r="G614" s="38">
        <f>COUNTIFS(HH_FCSP!$G$18:$G$3617,$E614,HH_FCSP!$F$18:$F$3617,"catapult/crossbow")</f>
        <v>0</v>
      </c>
      <c r="H614" s="38">
        <f>COUNTIFS(HH_FCSP!$G$18:$G$3617,$E614,HH_FCSP!$F$18:$F$3617,"white")</f>
        <v>0</v>
      </c>
    </row>
    <row r="615">
      <c r="A615" s="38"/>
      <c r="B615" s="38">
        <v>0.0</v>
      </c>
      <c r="C615" s="38">
        <v>0.0</v>
      </c>
      <c r="D615" s="38">
        <v>0.0</v>
      </c>
      <c r="E615" s="38"/>
      <c r="F615" s="38">
        <f t="shared" si="1"/>
        <v>0</v>
      </c>
      <c r="G615" s="38">
        <f>COUNTIFS(HH_FCSP!$G$18:$G$3617,$E615,HH_FCSP!$F$18:$F$3617,"catapult/crossbow")</f>
        <v>0</v>
      </c>
      <c r="H615" s="38">
        <f>COUNTIFS(HH_FCSP!$G$18:$G$3617,$E615,HH_FCSP!$F$18:$F$3617,"white")</f>
        <v>0</v>
      </c>
    </row>
    <row r="616">
      <c r="A616" s="38"/>
      <c r="B616" s="38">
        <v>0.0</v>
      </c>
      <c r="C616" s="38">
        <v>0.0</v>
      </c>
      <c r="D616" s="38">
        <v>0.0</v>
      </c>
      <c r="E616" s="38"/>
      <c r="F616" s="38">
        <f t="shared" si="1"/>
        <v>0</v>
      </c>
      <c r="G616" s="38">
        <f>COUNTIFS(HH_FCSP!$G$18:$G$3617,$E616,HH_FCSP!$F$18:$F$3617,"catapult/crossbow")</f>
        <v>0</v>
      </c>
      <c r="H616" s="38">
        <f>COUNTIFS(HH_FCSP!$G$18:$G$3617,$E616,HH_FCSP!$F$18:$F$3617,"white")</f>
        <v>0</v>
      </c>
    </row>
    <row r="617">
      <c r="A617" s="38"/>
      <c r="B617" s="38">
        <v>0.0</v>
      </c>
      <c r="C617" s="38">
        <v>0.0</v>
      </c>
      <c r="D617" s="38">
        <v>0.0</v>
      </c>
      <c r="E617" s="38"/>
      <c r="F617" s="38">
        <f t="shared" si="1"/>
        <v>0</v>
      </c>
      <c r="G617" s="38">
        <f>COUNTIFS(HH_FCSP!$G$18:$G$3617,$E617,HH_FCSP!$F$18:$F$3617,"catapult/crossbow")</f>
        <v>0</v>
      </c>
      <c r="H617" s="38">
        <f>COUNTIFS(HH_FCSP!$G$18:$G$3617,$E617,HH_FCSP!$F$18:$F$3617,"white")</f>
        <v>0</v>
      </c>
    </row>
    <row r="618">
      <c r="A618" s="38"/>
      <c r="B618" s="38">
        <v>0.0</v>
      </c>
      <c r="C618" s="38">
        <v>0.0</v>
      </c>
      <c r="D618" s="38">
        <v>0.0</v>
      </c>
      <c r="E618" s="38"/>
      <c r="F618" s="38">
        <f t="shared" si="1"/>
        <v>0</v>
      </c>
      <c r="G618" s="38">
        <f>COUNTIFS(HH_FCSP!$G$18:$G$3617,$E618,HH_FCSP!$F$18:$F$3617,"catapult/crossbow")</f>
        <v>0</v>
      </c>
      <c r="H618" s="38">
        <f>COUNTIFS(HH_FCSP!$G$18:$G$3617,$E618,HH_FCSP!$F$18:$F$3617,"white")</f>
        <v>0</v>
      </c>
    </row>
    <row r="619">
      <c r="A619" s="38"/>
      <c r="B619" s="38">
        <v>0.0</v>
      </c>
      <c r="C619" s="38">
        <v>0.0</v>
      </c>
      <c r="D619" s="38">
        <v>0.0</v>
      </c>
      <c r="E619" s="38"/>
      <c r="F619" s="38">
        <f t="shared" si="1"/>
        <v>0</v>
      </c>
      <c r="G619" s="38">
        <f>COUNTIFS(HH_FCSP!$G$18:$G$3617,$E619,HH_FCSP!$F$18:$F$3617,"catapult/crossbow")</f>
        <v>0</v>
      </c>
      <c r="H619" s="38">
        <f>COUNTIFS(HH_FCSP!$G$18:$G$3617,$E619,HH_FCSP!$F$18:$F$3617,"white")</f>
        <v>0</v>
      </c>
    </row>
    <row r="620">
      <c r="A620" s="38"/>
      <c r="B620" s="38">
        <v>0.0</v>
      </c>
      <c r="C620" s="38">
        <v>0.0</v>
      </c>
      <c r="D620" s="38">
        <v>0.0</v>
      </c>
      <c r="E620" s="38"/>
      <c r="F620" s="38">
        <f t="shared" si="1"/>
        <v>0</v>
      </c>
      <c r="G620" s="38">
        <f>COUNTIFS(HH_FCSP!$G$18:$G$3617,$E620,HH_FCSP!$F$18:$F$3617,"catapult/crossbow")</f>
        <v>0</v>
      </c>
      <c r="H620" s="38">
        <f>COUNTIFS(HH_FCSP!$G$18:$G$3617,$E620,HH_FCSP!$F$18:$F$3617,"white")</f>
        <v>0</v>
      </c>
    </row>
    <row r="621">
      <c r="A621" s="38"/>
      <c r="B621" s="38">
        <v>0.0</v>
      </c>
      <c r="C621" s="38">
        <v>0.0</v>
      </c>
      <c r="D621" s="38">
        <v>0.0</v>
      </c>
      <c r="E621" s="38"/>
      <c r="F621" s="38">
        <f t="shared" si="1"/>
        <v>0</v>
      </c>
      <c r="G621" s="38">
        <f>COUNTIFS(HH_FCSP!$G$18:$G$3617,$E621,HH_FCSP!$F$18:$F$3617,"catapult/crossbow")</f>
        <v>0</v>
      </c>
      <c r="H621" s="38">
        <f>COUNTIFS(HH_FCSP!$G$18:$G$3617,$E621,HH_FCSP!$F$18:$F$3617,"white")</f>
        <v>0</v>
      </c>
    </row>
    <row r="622">
      <c r="A622" s="38"/>
      <c r="B622" s="38">
        <v>0.0</v>
      </c>
      <c r="C622" s="38">
        <v>0.0</v>
      </c>
      <c r="D622" s="38">
        <v>0.0</v>
      </c>
      <c r="E622" s="38"/>
      <c r="F622" s="38">
        <f t="shared" si="1"/>
        <v>0</v>
      </c>
      <c r="G622" s="38">
        <f>COUNTIFS(HH_FCSP!$G$18:$G$3617,$E622,HH_FCSP!$F$18:$F$3617,"catapult/crossbow")</f>
        <v>0</v>
      </c>
      <c r="H622" s="38">
        <f>COUNTIFS(HH_FCSP!$G$18:$G$3617,$E622,HH_FCSP!$F$18:$F$3617,"white")</f>
        <v>0</v>
      </c>
    </row>
    <row r="623">
      <c r="A623" s="38"/>
      <c r="B623" s="38">
        <v>0.0</v>
      </c>
      <c r="C623" s="38">
        <v>0.0</v>
      </c>
      <c r="D623" s="38">
        <v>0.0</v>
      </c>
      <c r="E623" s="38"/>
      <c r="F623" s="38">
        <f t="shared" si="1"/>
        <v>0</v>
      </c>
      <c r="G623" s="38">
        <f>COUNTIFS(HH_FCSP!$G$18:$G$3617,$E623,HH_FCSP!$F$18:$F$3617,"catapult/crossbow")</f>
        <v>0</v>
      </c>
      <c r="H623" s="38">
        <f>COUNTIFS(HH_FCSP!$G$18:$G$3617,$E623,HH_FCSP!$F$18:$F$3617,"white")</f>
        <v>0</v>
      </c>
    </row>
    <row r="624">
      <c r="A624" s="38"/>
      <c r="B624" s="38">
        <v>0.0</v>
      </c>
      <c r="C624" s="38">
        <v>0.0</v>
      </c>
      <c r="D624" s="38">
        <v>0.0</v>
      </c>
      <c r="E624" s="38"/>
      <c r="F624" s="38">
        <f t="shared" si="1"/>
        <v>0</v>
      </c>
      <c r="G624" s="38">
        <f>COUNTIFS(HH_FCSP!$G$18:$G$3617,$E624,HH_FCSP!$F$18:$F$3617,"catapult/crossbow")</f>
        <v>0</v>
      </c>
      <c r="H624" s="38">
        <f>COUNTIFS(HH_FCSP!$G$18:$G$3617,$E624,HH_FCSP!$F$18:$F$3617,"white")</f>
        <v>0</v>
      </c>
    </row>
    <row r="625">
      <c r="A625" s="38"/>
      <c r="B625" s="38">
        <v>0.0</v>
      </c>
      <c r="C625" s="38">
        <v>0.0</v>
      </c>
      <c r="D625" s="38">
        <v>0.0</v>
      </c>
      <c r="E625" s="38"/>
      <c r="F625" s="38">
        <f t="shared" si="1"/>
        <v>0</v>
      </c>
      <c r="G625" s="38">
        <f>COUNTIFS(HH_FCSP!$G$18:$G$3617,$E625,HH_FCSP!$F$18:$F$3617,"catapult/crossbow")</f>
        <v>0</v>
      </c>
      <c r="H625" s="38">
        <f>COUNTIFS(HH_FCSP!$G$18:$G$3617,$E625,HH_FCSP!$F$18:$F$3617,"white")</f>
        <v>0</v>
      </c>
    </row>
    <row r="626">
      <c r="A626" s="38"/>
      <c r="B626" s="38">
        <v>0.0</v>
      </c>
      <c r="C626" s="38">
        <v>0.0</v>
      </c>
      <c r="D626" s="38">
        <v>0.0</v>
      </c>
      <c r="E626" s="38"/>
      <c r="F626" s="38">
        <f t="shared" si="1"/>
        <v>0</v>
      </c>
      <c r="G626" s="38">
        <f>COUNTIFS(HH_FCSP!$G$18:$G$3617,$E626,HH_FCSP!$F$18:$F$3617,"catapult/crossbow")</f>
        <v>0</v>
      </c>
      <c r="H626" s="38">
        <f>COUNTIFS(HH_FCSP!$G$18:$G$3617,$E626,HH_FCSP!$F$18:$F$3617,"white")</f>
        <v>0</v>
      </c>
    </row>
    <row r="627">
      <c r="A627" s="38"/>
      <c r="B627" s="38">
        <v>0.0</v>
      </c>
      <c r="C627" s="38">
        <v>0.0</v>
      </c>
      <c r="D627" s="38">
        <v>0.0</v>
      </c>
      <c r="E627" s="38"/>
      <c r="F627" s="38">
        <f t="shared" si="1"/>
        <v>0</v>
      </c>
      <c r="G627" s="38">
        <f>COUNTIFS(HH_FCSP!$G$18:$G$3617,$E627,HH_FCSP!$F$18:$F$3617,"catapult/crossbow")</f>
        <v>0</v>
      </c>
      <c r="H627" s="38">
        <f>COUNTIFS(HH_FCSP!$G$18:$G$3617,$E627,HH_FCSP!$F$18:$F$3617,"white")</f>
        <v>0</v>
      </c>
    </row>
    <row r="628">
      <c r="A628" s="38"/>
      <c r="B628" s="38">
        <v>0.0</v>
      </c>
      <c r="C628" s="38">
        <v>0.0</v>
      </c>
      <c r="D628" s="38">
        <v>0.0</v>
      </c>
      <c r="E628" s="38"/>
      <c r="F628" s="38">
        <f t="shared" si="1"/>
        <v>0</v>
      </c>
      <c r="G628" s="38">
        <f>COUNTIFS(HH_FCSP!$G$18:$G$3617,$E628,HH_FCSP!$F$18:$F$3617,"catapult/crossbow")</f>
        <v>0</v>
      </c>
      <c r="H628" s="38">
        <f>COUNTIFS(HH_FCSP!$G$18:$G$3617,$E628,HH_FCSP!$F$18:$F$3617,"white")</f>
        <v>0</v>
      </c>
    </row>
    <row r="629">
      <c r="A629" s="38"/>
      <c r="B629" s="38">
        <v>0.0</v>
      </c>
      <c r="C629" s="38">
        <v>0.0</v>
      </c>
      <c r="D629" s="38">
        <v>0.0</v>
      </c>
      <c r="E629" s="38"/>
      <c r="F629" s="38">
        <f t="shared" si="1"/>
        <v>0</v>
      </c>
      <c r="G629" s="38">
        <f>COUNTIFS(HH_FCSP!$G$18:$G$3617,$E629,HH_FCSP!$F$18:$F$3617,"catapult/crossbow")</f>
        <v>0</v>
      </c>
      <c r="H629" s="38">
        <f>COUNTIFS(HH_FCSP!$G$18:$G$3617,$E629,HH_FCSP!$F$18:$F$3617,"white")</f>
        <v>0</v>
      </c>
    </row>
    <row r="630">
      <c r="A630" s="38"/>
      <c r="B630" s="38">
        <v>0.0</v>
      </c>
      <c r="C630" s="38">
        <v>0.0</v>
      </c>
      <c r="D630" s="38">
        <v>0.0</v>
      </c>
      <c r="E630" s="38"/>
      <c r="F630" s="38">
        <f t="shared" si="1"/>
        <v>0</v>
      </c>
      <c r="G630" s="38">
        <f>COUNTIFS(HH_FCSP!$G$18:$G$3617,$E630,HH_FCSP!$F$18:$F$3617,"catapult/crossbow")</f>
        <v>0</v>
      </c>
      <c r="H630" s="38">
        <f>COUNTIFS(HH_FCSP!$G$18:$G$3617,$E630,HH_FCSP!$F$18:$F$3617,"white")</f>
        <v>0</v>
      </c>
    </row>
    <row r="631">
      <c r="A631" s="38"/>
      <c r="B631" s="38">
        <v>0.0</v>
      </c>
      <c r="C631" s="38">
        <v>0.0</v>
      </c>
      <c r="D631" s="38">
        <v>0.0</v>
      </c>
      <c r="E631" s="38"/>
      <c r="F631" s="38">
        <f t="shared" si="1"/>
        <v>0</v>
      </c>
      <c r="G631" s="38">
        <f>COUNTIFS(HH_FCSP!$G$18:$G$3617,$E631,HH_FCSP!$F$18:$F$3617,"catapult/crossbow")</f>
        <v>0</v>
      </c>
      <c r="H631" s="38">
        <f>COUNTIFS(HH_FCSP!$G$18:$G$3617,$E631,HH_FCSP!$F$18:$F$3617,"white")</f>
        <v>0</v>
      </c>
    </row>
    <row r="632">
      <c r="A632" s="38"/>
      <c r="B632" s="38">
        <v>0.0</v>
      </c>
      <c r="C632" s="38">
        <v>0.0</v>
      </c>
      <c r="D632" s="38">
        <v>0.0</v>
      </c>
      <c r="E632" s="38"/>
      <c r="F632" s="38">
        <f t="shared" si="1"/>
        <v>0</v>
      </c>
      <c r="G632" s="38">
        <f>COUNTIFS(HH_FCSP!$G$18:$G$3617,$E632,HH_FCSP!$F$18:$F$3617,"catapult/crossbow")</f>
        <v>0</v>
      </c>
      <c r="H632" s="38">
        <f>COUNTIFS(HH_FCSP!$G$18:$G$3617,$E632,HH_FCSP!$F$18:$F$3617,"white")</f>
        <v>0</v>
      </c>
    </row>
    <row r="633">
      <c r="A633" s="38"/>
      <c r="B633" s="38">
        <v>0.0</v>
      </c>
      <c r="C633" s="38">
        <v>0.0</v>
      </c>
      <c r="D633" s="38">
        <v>0.0</v>
      </c>
      <c r="E633" s="38"/>
      <c r="F633" s="38">
        <f t="shared" si="1"/>
        <v>0</v>
      </c>
      <c r="G633" s="38">
        <f>COUNTIFS(HH_FCSP!$G$18:$G$3617,$E633,HH_FCSP!$F$18:$F$3617,"catapult/crossbow")</f>
        <v>0</v>
      </c>
      <c r="H633" s="38">
        <f>COUNTIFS(HH_FCSP!$G$18:$G$3617,$E633,HH_FCSP!$F$18:$F$3617,"white")</f>
        <v>0</v>
      </c>
    </row>
    <row r="634">
      <c r="A634" s="38"/>
      <c r="B634" s="38">
        <v>0.0</v>
      </c>
      <c r="C634" s="38">
        <v>0.0</v>
      </c>
      <c r="D634" s="38">
        <v>0.0</v>
      </c>
      <c r="E634" s="38"/>
      <c r="F634" s="38">
        <f t="shared" si="1"/>
        <v>0</v>
      </c>
      <c r="G634" s="38">
        <f>COUNTIFS(HH_FCSP!$G$18:$G$3617,$E634,HH_FCSP!$F$18:$F$3617,"catapult/crossbow")</f>
        <v>0</v>
      </c>
      <c r="H634" s="38">
        <f>COUNTIFS(HH_FCSP!$G$18:$G$3617,$E634,HH_FCSP!$F$18:$F$3617,"white")</f>
        <v>0</v>
      </c>
    </row>
    <row r="635">
      <c r="A635" s="38"/>
      <c r="B635" s="38">
        <v>0.0</v>
      </c>
      <c r="C635" s="38">
        <v>0.0</v>
      </c>
      <c r="D635" s="38">
        <v>0.0</v>
      </c>
      <c r="E635" s="38"/>
      <c r="F635" s="38">
        <f t="shared" si="1"/>
        <v>0</v>
      </c>
      <c r="G635" s="38">
        <f>COUNTIFS(HH_FCSP!$G$18:$G$3617,$E635,HH_FCSP!$F$18:$F$3617,"catapult/crossbow")</f>
        <v>0</v>
      </c>
      <c r="H635" s="38">
        <f>COUNTIFS(HH_FCSP!$G$18:$G$3617,$E635,HH_FCSP!$F$18:$F$3617,"white")</f>
        <v>0</v>
      </c>
    </row>
    <row r="636">
      <c r="A636" s="38"/>
      <c r="B636" s="38">
        <v>0.0</v>
      </c>
      <c r="C636" s="38">
        <v>0.0</v>
      </c>
      <c r="D636" s="38">
        <v>0.0</v>
      </c>
      <c r="E636" s="38"/>
      <c r="F636" s="38">
        <f t="shared" si="1"/>
        <v>0</v>
      </c>
      <c r="G636" s="38">
        <f>COUNTIFS(HH_FCSP!$G$18:$G$3617,$E636,HH_FCSP!$F$18:$F$3617,"catapult/crossbow")</f>
        <v>0</v>
      </c>
      <c r="H636" s="38">
        <f>COUNTIFS(HH_FCSP!$G$18:$G$3617,$E636,HH_FCSP!$F$18:$F$3617,"white")</f>
        <v>0</v>
      </c>
    </row>
    <row r="637">
      <c r="A637" s="38"/>
      <c r="B637" s="38">
        <v>0.0</v>
      </c>
      <c r="C637" s="38">
        <v>0.0</v>
      </c>
      <c r="D637" s="38">
        <v>0.0</v>
      </c>
      <c r="E637" s="38"/>
      <c r="F637" s="38">
        <f t="shared" si="1"/>
        <v>0</v>
      </c>
      <c r="G637" s="38">
        <f>COUNTIFS(HH_FCSP!$G$18:$G$3617,$E637,HH_FCSP!$F$18:$F$3617,"catapult/crossbow")</f>
        <v>0</v>
      </c>
      <c r="H637" s="38">
        <f>COUNTIFS(HH_FCSP!$G$18:$G$3617,$E637,HH_FCSP!$F$18:$F$3617,"white")</f>
        <v>0</v>
      </c>
    </row>
    <row r="638">
      <c r="A638" s="38"/>
      <c r="B638" s="38">
        <v>0.0</v>
      </c>
      <c r="C638" s="38">
        <v>0.0</v>
      </c>
      <c r="D638" s="38">
        <v>0.0</v>
      </c>
      <c r="E638" s="38"/>
      <c r="F638" s="38">
        <f t="shared" si="1"/>
        <v>0</v>
      </c>
      <c r="G638" s="38">
        <f>COUNTIFS(HH_FCSP!$G$18:$G$3617,$E638,HH_FCSP!$F$18:$F$3617,"catapult/crossbow")</f>
        <v>0</v>
      </c>
      <c r="H638" s="38">
        <f>COUNTIFS(HH_FCSP!$G$18:$G$3617,$E638,HH_FCSP!$F$18:$F$3617,"white")</f>
        <v>0</v>
      </c>
    </row>
    <row r="639">
      <c r="A639" s="38"/>
      <c r="B639" s="38">
        <v>0.0</v>
      </c>
      <c r="C639" s="38">
        <v>0.0</v>
      </c>
      <c r="D639" s="38">
        <v>0.0</v>
      </c>
      <c r="E639" s="38"/>
      <c r="F639" s="38">
        <f t="shared" si="1"/>
        <v>0</v>
      </c>
      <c r="G639" s="38">
        <f>COUNTIFS(HH_FCSP!$G$18:$G$3617,$E639,HH_FCSP!$F$18:$F$3617,"catapult/crossbow")</f>
        <v>0</v>
      </c>
      <c r="H639" s="38">
        <f>COUNTIFS(HH_FCSP!$G$18:$G$3617,$E639,HH_FCSP!$F$18:$F$3617,"white")</f>
        <v>0</v>
      </c>
    </row>
    <row r="640">
      <c r="A640" s="38"/>
      <c r="B640" s="38">
        <v>0.0</v>
      </c>
      <c r="C640" s="38">
        <v>0.0</v>
      </c>
      <c r="D640" s="38">
        <v>0.0</v>
      </c>
      <c r="E640" s="38"/>
      <c r="F640" s="38">
        <f t="shared" si="1"/>
        <v>0</v>
      </c>
      <c r="G640" s="38">
        <f>COUNTIFS(HH_FCSP!$G$18:$G$3617,$E640,HH_FCSP!$F$18:$F$3617,"catapult/crossbow")</f>
        <v>0</v>
      </c>
      <c r="H640" s="38">
        <f>COUNTIFS(HH_FCSP!$G$18:$G$3617,$E640,HH_FCSP!$F$18:$F$3617,"white")</f>
        <v>0</v>
      </c>
    </row>
    <row r="641">
      <c r="A641" s="38"/>
      <c r="B641" s="38">
        <v>0.0</v>
      </c>
      <c r="C641" s="38">
        <v>0.0</v>
      </c>
      <c r="D641" s="38">
        <v>0.0</v>
      </c>
      <c r="E641" s="38"/>
      <c r="F641" s="38">
        <f t="shared" si="1"/>
        <v>0</v>
      </c>
      <c r="G641" s="38">
        <f>COUNTIFS(HH_FCSP!$G$18:$G$3617,$E641,HH_FCSP!$F$18:$F$3617,"catapult/crossbow")</f>
        <v>0</v>
      </c>
      <c r="H641" s="38">
        <f>COUNTIFS(HH_FCSP!$G$18:$G$3617,$E641,HH_FCSP!$F$18:$F$3617,"white")</f>
        <v>0</v>
      </c>
    </row>
    <row r="642">
      <c r="A642" s="38"/>
      <c r="B642" s="38">
        <v>0.0</v>
      </c>
      <c r="C642" s="38">
        <v>0.0</v>
      </c>
      <c r="D642" s="38">
        <v>0.0</v>
      </c>
      <c r="E642" s="38"/>
      <c r="F642" s="38">
        <f t="shared" si="1"/>
        <v>0</v>
      </c>
      <c r="G642" s="38">
        <f>COUNTIFS(HH_FCSP!$G$18:$G$3617,$E642,HH_FCSP!$F$18:$F$3617,"catapult/crossbow")</f>
        <v>0</v>
      </c>
      <c r="H642" s="38">
        <f>COUNTIFS(HH_FCSP!$G$18:$G$3617,$E642,HH_FCSP!$F$18:$F$3617,"white")</f>
        <v>0</v>
      </c>
    </row>
    <row r="643">
      <c r="A643" s="38"/>
      <c r="B643" s="38">
        <v>0.0</v>
      </c>
      <c r="C643" s="38">
        <v>0.0</v>
      </c>
      <c r="D643" s="38">
        <v>0.0</v>
      </c>
      <c r="E643" s="38"/>
      <c r="F643" s="38">
        <f t="shared" si="1"/>
        <v>0</v>
      </c>
      <c r="G643" s="38">
        <f>COUNTIFS(HH_FCSP!$G$18:$G$3617,$E643,HH_FCSP!$F$18:$F$3617,"catapult/crossbow")</f>
        <v>0</v>
      </c>
      <c r="H643" s="38">
        <f>COUNTIFS(HH_FCSP!$G$18:$G$3617,$E643,HH_FCSP!$F$18:$F$3617,"white")</f>
        <v>0</v>
      </c>
    </row>
    <row r="644">
      <c r="A644" s="38"/>
      <c r="B644" s="38">
        <v>0.0</v>
      </c>
      <c r="C644" s="38">
        <v>0.0</v>
      </c>
      <c r="D644" s="38">
        <v>0.0</v>
      </c>
      <c r="E644" s="38"/>
      <c r="F644" s="38">
        <f t="shared" si="1"/>
        <v>0</v>
      </c>
      <c r="G644" s="38">
        <f>COUNTIFS(HH_FCSP!$G$18:$G$3617,$E644,HH_FCSP!$F$18:$F$3617,"catapult/crossbow")</f>
        <v>0</v>
      </c>
      <c r="H644" s="38">
        <f>COUNTIFS(HH_FCSP!$G$18:$G$3617,$E644,HH_FCSP!$F$18:$F$3617,"white")</f>
        <v>0</v>
      </c>
    </row>
    <row r="645">
      <c r="A645" s="38"/>
      <c r="B645" s="38">
        <v>0.0</v>
      </c>
      <c r="C645" s="38">
        <v>0.0</v>
      </c>
      <c r="D645" s="38">
        <v>0.0</v>
      </c>
      <c r="E645" s="38"/>
      <c r="F645" s="38">
        <f t="shared" si="1"/>
        <v>0</v>
      </c>
      <c r="G645" s="38">
        <f>COUNTIFS(HH_FCSP!$G$18:$G$3617,$E645,HH_FCSP!$F$18:$F$3617,"catapult/crossbow")</f>
        <v>0</v>
      </c>
      <c r="H645" s="38">
        <f>COUNTIFS(HH_FCSP!$G$18:$G$3617,$E645,HH_FCSP!$F$18:$F$3617,"white")</f>
        <v>0</v>
      </c>
    </row>
    <row r="646">
      <c r="A646" s="38"/>
      <c r="B646" s="38">
        <v>0.0</v>
      </c>
      <c r="C646" s="38">
        <v>0.0</v>
      </c>
      <c r="D646" s="38">
        <v>0.0</v>
      </c>
      <c r="E646" s="38"/>
      <c r="F646" s="38">
        <f t="shared" si="1"/>
        <v>0</v>
      </c>
      <c r="G646" s="38">
        <f>COUNTIFS(HH_FCSP!$G$18:$G$3617,$E646,HH_FCSP!$F$18:$F$3617,"catapult/crossbow")</f>
        <v>0</v>
      </c>
      <c r="H646" s="38">
        <f>COUNTIFS(HH_FCSP!$G$18:$G$3617,$E646,HH_FCSP!$F$18:$F$3617,"white")</f>
        <v>0</v>
      </c>
    </row>
    <row r="647">
      <c r="A647" s="38"/>
      <c r="B647" s="38">
        <v>0.0</v>
      </c>
      <c r="C647" s="38">
        <v>0.0</v>
      </c>
      <c r="D647" s="38">
        <v>0.0</v>
      </c>
      <c r="E647" s="38"/>
      <c r="F647" s="38">
        <f t="shared" si="1"/>
        <v>0</v>
      </c>
      <c r="G647" s="38">
        <f>COUNTIFS(HH_FCSP!$G$18:$G$3617,$E647,HH_FCSP!$F$18:$F$3617,"catapult/crossbow")</f>
        <v>0</v>
      </c>
      <c r="H647" s="38">
        <f>COUNTIFS(HH_FCSP!$G$18:$G$3617,$E647,HH_FCSP!$F$18:$F$3617,"white")</f>
        <v>0</v>
      </c>
    </row>
    <row r="648">
      <c r="A648" s="38"/>
      <c r="B648" s="38">
        <v>0.0</v>
      </c>
      <c r="C648" s="38">
        <v>0.0</v>
      </c>
      <c r="D648" s="38">
        <v>0.0</v>
      </c>
      <c r="E648" s="38"/>
      <c r="F648" s="38">
        <f t="shared" si="1"/>
        <v>0</v>
      </c>
      <c r="G648" s="38">
        <f>COUNTIFS(HH_FCSP!$G$18:$G$3617,$E648,HH_FCSP!$F$18:$F$3617,"catapult/crossbow")</f>
        <v>0</v>
      </c>
      <c r="H648" s="38">
        <f>COUNTIFS(HH_FCSP!$G$18:$G$3617,$E648,HH_FCSP!$F$18:$F$3617,"white")</f>
        <v>0</v>
      </c>
    </row>
    <row r="649">
      <c r="A649" s="38"/>
      <c r="B649" s="38">
        <v>0.0</v>
      </c>
      <c r="C649" s="38">
        <v>0.0</v>
      </c>
      <c r="D649" s="38">
        <v>0.0</v>
      </c>
      <c r="E649" s="38"/>
      <c r="F649" s="38">
        <f t="shared" si="1"/>
        <v>0</v>
      </c>
      <c r="G649" s="38">
        <f>COUNTIFS(HH_FCSP!$G$18:$G$3617,$E649,HH_FCSP!$F$18:$F$3617,"catapult/crossbow")</f>
        <v>0</v>
      </c>
      <c r="H649" s="38">
        <f>COUNTIFS(HH_FCSP!$G$18:$G$3617,$E649,HH_FCSP!$F$18:$F$3617,"white")</f>
        <v>0</v>
      </c>
    </row>
    <row r="650">
      <c r="A650" s="38"/>
      <c r="B650" s="38">
        <v>0.0</v>
      </c>
      <c r="C650" s="38">
        <v>0.0</v>
      </c>
      <c r="D650" s="38">
        <v>0.0</v>
      </c>
      <c r="E650" s="38"/>
      <c r="F650" s="38">
        <f t="shared" si="1"/>
        <v>0</v>
      </c>
      <c r="G650" s="38">
        <f>COUNTIFS(HH_FCSP!$G$18:$G$3617,$E650,HH_FCSP!$F$18:$F$3617,"catapult/crossbow")</f>
        <v>0</v>
      </c>
      <c r="H650" s="38">
        <f>COUNTIFS(HH_FCSP!$G$18:$G$3617,$E650,HH_FCSP!$F$18:$F$3617,"white")</f>
        <v>0</v>
      </c>
    </row>
    <row r="651">
      <c r="A651" s="38"/>
      <c r="B651" s="38">
        <v>0.0</v>
      </c>
      <c r="C651" s="38">
        <v>0.0</v>
      </c>
      <c r="D651" s="38">
        <v>0.0</v>
      </c>
      <c r="E651" s="38"/>
      <c r="F651" s="38">
        <f t="shared" si="1"/>
        <v>0</v>
      </c>
      <c r="G651" s="38">
        <f>COUNTIFS(HH_FCSP!$G$18:$G$3617,$E651,HH_FCSP!$F$18:$F$3617,"catapult/crossbow")</f>
        <v>0</v>
      </c>
      <c r="H651" s="38">
        <f>COUNTIFS(HH_FCSP!$G$18:$G$3617,$E651,HH_FCSP!$F$18:$F$3617,"white")</f>
        <v>0</v>
      </c>
    </row>
    <row r="652">
      <c r="A652" s="38"/>
      <c r="B652" s="38">
        <v>0.0</v>
      </c>
      <c r="C652" s="38">
        <v>0.0</v>
      </c>
      <c r="D652" s="38">
        <v>0.0</v>
      </c>
      <c r="E652" s="38"/>
      <c r="F652" s="38">
        <f t="shared" si="1"/>
        <v>0</v>
      </c>
      <c r="G652" s="38">
        <f>COUNTIFS(HH_FCSP!$G$18:$G$3617,$E652,HH_FCSP!$F$18:$F$3617,"catapult/crossbow")</f>
        <v>0</v>
      </c>
      <c r="H652" s="38">
        <f>COUNTIFS(HH_FCSP!$G$18:$G$3617,$E652,HH_FCSP!$F$18:$F$3617,"white")</f>
        <v>0</v>
      </c>
    </row>
    <row r="653">
      <c r="A653" s="38"/>
      <c r="B653" s="38">
        <v>0.0</v>
      </c>
      <c r="C653" s="38">
        <v>0.0</v>
      </c>
      <c r="D653" s="38">
        <v>0.0</v>
      </c>
      <c r="E653" s="38"/>
      <c r="F653" s="38">
        <f t="shared" si="1"/>
        <v>0</v>
      </c>
      <c r="G653" s="38">
        <f>COUNTIFS(HH_FCSP!$G$18:$G$3617,$E653,HH_FCSP!$F$18:$F$3617,"catapult/crossbow")</f>
        <v>0</v>
      </c>
      <c r="H653" s="38">
        <f>COUNTIFS(HH_FCSP!$G$18:$G$3617,$E653,HH_FCSP!$F$18:$F$3617,"white")</f>
        <v>0</v>
      </c>
    </row>
    <row r="654">
      <c r="A654" s="38"/>
      <c r="B654" s="38">
        <v>0.0</v>
      </c>
      <c r="C654" s="38">
        <v>0.0</v>
      </c>
      <c r="D654" s="38">
        <v>0.0</v>
      </c>
      <c r="E654" s="38"/>
      <c r="F654" s="38">
        <f t="shared" si="1"/>
        <v>0</v>
      </c>
      <c r="G654" s="38">
        <f>COUNTIFS(HH_FCSP!$G$18:$G$3617,$E654,HH_FCSP!$F$18:$F$3617,"catapult/crossbow")</f>
        <v>0</v>
      </c>
      <c r="H654" s="38">
        <f>COUNTIFS(HH_FCSP!$G$18:$G$3617,$E654,HH_FCSP!$F$18:$F$3617,"white")</f>
        <v>0</v>
      </c>
    </row>
    <row r="655">
      <c r="A655" s="38"/>
      <c r="B655" s="38">
        <v>0.0</v>
      </c>
      <c r="C655" s="38">
        <v>0.0</v>
      </c>
      <c r="D655" s="38">
        <v>0.0</v>
      </c>
      <c r="E655" s="38"/>
      <c r="F655" s="38">
        <f t="shared" si="1"/>
        <v>0</v>
      </c>
      <c r="G655" s="38">
        <f>COUNTIFS(HH_FCSP!$G$18:$G$3617,$E655,HH_FCSP!$F$18:$F$3617,"catapult/crossbow")</f>
        <v>0</v>
      </c>
      <c r="H655" s="38">
        <f>COUNTIFS(HH_FCSP!$G$18:$G$3617,$E655,HH_FCSP!$F$18:$F$3617,"white")</f>
        <v>0</v>
      </c>
    </row>
    <row r="656">
      <c r="A656" s="38"/>
      <c r="B656" s="38">
        <v>0.0</v>
      </c>
      <c r="C656" s="38">
        <v>0.0</v>
      </c>
      <c r="D656" s="38">
        <v>0.0</v>
      </c>
      <c r="E656" s="38"/>
      <c r="F656" s="38">
        <f t="shared" si="1"/>
        <v>0</v>
      </c>
      <c r="G656" s="38">
        <f>COUNTIFS(HH_FCSP!$G$18:$G$3617,$E656,HH_FCSP!$F$18:$F$3617,"catapult/crossbow")</f>
        <v>0</v>
      </c>
      <c r="H656" s="38">
        <f>COUNTIFS(HH_FCSP!$G$18:$G$3617,$E656,HH_FCSP!$F$18:$F$3617,"white")</f>
        <v>0</v>
      </c>
    </row>
    <row r="657">
      <c r="A657" s="38"/>
      <c r="B657" s="38">
        <v>0.0</v>
      </c>
      <c r="C657" s="38">
        <v>0.0</v>
      </c>
      <c r="D657" s="38">
        <v>0.0</v>
      </c>
      <c r="E657" s="38"/>
      <c r="F657" s="38">
        <f t="shared" si="1"/>
        <v>0</v>
      </c>
      <c r="G657" s="38">
        <f>COUNTIFS(HH_FCSP!$G$18:$G$3617,$E657,HH_FCSP!$F$18:$F$3617,"catapult/crossbow")</f>
        <v>0</v>
      </c>
      <c r="H657" s="38">
        <f>COUNTIFS(HH_FCSP!$G$18:$G$3617,$E657,HH_FCSP!$F$18:$F$3617,"white")</f>
        <v>0</v>
      </c>
    </row>
    <row r="658">
      <c r="A658" s="38"/>
      <c r="B658" s="38">
        <v>0.0</v>
      </c>
      <c r="C658" s="38">
        <v>0.0</v>
      </c>
      <c r="D658" s="38">
        <v>0.0</v>
      </c>
      <c r="E658" s="38"/>
      <c r="F658" s="38">
        <f t="shared" si="1"/>
        <v>0</v>
      </c>
      <c r="G658" s="38">
        <f>COUNTIFS(HH_FCSP!$G$18:$G$3617,$E658,HH_FCSP!$F$18:$F$3617,"catapult/crossbow")</f>
        <v>0</v>
      </c>
      <c r="H658" s="38">
        <f>COUNTIFS(HH_FCSP!$G$18:$G$3617,$E658,HH_FCSP!$F$18:$F$3617,"white")</f>
        <v>0</v>
      </c>
    </row>
    <row r="659">
      <c r="A659" s="38"/>
      <c r="B659" s="38">
        <v>0.0</v>
      </c>
      <c r="C659" s="38">
        <v>0.0</v>
      </c>
      <c r="D659" s="38">
        <v>0.0</v>
      </c>
      <c r="E659" s="38"/>
      <c r="F659" s="38">
        <f t="shared" si="1"/>
        <v>0</v>
      </c>
      <c r="G659" s="38">
        <f>COUNTIFS(HH_FCSP!$G$18:$G$3617,$E659,HH_FCSP!$F$18:$F$3617,"catapult/crossbow")</f>
        <v>0</v>
      </c>
      <c r="H659" s="38">
        <f>COUNTIFS(HH_FCSP!$G$18:$G$3617,$E659,HH_FCSP!$F$18:$F$3617,"white")</f>
        <v>0</v>
      </c>
    </row>
    <row r="660">
      <c r="A660" s="38"/>
      <c r="B660" s="38">
        <v>0.0</v>
      </c>
      <c r="C660" s="38">
        <v>0.0</v>
      </c>
      <c r="D660" s="38">
        <v>0.0</v>
      </c>
      <c r="E660" s="38"/>
      <c r="F660" s="38">
        <f t="shared" si="1"/>
        <v>0</v>
      </c>
      <c r="G660" s="38">
        <f>COUNTIFS(HH_FCSP!$G$18:$G$3617,$E660,HH_FCSP!$F$18:$F$3617,"catapult/crossbow")</f>
        <v>0</v>
      </c>
      <c r="H660" s="38">
        <f>COUNTIFS(HH_FCSP!$G$18:$G$3617,$E660,HH_FCSP!$F$18:$F$3617,"white")</f>
        <v>0</v>
      </c>
    </row>
    <row r="661">
      <c r="A661" s="38"/>
      <c r="B661" s="38">
        <v>0.0</v>
      </c>
      <c r="C661" s="38">
        <v>0.0</v>
      </c>
      <c r="D661" s="38">
        <v>0.0</v>
      </c>
      <c r="E661" s="38"/>
      <c r="F661" s="38">
        <f t="shared" si="1"/>
        <v>0</v>
      </c>
      <c r="G661" s="38">
        <f>COUNTIFS(HH_FCSP!$G$18:$G$3617,$E661,HH_FCSP!$F$18:$F$3617,"catapult/crossbow")</f>
        <v>0</v>
      </c>
      <c r="H661" s="38">
        <f>COUNTIFS(HH_FCSP!$G$18:$G$3617,$E661,HH_FCSP!$F$18:$F$3617,"white")</f>
        <v>0</v>
      </c>
    </row>
    <row r="662">
      <c r="A662" s="38"/>
      <c r="B662" s="38">
        <v>0.0</v>
      </c>
      <c r="C662" s="38">
        <v>0.0</v>
      </c>
      <c r="D662" s="38">
        <v>0.0</v>
      </c>
      <c r="E662" s="38"/>
      <c r="F662" s="38">
        <f t="shared" si="1"/>
        <v>0</v>
      </c>
      <c r="G662" s="38">
        <f>COUNTIFS(HH_FCSP!$G$18:$G$3617,$E662,HH_FCSP!$F$18:$F$3617,"catapult/crossbow")</f>
        <v>0</v>
      </c>
      <c r="H662" s="38">
        <f>COUNTIFS(HH_FCSP!$G$18:$G$3617,$E662,HH_FCSP!$F$18:$F$3617,"white")</f>
        <v>0</v>
      </c>
    </row>
    <row r="663">
      <c r="A663" s="38"/>
      <c r="B663" s="38">
        <v>0.0</v>
      </c>
      <c r="C663" s="38">
        <v>0.0</v>
      </c>
      <c r="D663" s="38">
        <v>0.0</v>
      </c>
      <c r="E663" s="38"/>
      <c r="F663" s="38">
        <f t="shared" si="1"/>
        <v>0</v>
      </c>
      <c r="G663" s="38">
        <f>COUNTIFS(HH_FCSP!$G$18:$G$3617,$E663,HH_FCSP!$F$18:$F$3617,"catapult/crossbow")</f>
        <v>0</v>
      </c>
      <c r="H663" s="38">
        <f>COUNTIFS(HH_FCSP!$G$18:$G$3617,$E663,HH_FCSP!$F$18:$F$3617,"white")</f>
        <v>0</v>
      </c>
    </row>
    <row r="664">
      <c r="A664" s="38"/>
      <c r="B664" s="38">
        <v>0.0</v>
      </c>
      <c r="C664" s="38">
        <v>0.0</v>
      </c>
      <c r="D664" s="38">
        <v>0.0</v>
      </c>
      <c r="E664" s="38"/>
      <c r="F664" s="38">
        <f t="shared" si="1"/>
        <v>0</v>
      </c>
      <c r="G664" s="38">
        <f>COUNTIFS(HH_FCSP!$G$18:$G$3617,$E664,HH_FCSP!$F$18:$F$3617,"catapult/crossbow")</f>
        <v>0</v>
      </c>
      <c r="H664" s="38">
        <f>COUNTIFS(HH_FCSP!$G$18:$G$3617,$E664,HH_FCSP!$F$18:$F$3617,"white")</f>
        <v>0</v>
      </c>
    </row>
    <row r="665">
      <c r="A665" s="38"/>
      <c r="B665" s="38">
        <v>0.0</v>
      </c>
      <c r="C665" s="38">
        <v>0.0</v>
      </c>
      <c r="D665" s="38">
        <v>0.0</v>
      </c>
      <c r="E665" s="38"/>
      <c r="F665" s="38">
        <f t="shared" si="1"/>
        <v>0</v>
      </c>
      <c r="G665" s="38">
        <f>COUNTIFS(HH_FCSP!$G$18:$G$3617,$E665,HH_FCSP!$F$18:$F$3617,"catapult/crossbow")</f>
        <v>0</v>
      </c>
      <c r="H665" s="38">
        <f>COUNTIFS(HH_FCSP!$G$18:$G$3617,$E665,HH_FCSP!$F$18:$F$3617,"white")</f>
        <v>0</v>
      </c>
    </row>
    <row r="666">
      <c r="A666" s="38"/>
      <c r="B666" s="38">
        <v>0.0</v>
      </c>
      <c r="C666" s="38">
        <v>0.0</v>
      </c>
      <c r="D666" s="38">
        <v>0.0</v>
      </c>
      <c r="E666" s="38"/>
      <c r="F666" s="38">
        <f t="shared" si="1"/>
        <v>0</v>
      </c>
      <c r="G666" s="38">
        <f>COUNTIFS(HH_FCSP!$G$18:$G$3617,$E666,HH_FCSP!$F$18:$F$3617,"catapult/crossbow")</f>
        <v>0</v>
      </c>
      <c r="H666" s="38">
        <f>COUNTIFS(HH_FCSP!$G$18:$G$3617,$E666,HH_FCSP!$F$18:$F$3617,"white")</f>
        <v>0</v>
      </c>
    </row>
    <row r="667">
      <c r="A667" s="38"/>
      <c r="B667" s="38">
        <v>0.0</v>
      </c>
      <c r="C667" s="38">
        <v>0.0</v>
      </c>
      <c r="D667" s="38">
        <v>0.0</v>
      </c>
      <c r="E667" s="38"/>
      <c r="F667" s="38">
        <f t="shared" si="1"/>
        <v>0</v>
      </c>
      <c r="G667" s="38">
        <f>COUNTIFS(HH_FCSP!$G$18:$G$3617,$E667,HH_FCSP!$F$18:$F$3617,"catapult/crossbow")</f>
        <v>0</v>
      </c>
      <c r="H667" s="38">
        <f>COUNTIFS(HH_FCSP!$G$18:$G$3617,$E667,HH_FCSP!$F$18:$F$3617,"white")</f>
        <v>0</v>
      </c>
    </row>
    <row r="668">
      <c r="A668" s="38"/>
      <c r="B668" s="38">
        <v>0.0</v>
      </c>
      <c r="C668" s="38">
        <v>0.0</v>
      </c>
      <c r="D668" s="38">
        <v>0.0</v>
      </c>
      <c r="E668" s="38"/>
      <c r="F668" s="38">
        <f t="shared" si="1"/>
        <v>0</v>
      </c>
      <c r="G668" s="38">
        <f>COUNTIFS(HH_FCSP!$G$18:$G$3617,$E668,HH_FCSP!$F$18:$F$3617,"catapult/crossbow")</f>
        <v>0</v>
      </c>
      <c r="H668" s="38">
        <f>COUNTIFS(HH_FCSP!$G$18:$G$3617,$E668,HH_FCSP!$F$18:$F$3617,"white")</f>
        <v>0</v>
      </c>
    </row>
    <row r="669">
      <c r="A669" s="38"/>
      <c r="B669" s="38">
        <v>0.0</v>
      </c>
      <c r="C669" s="38">
        <v>0.0</v>
      </c>
      <c r="D669" s="38">
        <v>0.0</v>
      </c>
      <c r="E669" s="38"/>
      <c r="F669" s="38">
        <f t="shared" si="1"/>
        <v>0</v>
      </c>
      <c r="G669" s="38">
        <f>COUNTIFS(HH_FCSP!$G$18:$G$3617,$E669,HH_FCSP!$F$18:$F$3617,"catapult/crossbow")</f>
        <v>0</v>
      </c>
      <c r="H669" s="38">
        <f>COUNTIFS(HH_FCSP!$G$18:$G$3617,$E669,HH_FCSP!$F$18:$F$3617,"white")</f>
        <v>0</v>
      </c>
    </row>
    <row r="670">
      <c r="A670" s="38"/>
      <c r="B670" s="38">
        <v>0.0</v>
      </c>
      <c r="C670" s="38">
        <v>0.0</v>
      </c>
      <c r="D670" s="38">
        <v>0.0</v>
      </c>
      <c r="E670" s="38"/>
      <c r="F670" s="38">
        <f t="shared" si="1"/>
        <v>0</v>
      </c>
      <c r="G670" s="38">
        <f>COUNTIFS(HH_FCSP!$G$18:$G$3617,$E670,HH_FCSP!$F$18:$F$3617,"catapult/crossbow")</f>
        <v>0</v>
      </c>
      <c r="H670" s="38">
        <f>COUNTIFS(HH_FCSP!$G$18:$G$3617,$E670,HH_FCSP!$F$18:$F$3617,"white")</f>
        <v>0</v>
      </c>
    </row>
    <row r="671">
      <c r="A671" s="38"/>
      <c r="B671" s="38">
        <v>0.0</v>
      </c>
      <c r="C671" s="38">
        <v>0.0</v>
      </c>
      <c r="D671" s="38">
        <v>0.0</v>
      </c>
      <c r="E671" s="38"/>
      <c r="F671" s="38">
        <f t="shared" si="1"/>
        <v>0</v>
      </c>
      <c r="G671" s="38">
        <f>COUNTIFS(HH_FCSP!$G$18:$G$3617,$E671,HH_FCSP!$F$18:$F$3617,"catapult/crossbow")</f>
        <v>0</v>
      </c>
      <c r="H671" s="38">
        <f>COUNTIFS(HH_FCSP!$G$18:$G$3617,$E671,HH_FCSP!$F$18:$F$3617,"white")</f>
        <v>0</v>
      </c>
    </row>
    <row r="672">
      <c r="A672" s="38"/>
      <c r="B672" s="38">
        <v>0.0</v>
      </c>
      <c r="C672" s="38">
        <v>0.0</v>
      </c>
      <c r="D672" s="38">
        <v>0.0</v>
      </c>
      <c r="E672" s="38"/>
      <c r="F672" s="38">
        <f t="shared" si="1"/>
        <v>0</v>
      </c>
      <c r="G672" s="38">
        <f>COUNTIFS(HH_FCSP!$G$18:$G$3617,$E672,HH_FCSP!$F$18:$F$3617,"catapult/crossbow")</f>
        <v>0</v>
      </c>
      <c r="H672" s="38">
        <f>COUNTIFS(HH_FCSP!$G$18:$G$3617,$E672,HH_FCSP!$F$18:$F$3617,"white")</f>
        <v>0</v>
      </c>
    </row>
    <row r="673">
      <c r="A673" s="38"/>
      <c r="B673" s="38">
        <v>0.0</v>
      </c>
      <c r="C673" s="38">
        <v>0.0</v>
      </c>
      <c r="D673" s="38">
        <v>0.0</v>
      </c>
      <c r="E673" s="38"/>
      <c r="F673" s="38">
        <f t="shared" si="1"/>
        <v>0</v>
      </c>
      <c r="G673" s="38">
        <f>COUNTIFS(HH_FCSP!$G$18:$G$3617,$E673,HH_FCSP!$F$18:$F$3617,"catapult/crossbow")</f>
        <v>0</v>
      </c>
      <c r="H673" s="38">
        <f>COUNTIFS(HH_FCSP!$G$18:$G$3617,$E673,HH_FCSP!$F$18:$F$3617,"white")</f>
        <v>0</v>
      </c>
    </row>
    <row r="674">
      <c r="A674" s="38"/>
      <c r="B674" s="38">
        <v>0.0</v>
      </c>
      <c r="C674" s="38">
        <v>0.0</v>
      </c>
      <c r="D674" s="38">
        <v>0.0</v>
      </c>
      <c r="E674" s="38"/>
      <c r="F674" s="38">
        <f t="shared" si="1"/>
        <v>0</v>
      </c>
      <c r="G674" s="38">
        <f>COUNTIFS(HH_FCSP!$G$18:$G$3617,$E674,HH_FCSP!$F$18:$F$3617,"catapult/crossbow")</f>
        <v>0</v>
      </c>
      <c r="H674" s="38">
        <f>COUNTIFS(HH_FCSP!$G$18:$G$3617,$E674,HH_FCSP!$F$18:$F$3617,"white")</f>
        <v>0</v>
      </c>
    </row>
    <row r="675">
      <c r="A675" s="38"/>
      <c r="B675" s="38">
        <v>0.0</v>
      </c>
      <c r="C675" s="38">
        <v>0.0</v>
      </c>
      <c r="D675" s="38">
        <v>0.0</v>
      </c>
      <c r="E675" s="38"/>
      <c r="F675" s="38">
        <f t="shared" si="1"/>
        <v>0</v>
      </c>
      <c r="G675" s="38">
        <f>COUNTIFS(HH_FCSP!$G$18:$G$3617,$E675,HH_FCSP!$F$18:$F$3617,"catapult/crossbow")</f>
        <v>0</v>
      </c>
      <c r="H675" s="38">
        <f>COUNTIFS(HH_FCSP!$G$18:$G$3617,$E675,HH_FCSP!$F$18:$F$3617,"white")</f>
        <v>0</v>
      </c>
    </row>
    <row r="676">
      <c r="A676" s="38"/>
      <c r="B676" s="38">
        <v>0.0</v>
      </c>
      <c r="C676" s="38">
        <v>0.0</v>
      </c>
      <c r="D676" s="38">
        <v>0.0</v>
      </c>
      <c r="E676" s="38"/>
      <c r="F676" s="38">
        <f t="shared" si="1"/>
        <v>0</v>
      </c>
      <c r="G676" s="38">
        <f>COUNTIFS(HH_FCSP!$G$18:$G$3617,$E676,HH_FCSP!$F$18:$F$3617,"catapult/crossbow")</f>
        <v>0</v>
      </c>
      <c r="H676" s="38">
        <f>COUNTIFS(HH_FCSP!$G$18:$G$3617,$E676,HH_FCSP!$F$18:$F$3617,"white")</f>
        <v>0</v>
      </c>
    </row>
    <row r="677">
      <c r="A677" s="38"/>
      <c r="B677" s="38">
        <v>0.0</v>
      </c>
      <c r="C677" s="38">
        <v>0.0</v>
      </c>
      <c r="D677" s="38">
        <v>0.0</v>
      </c>
      <c r="E677" s="38"/>
      <c r="F677" s="38">
        <f t="shared" si="1"/>
        <v>0</v>
      </c>
      <c r="G677" s="38">
        <f>COUNTIFS(HH_FCSP!$G$18:$G$3617,$E677,HH_FCSP!$F$18:$F$3617,"catapult/crossbow")</f>
        <v>0</v>
      </c>
      <c r="H677" s="38">
        <f>COUNTIFS(HH_FCSP!$G$18:$G$3617,$E677,HH_FCSP!$F$18:$F$3617,"white")</f>
        <v>0</v>
      </c>
    </row>
    <row r="678">
      <c r="A678" s="38"/>
      <c r="B678" s="38">
        <v>0.0</v>
      </c>
      <c r="C678" s="38">
        <v>0.0</v>
      </c>
      <c r="D678" s="38">
        <v>0.0</v>
      </c>
      <c r="E678" s="38"/>
      <c r="F678" s="38">
        <f t="shared" si="1"/>
        <v>0</v>
      </c>
      <c r="G678" s="38">
        <f>COUNTIFS(HH_FCSP!$G$18:$G$3617,$E678,HH_FCSP!$F$18:$F$3617,"catapult/crossbow")</f>
        <v>0</v>
      </c>
      <c r="H678" s="38">
        <f>COUNTIFS(HH_FCSP!$G$18:$G$3617,$E678,HH_FCSP!$F$18:$F$3617,"white")</f>
        <v>0</v>
      </c>
    </row>
    <row r="679">
      <c r="A679" s="38"/>
      <c r="B679" s="38">
        <v>0.0</v>
      </c>
      <c r="C679" s="38">
        <v>0.0</v>
      </c>
      <c r="D679" s="38">
        <v>0.0</v>
      </c>
      <c r="E679" s="38"/>
      <c r="F679" s="38">
        <f t="shared" si="1"/>
        <v>0</v>
      </c>
      <c r="G679" s="38">
        <f>COUNTIFS(HH_FCSP!$G$18:$G$3617,$E679,HH_FCSP!$F$18:$F$3617,"catapult/crossbow")</f>
        <v>0</v>
      </c>
      <c r="H679" s="38">
        <f>COUNTIFS(HH_FCSP!$G$18:$G$3617,$E679,HH_FCSP!$F$18:$F$3617,"white")</f>
        <v>0</v>
      </c>
    </row>
    <row r="680">
      <c r="A680" s="38"/>
      <c r="B680" s="38">
        <v>0.0</v>
      </c>
      <c r="C680" s="38">
        <v>0.0</v>
      </c>
      <c r="D680" s="38">
        <v>0.0</v>
      </c>
      <c r="E680" s="38"/>
      <c r="F680" s="38">
        <f t="shared" si="1"/>
        <v>0</v>
      </c>
      <c r="G680" s="38">
        <f>COUNTIFS(HH_FCSP!$G$18:$G$3617,$E680,HH_FCSP!$F$18:$F$3617,"catapult/crossbow")</f>
        <v>0</v>
      </c>
      <c r="H680" s="38">
        <f>COUNTIFS(HH_FCSP!$G$18:$G$3617,$E680,HH_FCSP!$F$18:$F$3617,"white")</f>
        <v>0</v>
      </c>
    </row>
    <row r="681">
      <c r="A681" s="38"/>
      <c r="B681" s="38">
        <v>0.0</v>
      </c>
      <c r="C681" s="38">
        <v>0.0</v>
      </c>
      <c r="D681" s="38">
        <v>0.0</v>
      </c>
      <c r="E681" s="38"/>
      <c r="F681" s="38">
        <f t="shared" si="1"/>
        <v>0</v>
      </c>
      <c r="G681" s="38">
        <f>COUNTIFS(HH_FCSP!$G$18:$G$3617,$E681,HH_FCSP!$F$18:$F$3617,"catapult/crossbow")</f>
        <v>0</v>
      </c>
      <c r="H681" s="38">
        <f>COUNTIFS(HH_FCSP!$G$18:$G$3617,$E681,HH_FCSP!$F$18:$F$3617,"white")</f>
        <v>0</v>
      </c>
    </row>
    <row r="682">
      <c r="A682" s="38"/>
      <c r="B682" s="38">
        <v>0.0</v>
      </c>
      <c r="C682" s="38">
        <v>0.0</v>
      </c>
      <c r="D682" s="38">
        <v>0.0</v>
      </c>
      <c r="E682" s="38"/>
      <c r="F682" s="38">
        <f t="shared" si="1"/>
        <v>0</v>
      </c>
      <c r="G682" s="38">
        <f>COUNTIFS(HH_FCSP!$G$18:$G$3617,$E682,HH_FCSP!$F$18:$F$3617,"catapult/crossbow")</f>
        <v>0</v>
      </c>
      <c r="H682" s="38">
        <f>COUNTIFS(HH_FCSP!$G$18:$G$3617,$E682,HH_FCSP!$F$18:$F$3617,"white")</f>
        <v>0</v>
      </c>
    </row>
    <row r="683">
      <c r="A683" s="38"/>
      <c r="B683" s="38">
        <v>0.0</v>
      </c>
      <c r="C683" s="38">
        <v>0.0</v>
      </c>
      <c r="D683" s="38">
        <v>0.0</v>
      </c>
      <c r="E683" s="38"/>
      <c r="F683" s="38">
        <f t="shared" si="1"/>
        <v>0</v>
      </c>
      <c r="G683" s="38">
        <f>COUNTIFS(HH_FCSP!$G$18:$G$3617,$E683,HH_FCSP!$F$18:$F$3617,"catapult/crossbow")</f>
        <v>0</v>
      </c>
      <c r="H683" s="38">
        <f>COUNTIFS(HH_FCSP!$G$18:$G$3617,$E683,HH_FCSP!$F$18:$F$3617,"white")</f>
        <v>0</v>
      </c>
    </row>
    <row r="684">
      <c r="A684" s="38"/>
      <c r="B684" s="38">
        <v>0.0</v>
      </c>
      <c r="C684" s="38">
        <v>0.0</v>
      </c>
      <c r="D684" s="38">
        <v>0.0</v>
      </c>
      <c r="E684" s="38"/>
      <c r="F684" s="38">
        <f t="shared" si="1"/>
        <v>0</v>
      </c>
      <c r="G684" s="38">
        <f>COUNTIFS(HH_FCSP!$G$18:$G$3617,$E684,HH_FCSP!$F$18:$F$3617,"catapult/crossbow")</f>
        <v>0</v>
      </c>
      <c r="H684" s="38">
        <f>COUNTIFS(HH_FCSP!$G$18:$G$3617,$E684,HH_FCSP!$F$18:$F$3617,"white")</f>
        <v>0</v>
      </c>
    </row>
    <row r="685">
      <c r="A685" s="38"/>
      <c r="B685" s="38">
        <v>0.0</v>
      </c>
      <c r="C685" s="38">
        <v>0.0</v>
      </c>
      <c r="D685" s="38">
        <v>0.0</v>
      </c>
      <c r="E685" s="38"/>
      <c r="F685" s="38">
        <f t="shared" si="1"/>
        <v>0</v>
      </c>
      <c r="G685" s="38">
        <f>COUNTIFS(HH_FCSP!$G$18:$G$3617,$E685,HH_FCSP!$F$18:$F$3617,"catapult/crossbow")</f>
        <v>0</v>
      </c>
      <c r="H685" s="38">
        <f>COUNTIFS(HH_FCSP!$G$18:$G$3617,$E685,HH_FCSP!$F$18:$F$3617,"white")</f>
        <v>0</v>
      </c>
    </row>
    <row r="686">
      <c r="A686" s="38"/>
      <c r="B686" s="38">
        <v>0.0</v>
      </c>
      <c r="C686" s="38">
        <v>0.0</v>
      </c>
      <c r="D686" s="38">
        <v>0.0</v>
      </c>
      <c r="E686" s="38"/>
      <c r="F686" s="38">
        <f t="shared" si="1"/>
        <v>0</v>
      </c>
      <c r="G686" s="38">
        <f>COUNTIFS(HH_FCSP!$G$18:$G$3617,$E686,HH_FCSP!$F$18:$F$3617,"catapult/crossbow")</f>
        <v>0</v>
      </c>
      <c r="H686" s="38">
        <f>COUNTIFS(HH_FCSP!$G$18:$G$3617,$E686,HH_FCSP!$F$18:$F$3617,"white")</f>
        <v>0</v>
      </c>
    </row>
    <row r="687">
      <c r="A687" s="38"/>
      <c r="B687" s="38">
        <v>0.0</v>
      </c>
      <c r="C687" s="38">
        <v>0.0</v>
      </c>
      <c r="D687" s="38">
        <v>0.0</v>
      </c>
      <c r="E687" s="38"/>
      <c r="F687" s="38">
        <f t="shared" si="1"/>
        <v>0</v>
      </c>
      <c r="G687" s="38">
        <f>COUNTIFS(HH_FCSP!$G$18:$G$3617,$E687,HH_FCSP!$F$18:$F$3617,"catapult/crossbow")</f>
        <v>0</v>
      </c>
      <c r="H687" s="38">
        <f>COUNTIFS(HH_FCSP!$G$18:$G$3617,$E687,HH_FCSP!$F$18:$F$3617,"white")</f>
        <v>0</v>
      </c>
    </row>
    <row r="688">
      <c r="A688" s="38"/>
      <c r="B688" s="38">
        <v>0.0</v>
      </c>
      <c r="C688" s="38">
        <v>0.0</v>
      </c>
      <c r="D688" s="38">
        <v>0.0</v>
      </c>
      <c r="E688" s="38"/>
      <c r="F688" s="38">
        <f t="shared" si="1"/>
        <v>0</v>
      </c>
      <c r="G688" s="38">
        <f>COUNTIFS(HH_FCSP!$G$18:$G$3617,$E688,HH_FCSP!$F$18:$F$3617,"catapult/crossbow")</f>
        <v>0</v>
      </c>
      <c r="H688" s="38">
        <f>COUNTIFS(HH_FCSP!$G$18:$G$3617,$E688,HH_FCSP!$F$18:$F$3617,"white")</f>
        <v>0</v>
      </c>
    </row>
    <row r="689">
      <c r="A689" s="38"/>
      <c r="B689" s="38">
        <v>0.0</v>
      </c>
      <c r="C689" s="38">
        <v>0.0</v>
      </c>
      <c r="D689" s="38">
        <v>0.0</v>
      </c>
      <c r="E689" s="38"/>
      <c r="F689" s="38">
        <f t="shared" si="1"/>
        <v>0</v>
      </c>
      <c r="G689" s="38">
        <f>COUNTIFS(HH_FCSP!$G$18:$G$3617,$E689,HH_FCSP!$F$18:$F$3617,"catapult/crossbow")</f>
        <v>0</v>
      </c>
      <c r="H689" s="38">
        <f>COUNTIFS(HH_FCSP!$G$18:$G$3617,$E689,HH_FCSP!$F$18:$F$3617,"white")</f>
        <v>0</v>
      </c>
    </row>
    <row r="690">
      <c r="A690" s="38"/>
      <c r="B690" s="38">
        <v>0.0</v>
      </c>
      <c r="C690" s="38">
        <v>0.0</v>
      </c>
      <c r="D690" s="38">
        <v>0.0</v>
      </c>
      <c r="E690" s="38"/>
      <c r="F690" s="38">
        <f t="shared" si="1"/>
        <v>0</v>
      </c>
      <c r="G690" s="38">
        <f>COUNTIFS(HH_FCSP!$G$18:$G$3617,$E690,HH_FCSP!$F$18:$F$3617,"catapult/crossbow")</f>
        <v>0</v>
      </c>
      <c r="H690" s="38">
        <f>COUNTIFS(HH_FCSP!$G$18:$G$3617,$E690,HH_FCSP!$F$18:$F$3617,"white")</f>
        <v>0</v>
      </c>
    </row>
    <row r="691">
      <c r="A691" s="38"/>
      <c r="B691" s="38">
        <v>0.0</v>
      </c>
      <c r="C691" s="38">
        <v>0.0</v>
      </c>
      <c r="D691" s="38">
        <v>0.0</v>
      </c>
      <c r="E691" s="38"/>
      <c r="F691" s="38">
        <f t="shared" si="1"/>
        <v>0</v>
      </c>
      <c r="G691" s="38">
        <f>COUNTIFS(HH_FCSP!$G$18:$G$3617,$E691,HH_FCSP!$F$18:$F$3617,"catapult/crossbow")</f>
        <v>0</v>
      </c>
      <c r="H691" s="38">
        <f>COUNTIFS(HH_FCSP!$G$18:$G$3617,$E691,HH_FCSP!$F$18:$F$3617,"white")</f>
        <v>0</v>
      </c>
    </row>
    <row r="692">
      <c r="A692" s="38"/>
      <c r="B692" s="38">
        <v>0.0</v>
      </c>
      <c r="C692" s="38">
        <v>0.0</v>
      </c>
      <c r="D692" s="38">
        <v>0.0</v>
      </c>
      <c r="E692" s="38"/>
      <c r="F692" s="38">
        <f t="shared" si="1"/>
        <v>0</v>
      </c>
      <c r="G692" s="38">
        <f>COUNTIFS(HH_FCSP!$G$18:$G$3617,$E692,HH_FCSP!$F$18:$F$3617,"catapult/crossbow")</f>
        <v>0</v>
      </c>
      <c r="H692" s="38">
        <f>COUNTIFS(HH_FCSP!$G$18:$G$3617,$E692,HH_FCSP!$F$18:$F$3617,"white")</f>
        <v>0</v>
      </c>
    </row>
    <row r="693">
      <c r="A693" s="38"/>
      <c r="B693" s="38">
        <v>0.0</v>
      </c>
      <c r="C693" s="38">
        <v>0.0</v>
      </c>
      <c r="D693" s="38">
        <v>0.0</v>
      </c>
      <c r="E693" s="38"/>
      <c r="F693" s="38">
        <f t="shared" si="1"/>
        <v>0</v>
      </c>
      <c r="G693" s="38">
        <f>COUNTIFS(HH_FCSP!$G$18:$G$3617,$E693,HH_FCSP!$F$18:$F$3617,"catapult/crossbow")</f>
        <v>0</v>
      </c>
      <c r="H693" s="38">
        <f>COUNTIFS(HH_FCSP!$G$18:$G$3617,$E693,HH_FCSP!$F$18:$F$3617,"white")</f>
        <v>0</v>
      </c>
    </row>
    <row r="694">
      <c r="A694" s="38"/>
      <c r="B694" s="38">
        <v>0.0</v>
      </c>
      <c r="C694" s="38">
        <v>0.0</v>
      </c>
      <c r="D694" s="38">
        <v>0.0</v>
      </c>
      <c r="E694" s="38"/>
      <c r="F694" s="38">
        <f t="shared" si="1"/>
        <v>0</v>
      </c>
      <c r="G694" s="38">
        <f>COUNTIFS(HH_FCSP!$G$18:$G$3617,$E694,HH_FCSP!$F$18:$F$3617,"catapult/crossbow")</f>
        <v>0</v>
      </c>
      <c r="H694" s="38">
        <f>COUNTIFS(HH_FCSP!$G$18:$G$3617,$E694,HH_FCSP!$F$18:$F$3617,"white")</f>
        <v>0</v>
      </c>
    </row>
    <row r="695">
      <c r="A695" s="38"/>
      <c r="B695" s="38">
        <v>0.0</v>
      </c>
      <c r="C695" s="38">
        <v>0.0</v>
      </c>
      <c r="D695" s="38">
        <v>0.0</v>
      </c>
      <c r="E695" s="38"/>
      <c r="F695" s="38">
        <f t="shared" si="1"/>
        <v>0</v>
      </c>
      <c r="G695" s="38">
        <f>COUNTIFS(HH_FCSP!$G$18:$G$3617,$E695,HH_FCSP!$F$18:$F$3617,"catapult/crossbow")</f>
        <v>0</v>
      </c>
      <c r="H695" s="38">
        <f>COUNTIFS(HH_FCSP!$G$18:$G$3617,$E695,HH_FCSP!$F$18:$F$3617,"white")</f>
        <v>0</v>
      </c>
    </row>
    <row r="696">
      <c r="A696" s="38"/>
      <c r="B696" s="38">
        <v>0.0</v>
      </c>
      <c r="C696" s="38">
        <v>0.0</v>
      </c>
      <c r="D696" s="38">
        <v>0.0</v>
      </c>
      <c r="E696" s="38"/>
      <c r="F696" s="38">
        <f t="shared" si="1"/>
        <v>0</v>
      </c>
      <c r="G696" s="38">
        <f>COUNTIFS(HH_FCSP!$G$18:$G$3617,$E696,HH_FCSP!$F$18:$F$3617,"catapult/crossbow")</f>
        <v>0</v>
      </c>
      <c r="H696" s="38">
        <f>COUNTIFS(HH_FCSP!$G$18:$G$3617,$E696,HH_FCSP!$F$18:$F$3617,"white")</f>
        <v>0</v>
      </c>
    </row>
    <row r="697">
      <c r="A697" s="38"/>
      <c r="B697" s="38">
        <v>0.0</v>
      </c>
      <c r="C697" s="38">
        <v>0.0</v>
      </c>
      <c r="D697" s="38">
        <v>0.0</v>
      </c>
      <c r="E697" s="38"/>
      <c r="F697" s="38">
        <f t="shared" si="1"/>
        <v>0</v>
      </c>
      <c r="G697" s="38">
        <f>COUNTIFS(HH_FCSP!$G$18:$G$3617,$E697,HH_FCSP!$F$18:$F$3617,"catapult/crossbow")</f>
        <v>0</v>
      </c>
      <c r="H697" s="38">
        <f>COUNTIFS(HH_FCSP!$G$18:$G$3617,$E697,HH_FCSP!$F$18:$F$3617,"white")</f>
        <v>0</v>
      </c>
    </row>
    <row r="698">
      <c r="A698" s="38"/>
      <c r="B698" s="38">
        <v>0.0</v>
      </c>
      <c r="C698" s="38">
        <v>0.0</v>
      </c>
      <c r="D698" s="38">
        <v>0.0</v>
      </c>
      <c r="E698" s="38"/>
      <c r="F698" s="38">
        <f t="shared" si="1"/>
        <v>0</v>
      </c>
      <c r="G698" s="38">
        <f>COUNTIFS(HH_FCSP!$G$18:$G$3617,$E698,HH_FCSP!$F$18:$F$3617,"catapult/crossbow")</f>
        <v>0</v>
      </c>
      <c r="H698" s="38">
        <f>COUNTIFS(HH_FCSP!$G$18:$G$3617,$E698,HH_FCSP!$F$18:$F$3617,"white")</f>
        <v>0</v>
      </c>
    </row>
    <row r="699">
      <c r="A699" s="38"/>
      <c r="B699" s="38">
        <v>0.0</v>
      </c>
      <c r="C699" s="38">
        <v>0.0</v>
      </c>
      <c r="D699" s="38">
        <v>0.0</v>
      </c>
      <c r="E699" s="38"/>
      <c r="F699" s="38">
        <f t="shared" si="1"/>
        <v>0</v>
      </c>
      <c r="G699" s="38">
        <f>COUNTIFS(HH_FCSP!$G$18:$G$3617,$E699,HH_FCSP!$F$18:$F$3617,"catapult/crossbow")</f>
        <v>0</v>
      </c>
      <c r="H699" s="38">
        <f>COUNTIFS(HH_FCSP!$G$18:$G$3617,$E699,HH_FCSP!$F$18:$F$3617,"white")</f>
        <v>0</v>
      </c>
    </row>
    <row r="700">
      <c r="A700" s="38"/>
      <c r="B700" s="38">
        <v>0.0</v>
      </c>
      <c r="C700" s="38">
        <v>0.0</v>
      </c>
      <c r="D700" s="38">
        <v>0.0</v>
      </c>
      <c r="E700" s="38"/>
      <c r="F700" s="38">
        <f t="shared" si="1"/>
        <v>0</v>
      </c>
      <c r="G700" s="38">
        <f>COUNTIFS(HH_FCSP!$G$18:$G$3617,$E700,HH_FCSP!$F$18:$F$3617,"catapult/crossbow")</f>
        <v>0</v>
      </c>
      <c r="H700" s="38">
        <f>COUNTIFS(HH_FCSP!$G$18:$G$3617,$E700,HH_FCSP!$F$18:$F$3617,"white")</f>
        <v>0</v>
      </c>
    </row>
    <row r="701">
      <c r="A701" s="38"/>
      <c r="B701" s="38">
        <v>0.0</v>
      </c>
      <c r="C701" s="38">
        <v>0.0</v>
      </c>
      <c r="D701" s="38">
        <v>0.0</v>
      </c>
      <c r="E701" s="38"/>
      <c r="F701" s="38">
        <f t="shared" si="1"/>
        <v>0</v>
      </c>
      <c r="G701" s="38">
        <f>COUNTIFS(HH_FCSP!$G$18:$G$3617,$E701,HH_FCSP!$F$18:$F$3617,"catapult/crossbow")</f>
        <v>0</v>
      </c>
      <c r="H701" s="38">
        <f>COUNTIFS(HH_FCSP!$G$18:$G$3617,$E701,HH_FCSP!$F$18:$F$3617,"white")</f>
        <v>0</v>
      </c>
    </row>
    <row r="702">
      <c r="A702" s="38"/>
      <c r="B702" s="38">
        <v>0.0</v>
      </c>
      <c r="C702" s="38">
        <v>0.0</v>
      </c>
      <c r="D702" s="38">
        <v>0.0</v>
      </c>
      <c r="E702" s="38"/>
      <c r="F702" s="38">
        <f t="shared" si="1"/>
        <v>0</v>
      </c>
      <c r="G702" s="38">
        <f>COUNTIFS(HH_FCSP!$G$18:$G$3617,$E702,HH_FCSP!$F$18:$F$3617,"catapult/crossbow")</f>
        <v>0</v>
      </c>
      <c r="H702" s="38">
        <f>COUNTIFS(HH_FCSP!$G$18:$G$3617,$E702,HH_FCSP!$F$18:$F$3617,"white")</f>
        <v>0</v>
      </c>
    </row>
    <row r="703">
      <c r="A703" s="38"/>
      <c r="B703" s="38">
        <v>0.0</v>
      </c>
      <c r="C703" s="38">
        <v>0.0</v>
      </c>
      <c r="D703" s="38">
        <v>0.0</v>
      </c>
      <c r="E703" s="38"/>
      <c r="F703" s="38">
        <f t="shared" si="1"/>
        <v>0</v>
      </c>
      <c r="G703" s="38">
        <f>COUNTIFS(HH_FCSP!$G$18:$G$3617,$E703,HH_FCSP!$F$18:$F$3617,"catapult/crossbow")</f>
        <v>0</v>
      </c>
      <c r="H703" s="38">
        <f>COUNTIFS(HH_FCSP!$G$18:$G$3617,$E703,HH_FCSP!$F$18:$F$3617,"white")</f>
        <v>0</v>
      </c>
    </row>
    <row r="704">
      <c r="A704" s="38"/>
      <c r="B704" s="38">
        <v>0.0</v>
      </c>
      <c r="C704" s="38">
        <v>0.0</v>
      </c>
      <c r="D704" s="38">
        <v>0.0</v>
      </c>
      <c r="E704" s="38"/>
      <c r="F704" s="38">
        <f t="shared" si="1"/>
        <v>0</v>
      </c>
      <c r="G704" s="38">
        <f>COUNTIFS(HH_FCSP!$G$18:$G$3617,$E704,HH_FCSP!$F$18:$F$3617,"catapult/crossbow")</f>
        <v>0</v>
      </c>
      <c r="H704" s="38">
        <f>COUNTIFS(HH_FCSP!$G$18:$G$3617,$E704,HH_FCSP!$F$18:$F$3617,"white")</f>
        <v>0</v>
      </c>
    </row>
    <row r="705">
      <c r="A705" s="38"/>
      <c r="B705" s="38">
        <v>0.0</v>
      </c>
      <c r="C705" s="38">
        <v>0.0</v>
      </c>
      <c r="D705" s="38">
        <v>0.0</v>
      </c>
      <c r="E705" s="38"/>
      <c r="F705" s="38">
        <f t="shared" si="1"/>
        <v>0</v>
      </c>
      <c r="G705" s="38">
        <f>COUNTIFS(HH_FCSP!$G$18:$G$3617,$E705,HH_FCSP!$F$18:$F$3617,"catapult/crossbow")</f>
        <v>0</v>
      </c>
      <c r="H705" s="38">
        <f>COUNTIFS(HH_FCSP!$G$18:$G$3617,$E705,HH_FCSP!$F$18:$F$3617,"white")</f>
        <v>0</v>
      </c>
    </row>
    <row r="706">
      <c r="A706" s="38"/>
      <c r="B706" s="38">
        <v>0.0</v>
      </c>
      <c r="C706" s="38">
        <v>0.0</v>
      </c>
      <c r="D706" s="38">
        <v>0.0</v>
      </c>
      <c r="E706" s="38"/>
      <c r="F706" s="38">
        <f t="shared" si="1"/>
        <v>0</v>
      </c>
      <c r="G706" s="38">
        <f>COUNTIFS(HH_FCSP!$G$18:$G$3617,$E706,HH_FCSP!$F$18:$F$3617,"catapult/crossbow")</f>
        <v>0</v>
      </c>
      <c r="H706" s="38">
        <f>COUNTIFS(HH_FCSP!$G$18:$G$3617,$E706,HH_FCSP!$F$18:$F$3617,"white")</f>
        <v>0</v>
      </c>
    </row>
    <row r="707">
      <c r="A707" s="38"/>
      <c r="B707" s="38">
        <v>0.0</v>
      </c>
      <c r="C707" s="38">
        <v>0.0</v>
      </c>
      <c r="D707" s="38">
        <v>0.0</v>
      </c>
      <c r="E707" s="38"/>
      <c r="F707" s="38">
        <f t="shared" si="1"/>
        <v>0</v>
      </c>
      <c r="G707" s="38">
        <f>COUNTIFS(HH_FCSP!$G$18:$G$3617,$E707,HH_FCSP!$F$18:$F$3617,"catapult/crossbow")</f>
        <v>0</v>
      </c>
      <c r="H707" s="38">
        <f>COUNTIFS(HH_FCSP!$G$18:$G$3617,$E707,HH_FCSP!$F$18:$F$3617,"white")</f>
        <v>0</v>
      </c>
    </row>
    <row r="708">
      <c r="A708" s="38"/>
      <c r="B708" s="38">
        <v>0.0</v>
      </c>
      <c r="C708" s="38">
        <v>0.0</v>
      </c>
      <c r="D708" s="38">
        <v>0.0</v>
      </c>
      <c r="E708" s="38"/>
      <c r="F708" s="38">
        <f t="shared" si="1"/>
        <v>0</v>
      </c>
      <c r="G708" s="38">
        <f>COUNTIFS(HH_FCSP!$G$18:$G$3617,$E708,HH_FCSP!$F$18:$F$3617,"catapult/crossbow")</f>
        <v>0</v>
      </c>
      <c r="H708" s="38">
        <f>COUNTIFS(HH_FCSP!$G$18:$G$3617,$E708,HH_FCSP!$F$18:$F$3617,"white")</f>
        <v>0</v>
      </c>
    </row>
    <row r="709">
      <c r="A709" s="38"/>
      <c r="B709" s="38">
        <v>0.0</v>
      </c>
      <c r="C709" s="38">
        <v>0.0</v>
      </c>
      <c r="D709" s="38">
        <v>0.0</v>
      </c>
      <c r="E709" s="38"/>
      <c r="F709" s="38">
        <f t="shared" si="1"/>
        <v>0</v>
      </c>
      <c r="G709" s="38">
        <f>COUNTIFS(HH_FCSP!$G$18:$G$3617,$E709,HH_FCSP!$F$18:$F$3617,"catapult/crossbow")</f>
        <v>0</v>
      </c>
      <c r="H709" s="38">
        <f>COUNTIFS(HH_FCSP!$G$18:$G$3617,$E709,HH_FCSP!$F$18:$F$3617,"white")</f>
        <v>0</v>
      </c>
    </row>
    <row r="710">
      <c r="A710" s="38"/>
      <c r="B710" s="38">
        <v>0.0</v>
      </c>
      <c r="C710" s="38">
        <v>0.0</v>
      </c>
      <c r="D710" s="38">
        <v>0.0</v>
      </c>
      <c r="E710" s="38"/>
      <c r="F710" s="38">
        <f t="shared" si="1"/>
        <v>0</v>
      </c>
      <c r="G710" s="38">
        <f>COUNTIFS(HH_FCSP!$G$18:$G$3617,$E710,HH_FCSP!$F$18:$F$3617,"catapult/crossbow")</f>
        <v>0</v>
      </c>
      <c r="H710" s="38">
        <f>COUNTIFS(HH_FCSP!$G$18:$G$3617,$E710,HH_FCSP!$F$18:$F$3617,"white")</f>
        <v>0</v>
      </c>
    </row>
    <row r="711">
      <c r="A711" s="38"/>
      <c r="B711" s="38">
        <v>0.0</v>
      </c>
      <c r="C711" s="38">
        <v>0.0</v>
      </c>
      <c r="D711" s="38">
        <v>0.0</v>
      </c>
      <c r="E711" s="38"/>
      <c r="F711" s="38">
        <f t="shared" si="1"/>
        <v>0</v>
      </c>
      <c r="G711" s="38">
        <f>COUNTIFS(HH_FCSP!$G$18:$G$3617,$E711,HH_FCSP!$F$18:$F$3617,"catapult/crossbow")</f>
        <v>0</v>
      </c>
      <c r="H711" s="38">
        <f>COUNTIFS(HH_FCSP!$G$18:$G$3617,$E711,HH_FCSP!$F$18:$F$3617,"white")</f>
        <v>0</v>
      </c>
    </row>
    <row r="712">
      <c r="A712" s="38"/>
      <c r="B712" s="38">
        <v>0.0</v>
      </c>
      <c r="C712" s="38">
        <v>0.0</v>
      </c>
      <c r="D712" s="38">
        <v>0.0</v>
      </c>
      <c r="E712" s="38"/>
      <c r="F712" s="38">
        <f t="shared" si="1"/>
        <v>0</v>
      </c>
      <c r="G712" s="38">
        <f>COUNTIFS(HH_FCSP!$G$18:$G$3617,$E712,HH_FCSP!$F$18:$F$3617,"catapult/crossbow")</f>
        <v>0</v>
      </c>
      <c r="H712" s="38">
        <f>COUNTIFS(HH_FCSP!$G$18:$G$3617,$E712,HH_FCSP!$F$18:$F$3617,"white")</f>
        <v>0</v>
      </c>
    </row>
    <row r="713">
      <c r="A713" s="38"/>
      <c r="B713" s="38">
        <v>0.0</v>
      </c>
      <c r="C713" s="38">
        <v>0.0</v>
      </c>
      <c r="D713" s="38">
        <v>0.0</v>
      </c>
      <c r="E713" s="38"/>
      <c r="F713" s="38">
        <f t="shared" si="1"/>
        <v>0</v>
      </c>
      <c r="G713" s="38">
        <f>COUNTIFS(HH_FCSP!$G$18:$G$3617,$E713,HH_FCSP!$F$18:$F$3617,"catapult/crossbow")</f>
        <v>0</v>
      </c>
      <c r="H713" s="38">
        <f>COUNTIFS(HH_FCSP!$G$18:$G$3617,$E713,HH_FCSP!$F$18:$F$3617,"white")</f>
        <v>0</v>
      </c>
    </row>
    <row r="714">
      <c r="A714" s="38"/>
      <c r="B714" s="38">
        <v>0.0</v>
      </c>
      <c r="C714" s="38">
        <v>0.0</v>
      </c>
      <c r="D714" s="38">
        <v>0.0</v>
      </c>
      <c r="E714" s="38"/>
      <c r="F714" s="38">
        <f t="shared" si="1"/>
        <v>0</v>
      </c>
      <c r="G714" s="38">
        <f>COUNTIFS(HH_FCSP!$G$18:$G$3617,$E714,HH_FCSP!$F$18:$F$3617,"catapult/crossbow")</f>
        <v>0</v>
      </c>
      <c r="H714" s="38">
        <f>COUNTIFS(HH_FCSP!$G$18:$G$3617,$E714,HH_FCSP!$F$18:$F$3617,"white")</f>
        <v>0</v>
      </c>
    </row>
    <row r="715">
      <c r="A715" s="38"/>
      <c r="B715" s="38">
        <v>0.0</v>
      </c>
      <c r="C715" s="38">
        <v>0.0</v>
      </c>
      <c r="D715" s="38">
        <v>0.0</v>
      </c>
      <c r="E715" s="38"/>
      <c r="F715" s="38">
        <f t="shared" si="1"/>
        <v>0</v>
      </c>
      <c r="G715" s="38">
        <f>COUNTIFS(HH_FCSP!$G$18:$G$3617,$E715,HH_FCSP!$F$18:$F$3617,"catapult/crossbow")</f>
        <v>0</v>
      </c>
      <c r="H715" s="38">
        <f>COUNTIFS(HH_FCSP!$G$18:$G$3617,$E715,HH_FCSP!$F$18:$F$3617,"white")</f>
        <v>0</v>
      </c>
    </row>
    <row r="716">
      <c r="A716" s="38"/>
      <c r="B716" s="38">
        <v>0.0</v>
      </c>
      <c r="C716" s="38">
        <v>0.0</v>
      </c>
      <c r="D716" s="38">
        <v>0.0</v>
      </c>
      <c r="E716" s="38"/>
      <c r="F716" s="38">
        <f t="shared" si="1"/>
        <v>0</v>
      </c>
      <c r="G716" s="38">
        <f>COUNTIFS(HH_FCSP!$G$18:$G$3617,$E716,HH_FCSP!$F$18:$F$3617,"catapult/crossbow")</f>
        <v>0</v>
      </c>
      <c r="H716" s="38">
        <f>COUNTIFS(HH_FCSP!$G$18:$G$3617,$E716,HH_FCSP!$F$18:$F$3617,"white")</f>
        <v>0</v>
      </c>
    </row>
    <row r="717">
      <c r="A717" s="38"/>
      <c r="B717" s="38">
        <v>0.0</v>
      </c>
      <c r="C717" s="38">
        <v>0.0</v>
      </c>
      <c r="D717" s="38">
        <v>0.0</v>
      </c>
      <c r="E717" s="38"/>
      <c r="F717" s="38">
        <f t="shared" si="1"/>
        <v>0</v>
      </c>
      <c r="G717" s="38">
        <f>COUNTIFS(HH_FCSP!$G$18:$G$3617,$E717,HH_FCSP!$F$18:$F$3617,"catapult/crossbow")</f>
        <v>0</v>
      </c>
      <c r="H717" s="38">
        <f>COUNTIFS(HH_FCSP!$G$18:$G$3617,$E717,HH_FCSP!$F$18:$F$3617,"white")</f>
        <v>0</v>
      </c>
    </row>
    <row r="718">
      <c r="A718" s="38"/>
      <c r="B718" s="38">
        <v>0.0</v>
      </c>
      <c r="C718" s="38">
        <v>0.0</v>
      </c>
      <c r="D718" s="38">
        <v>0.0</v>
      </c>
      <c r="E718" s="38"/>
      <c r="F718" s="38">
        <f t="shared" si="1"/>
        <v>0</v>
      </c>
      <c r="G718" s="38">
        <f>COUNTIFS(HH_FCSP!$G$18:$G$3617,$E718,HH_FCSP!$F$18:$F$3617,"catapult/crossbow")</f>
        <v>0</v>
      </c>
      <c r="H718" s="38">
        <f>COUNTIFS(HH_FCSP!$G$18:$G$3617,$E718,HH_FCSP!$F$18:$F$3617,"white")</f>
        <v>0</v>
      </c>
    </row>
    <row r="719">
      <c r="A719" s="38"/>
      <c r="B719" s="38">
        <v>0.0</v>
      </c>
      <c r="C719" s="38">
        <v>0.0</v>
      </c>
      <c r="D719" s="38">
        <v>0.0</v>
      </c>
      <c r="E719" s="38"/>
      <c r="F719" s="38">
        <f t="shared" si="1"/>
        <v>0</v>
      </c>
      <c r="G719" s="38">
        <f>COUNTIFS(HH_FCSP!$G$18:$G$3617,$E719,HH_FCSP!$F$18:$F$3617,"catapult/crossbow")</f>
        <v>0</v>
      </c>
      <c r="H719" s="38">
        <f>COUNTIFS(HH_FCSP!$G$18:$G$3617,$E719,HH_FCSP!$F$18:$F$3617,"white")</f>
        <v>0</v>
      </c>
    </row>
    <row r="720">
      <c r="A720" s="38"/>
      <c r="B720" s="38">
        <v>0.0</v>
      </c>
      <c r="C720" s="38">
        <v>0.0</v>
      </c>
      <c r="D720" s="38">
        <v>0.0</v>
      </c>
      <c r="E720" s="38"/>
      <c r="F720" s="38">
        <f t="shared" si="1"/>
        <v>0</v>
      </c>
      <c r="G720" s="38">
        <f>COUNTIFS(HH_FCSP!$G$18:$G$3617,$E720,HH_FCSP!$F$18:$F$3617,"catapult/crossbow")</f>
        <v>0</v>
      </c>
      <c r="H720" s="38">
        <f>COUNTIFS(HH_FCSP!$G$18:$G$3617,$E720,HH_FCSP!$F$18:$F$3617,"white")</f>
        <v>0</v>
      </c>
    </row>
    <row r="721">
      <c r="A721" s="38"/>
      <c r="B721" s="38">
        <v>0.0</v>
      </c>
      <c r="C721" s="38">
        <v>0.0</v>
      </c>
      <c r="D721" s="38">
        <v>0.0</v>
      </c>
      <c r="E721" s="38"/>
      <c r="F721" s="38">
        <f t="shared" si="1"/>
        <v>0</v>
      </c>
      <c r="G721" s="38">
        <f>COUNTIFS(HH_FCSP!$G$18:$G$3617,$E721,HH_FCSP!$F$18:$F$3617,"catapult/crossbow")</f>
        <v>0</v>
      </c>
      <c r="H721" s="38">
        <f>COUNTIFS(HH_FCSP!$G$18:$G$3617,$E721,HH_FCSP!$F$18:$F$3617,"white")</f>
        <v>0</v>
      </c>
    </row>
    <row r="722">
      <c r="A722" s="38"/>
      <c r="B722" s="38">
        <v>0.0</v>
      </c>
      <c r="C722" s="38">
        <v>0.0</v>
      </c>
      <c r="D722" s="38">
        <v>0.0</v>
      </c>
      <c r="E722" s="38"/>
      <c r="F722" s="38">
        <f t="shared" si="1"/>
        <v>0</v>
      </c>
      <c r="G722" s="38">
        <f>COUNTIFS(HH_FCSP!$G$18:$G$3617,$E722,HH_FCSP!$F$18:$F$3617,"catapult/crossbow")</f>
        <v>0</v>
      </c>
      <c r="H722" s="38">
        <f>COUNTIFS(HH_FCSP!$G$18:$G$3617,$E722,HH_FCSP!$F$18:$F$3617,"white")</f>
        <v>0</v>
      </c>
    </row>
    <row r="723">
      <c r="A723" s="38"/>
      <c r="B723" s="38">
        <v>0.0</v>
      </c>
      <c r="C723" s="38">
        <v>0.0</v>
      </c>
      <c r="D723" s="38">
        <v>0.0</v>
      </c>
      <c r="E723" s="38"/>
      <c r="F723" s="38">
        <f t="shared" si="1"/>
        <v>0</v>
      </c>
      <c r="G723" s="38">
        <f>COUNTIFS(HH_FCSP!$G$18:$G$3617,$E723,HH_FCSP!$F$18:$F$3617,"catapult/crossbow")</f>
        <v>0</v>
      </c>
      <c r="H723" s="38">
        <f>COUNTIFS(HH_FCSP!$G$18:$G$3617,$E723,HH_FCSP!$F$18:$F$3617,"white")</f>
        <v>0</v>
      </c>
    </row>
    <row r="724">
      <c r="A724" s="38"/>
      <c r="B724" s="38">
        <v>0.0</v>
      </c>
      <c r="C724" s="38">
        <v>0.0</v>
      </c>
      <c r="D724" s="38">
        <v>0.0</v>
      </c>
      <c r="E724" s="38"/>
      <c r="F724" s="38">
        <f t="shared" si="1"/>
        <v>0</v>
      </c>
      <c r="G724" s="38">
        <f>COUNTIFS(HH_FCSP!$G$18:$G$3617,$E724,HH_FCSP!$F$18:$F$3617,"catapult/crossbow")</f>
        <v>0</v>
      </c>
      <c r="H724" s="38">
        <f>COUNTIFS(HH_FCSP!$G$18:$G$3617,$E724,HH_FCSP!$F$18:$F$3617,"white")</f>
        <v>0</v>
      </c>
    </row>
    <row r="725">
      <c r="A725" s="38"/>
      <c r="B725" s="38">
        <v>0.0</v>
      </c>
      <c r="C725" s="38">
        <v>0.0</v>
      </c>
      <c r="D725" s="38">
        <v>0.0</v>
      </c>
      <c r="E725" s="38"/>
      <c r="F725" s="38">
        <f t="shared" si="1"/>
        <v>0</v>
      </c>
      <c r="G725" s="38">
        <f>COUNTIFS(HH_FCSP!$G$18:$G$3617,$E725,HH_FCSP!$F$18:$F$3617,"catapult/crossbow")</f>
        <v>0</v>
      </c>
      <c r="H725" s="38">
        <f>COUNTIFS(HH_FCSP!$G$18:$G$3617,$E725,HH_FCSP!$F$18:$F$3617,"white")</f>
        <v>0</v>
      </c>
    </row>
    <row r="726">
      <c r="A726" s="38"/>
      <c r="B726" s="38">
        <v>0.0</v>
      </c>
      <c r="C726" s="38">
        <v>0.0</v>
      </c>
      <c r="D726" s="38">
        <v>0.0</v>
      </c>
      <c r="E726" s="38"/>
      <c r="F726" s="38">
        <f t="shared" si="1"/>
        <v>0</v>
      </c>
      <c r="G726" s="38">
        <f>COUNTIFS(HH_FCSP!$G$18:$G$3617,$E726,HH_FCSP!$F$18:$F$3617,"catapult/crossbow")</f>
        <v>0</v>
      </c>
      <c r="H726" s="38">
        <f>COUNTIFS(HH_FCSP!$G$18:$G$3617,$E726,HH_FCSP!$F$18:$F$3617,"white")</f>
        <v>0</v>
      </c>
    </row>
    <row r="727">
      <c r="A727" s="38"/>
      <c r="B727" s="38">
        <v>0.0</v>
      </c>
      <c r="C727" s="38">
        <v>0.0</v>
      </c>
      <c r="D727" s="38">
        <v>0.0</v>
      </c>
      <c r="E727" s="38"/>
      <c r="F727" s="38">
        <f t="shared" si="1"/>
        <v>0</v>
      </c>
      <c r="G727" s="38">
        <f>COUNTIFS(HH_FCSP!$G$18:$G$3617,$E727,HH_FCSP!$F$18:$F$3617,"catapult/crossbow")</f>
        <v>0</v>
      </c>
      <c r="H727" s="38">
        <f>COUNTIFS(HH_FCSP!$G$18:$G$3617,$E727,HH_FCSP!$F$18:$F$3617,"white")</f>
        <v>0</v>
      </c>
    </row>
    <row r="728">
      <c r="A728" s="38"/>
      <c r="B728" s="38">
        <v>0.0</v>
      </c>
      <c r="C728" s="38">
        <v>0.0</v>
      </c>
      <c r="D728" s="38">
        <v>0.0</v>
      </c>
      <c r="E728" s="38"/>
      <c r="F728" s="38">
        <f t="shared" si="1"/>
        <v>0</v>
      </c>
      <c r="G728" s="38">
        <f>COUNTIFS(HH_FCSP!$G$18:$G$3617,$E728,HH_FCSP!$F$18:$F$3617,"catapult/crossbow")</f>
        <v>0</v>
      </c>
      <c r="H728" s="38">
        <f>COUNTIFS(HH_FCSP!$G$18:$G$3617,$E728,HH_FCSP!$F$18:$F$3617,"white")</f>
        <v>0</v>
      </c>
    </row>
    <row r="729">
      <c r="A729" s="38"/>
      <c r="B729" s="38">
        <v>0.0</v>
      </c>
      <c r="C729" s="38">
        <v>0.0</v>
      </c>
      <c r="D729" s="38">
        <v>0.0</v>
      </c>
      <c r="E729" s="38"/>
      <c r="F729" s="38">
        <f t="shared" si="1"/>
        <v>0</v>
      </c>
      <c r="G729" s="38">
        <f>COUNTIFS(HH_FCSP!$G$18:$G$3617,$E729,HH_FCSP!$F$18:$F$3617,"catapult/crossbow")</f>
        <v>0</v>
      </c>
      <c r="H729" s="38">
        <f>COUNTIFS(HH_FCSP!$G$18:$G$3617,$E729,HH_FCSP!$F$18:$F$3617,"white")</f>
        <v>0</v>
      </c>
    </row>
    <row r="730">
      <c r="A730" s="38"/>
      <c r="B730" s="38">
        <v>0.0</v>
      </c>
      <c r="C730" s="38">
        <v>0.0</v>
      </c>
      <c r="D730" s="38">
        <v>0.0</v>
      </c>
      <c r="E730" s="38"/>
      <c r="F730" s="38">
        <f t="shared" si="1"/>
        <v>0</v>
      </c>
      <c r="G730" s="38">
        <f>COUNTIFS(HH_FCSP!$G$18:$G$3617,$E730,HH_FCSP!$F$18:$F$3617,"catapult/crossbow")</f>
        <v>0</v>
      </c>
      <c r="H730" s="38">
        <f>COUNTIFS(HH_FCSP!$G$18:$G$3617,$E730,HH_FCSP!$F$18:$F$3617,"white")</f>
        <v>0</v>
      </c>
    </row>
    <row r="731">
      <c r="A731" s="38"/>
      <c r="B731" s="38">
        <v>0.0</v>
      </c>
      <c r="C731" s="38">
        <v>0.0</v>
      </c>
      <c r="D731" s="38">
        <v>0.0</v>
      </c>
      <c r="E731" s="38"/>
      <c r="F731" s="38">
        <f t="shared" si="1"/>
        <v>0</v>
      </c>
      <c r="G731" s="38">
        <f>COUNTIFS(HH_FCSP!$G$18:$G$3617,$E731,HH_FCSP!$F$18:$F$3617,"catapult/crossbow")</f>
        <v>0</v>
      </c>
      <c r="H731" s="38">
        <f>COUNTIFS(HH_FCSP!$G$18:$G$3617,$E731,HH_FCSP!$F$18:$F$3617,"white")</f>
        <v>0</v>
      </c>
    </row>
    <row r="732">
      <c r="A732" s="38"/>
      <c r="B732" s="38">
        <v>0.0</v>
      </c>
      <c r="C732" s="38">
        <v>0.0</v>
      </c>
      <c r="D732" s="38">
        <v>0.0</v>
      </c>
      <c r="E732" s="38"/>
      <c r="F732" s="38">
        <f t="shared" si="1"/>
        <v>0</v>
      </c>
      <c r="G732" s="38">
        <f>COUNTIFS(HH_FCSP!$G$18:$G$3617,$E732,HH_FCSP!$F$18:$F$3617,"catapult/crossbow")</f>
        <v>0</v>
      </c>
      <c r="H732" s="38">
        <f>COUNTIFS(HH_FCSP!$G$18:$G$3617,$E732,HH_FCSP!$F$18:$F$3617,"white")</f>
        <v>0</v>
      </c>
    </row>
    <row r="733">
      <c r="A733" s="38"/>
      <c r="B733" s="38">
        <v>0.0</v>
      </c>
      <c r="C733" s="38">
        <v>0.0</v>
      </c>
      <c r="D733" s="38">
        <v>0.0</v>
      </c>
      <c r="E733" s="38"/>
      <c r="F733" s="38">
        <f t="shared" si="1"/>
        <v>0</v>
      </c>
      <c r="G733" s="38">
        <f>COUNTIFS(HH_FCSP!$G$18:$G$3617,$E733,HH_FCSP!$F$18:$F$3617,"catapult/crossbow")</f>
        <v>0</v>
      </c>
      <c r="H733" s="38">
        <f>COUNTIFS(HH_FCSP!$G$18:$G$3617,$E733,HH_FCSP!$F$18:$F$3617,"white")</f>
        <v>0</v>
      </c>
    </row>
    <row r="734">
      <c r="A734" s="38"/>
      <c r="B734" s="38">
        <v>0.0</v>
      </c>
      <c r="C734" s="38">
        <v>0.0</v>
      </c>
      <c r="D734" s="38">
        <v>0.0</v>
      </c>
      <c r="E734" s="38"/>
      <c r="F734" s="38">
        <f t="shared" si="1"/>
        <v>0</v>
      </c>
      <c r="G734" s="38">
        <f>COUNTIFS(HH_FCSP!$G$18:$G$3617,$E734,HH_FCSP!$F$18:$F$3617,"catapult/crossbow")</f>
        <v>0</v>
      </c>
      <c r="H734" s="38">
        <f>COUNTIFS(HH_FCSP!$G$18:$G$3617,$E734,HH_FCSP!$F$18:$F$3617,"white")</f>
        <v>0</v>
      </c>
    </row>
    <row r="735">
      <c r="A735" s="38"/>
      <c r="B735" s="38">
        <v>0.0</v>
      </c>
      <c r="C735" s="38">
        <v>0.0</v>
      </c>
      <c r="D735" s="38">
        <v>0.0</v>
      </c>
      <c r="E735" s="38"/>
      <c r="F735" s="38">
        <f t="shared" si="1"/>
        <v>0</v>
      </c>
      <c r="G735" s="38">
        <f>COUNTIFS(HH_FCSP!$G$18:$G$3617,$E735,HH_FCSP!$F$18:$F$3617,"catapult/crossbow")</f>
        <v>0</v>
      </c>
      <c r="H735" s="38">
        <f>COUNTIFS(HH_FCSP!$G$18:$G$3617,$E735,HH_FCSP!$F$18:$F$3617,"white")</f>
        <v>0</v>
      </c>
    </row>
    <row r="736">
      <c r="A736" s="38"/>
      <c r="B736" s="38">
        <v>0.0</v>
      </c>
      <c r="C736" s="38">
        <v>0.0</v>
      </c>
      <c r="D736" s="38">
        <v>0.0</v>
      </c>
      <c r="E736" s="38"/>
      <c r="F736" s="38">
        <f t="shared" si="1"/>
        <v>0</v>
      </c>
      <c r="G736" s="38">
        <f>COUNTIFS(HH_FCSP!$G$18:$G$3617,$E736,HH_FCSP!$F$18:$F$3617,"catapult/crossbow")</f>
        <v>0</v>
      </c>
      <c r="H736" s="38">
        <f>COUNTIFS(HH_FCSP!$G$18:$G$3617,$E736,HH_FCSP!$F$18:$F$3617,"white")</f>
        <v>0</v>
      </c>
    </row>
    <row r="737">
      <c r="A737" s="38"/>
      <c r="B737" s="38">
        <v>0.0</v>
      </c>
      <c r="C737" s="38">
        <v>0.0</v>
      </c>
      <c r="D737" s="38">
        <v>0.0</v>
      </c>
      <c r="E737" s="38"/>
      <c r="F737" s="38">
        <f t="shared" si="1"/>
        <v>0</v>
      </c>
      <c r="G737" s="38">
        <f>COUNTIFS(HH_FCSP!$G$18:$G$3617,$E737,HH_FCSP!$F$18:$F$3617,"catapult/crossbow")</f>
        <v>0</v>
      </c>
      <c r="H737" s="38">
        <f>COUNTIFS(HH_FCSP!$G$18:$G$3617,$E737,HH_FCSP!$F$18:$F$3617,"white")</f>
        <v>0</v>
      </c>
    </row>
    <row r="738">
      <c r="A738" s="38"/>
      <c r="B738" s="38">
        <v>0.0</v>
      </c>
      <c r="C738" s="38">
        <v>0.0</v>
      </c>
      <c r="D738" s="38">
        <v>0.0</v>
      </c>
      <c r="E738" s="38"/>
      <c r="F738" s="38">
        <f t="shared" si="1"/>
        <v>0</v>
      </c>
      <c r="G738" s="38">
        <f>COUNTIFS(HH_FCSP!$G$18:$G$3617,$E738,HH_FCSP!$F$18:$F$3617,"catapult/crossbow")</f>
        <v>0</v>
      </c>
      <c r="H738" s="38">
        <f>COUNTIFS(HH_FCSP!$G$18:$G$3617,$E738,HH_FCSP!$F$18:$F$3617,"white")</f>
        <v>0</v>
      </c>
    </row>
    <row r="739">
      <c r="A739" s="38"/>
      <c r="B739" s="38">
        <v>0.0</v>
      </c>
      <c r="C739" s="38">
        <v>0.0</v>
      </c>
      <c r="D739" s="38">
        <v>0.0</v>
      </c>
      <c r="E739" s="38"/>
      <c r="F739" s="38">
        <f t="shared" si="1"/>
        <v>0</v>
      </c>
      <c r="G739" s="38">
        <f>COUNTIFS(HH_FCSP!$G$18:$G$3617,$E739,HH_FCSP!$F$18:$F$3617,"catapult/crossbow")</f>
        <v>0</v>
      </c>
      <c r="H739" s="38">
        <f>COUNTIFS(HH_FCSP!$G$18:$G$3617,$E739,HH_FCSP!$F$18:$F$3617,"white")</f>
        <v>0</v>
      </c>
    </row>
    <row r="740">
      <c r="A740" s="38"/>
      <c r="B740" s="38">
        <v>0.0</v>
      </c>
      <c r="C740" s="38">
        <v>0.0</v>
      </c>
      <c r="D740" s="38">
        <v>0.0</v>
      </c>
      <c r="E740" s="38"/>
      <c r="F740" s="38">
        <f t="shared" si="1"/>
        <v>0</v>
      </c>
      <c r="G740" s="38">
        <f>COUNTIFS(HH_FCSP!$G$18:$G$3617,$E740,HH_FCSP!$F$18:$F$3617,"catapult/crossbow")</f>
        <v>0</v>
      </c>
      <c r="H740" s="38">
        <f>COUNTIFS(HH_FCSP!$G$18:$G$3617,$E740,HH_FCSP!$F$18:$F$3617,"white")</f>
        <v>0</v>
      </c>
    </row>
    <row r="741">
      <c r="A741" s="38"/>
      <c r="B741" s="38">
        <v>0.0</v>
      </c>
      <c r="C741" s="38">
        <v>0.0</v>
      </c>
      <c r="D741" s="38">
        <v>0.0</v>
      </c>
      <c r="E741" s="38"/>
      <c r="F741" s="38">
        <f t="shared" si="1"/>
        <v>0</v>
      </c>
      <c r="G741" s="38">
        <f>COUNTIFS(HH_FCSP!$G$18:$G$3617,$E741,HH_FCSP!$F$18:$F$3617,"catapult/crossbow")</f>
        <v>0</v>
      </c>
      <c r="H741" s="38">
        <f>COUNTIFS(HH_FCSP!$G$18:$G$3617,$E741,HH_FCSP!$F$18:$F$3617,"white")</f>
        <v>0</v>
      </c>
    </row>
    <row r="742">
      <c r="A742" s="38"/>
      <c r="B742" s="38">
        <v>0.0</v>
      </c>
      <c r="C742" s="38">
        <v>0.0</v>
      </c>
      <c r="D742" s="38">
        <v>0.0</v>
      </c>
      <c r="E742" s="38"/>
      <c r="F742" s="38">
        <f t="shared" si="1"/>
        <v>0</v>
      </c>
      <c r="G742" s="38">
        <f>COUNTIFS(HH_FCSP!$G$18:$G$3617,$E742,HH_FCSP!$F$18:$F$3617,"catapult/crossbow")</f>
        <v>0</v>
      </c>
      <c r="H742" s="38">
        <f>COUNTIFS(HH_FCSP!$G$18:$G$3617,$E742,HH_FCSP!$F$18:$F$3617,"white")</f>
        <v>0</v>
      </c>
    </row>
    <row r="743">
      <c r="A743" s="38"/>
      <c r="B743" s="38">
        <v>0.0</v>
      </c>
      <c r="C743" s="38">
        <v>0.0</v>
      </c>
      <c r="D743" s="38">
        <v>0.0</v>
      </c>
      <c r="E743" s="38"/>
      <c r="F743" s="38">
        <f t="shared" si="1"/>
        <v>0</v>
      </c>
      <c r="G743" s="38">
        <f>COUNTIFS(HH_FCSP!$G$18:$G$3617,$E743,HH_FCSP!$F$18:$F$3617,"catapult/crossbow")</f>
        <v>0</v>
      </c>
      <c r="H743" s="38">
        <f>COUNTIFS(HH_FCSP!$G$18:$G$3617,$E743,HH_FCSP!$F$18:$F$3617,"white")</f>
        <v>0</v>
      </c>
    </row>
    <row r="744">
      <c r="A744" s="38"/>
      <c r="B744" s="38">
        <v>0.0</v>
      </c>
      <c r="C744" s="38">
        <v>0.0</v>
      </c>
      <c r="D744" s="38">
        <v>0.0</v>
      </c>
      <c r="E744" s="38"/>
      <c r="F744" s="38">
        <f t="shared" si="1"/>
        <v>0</v>
      </c>
      <c r="G744" s="38">
        <f>COUNTIFS(HH_FCSP!$G$18:$G$3617,$E744,HH_FCSP!$F$18:$F$3617,"catapult/crossbow")</f>
        <v>0</v>
      </c>
      <c r="H744" s="38">
        <f>COUNTIFS(HH_FCSP!$G$18:$G$3617,$E744,HH_FCSP!$F$18:$F$3617,"white")</f>
        <v>0</v>
      </c>
    </row>
    <row r="745">
      <c r="A745" s="38"/>
      <c r="B745" s="38">
        <v>0.0</v>
      </c>
      <c r="C745" s="38">
        <v>0.0</v>
      </c>
      <c r="D745" s="38">
        <v>0.0</v>
      </c>
      <c r="E745" s="38"/>
      <c r="F745" s="38">
        <f t="shared" si="1"/>
        <v>0</v>
      </c>
      <c r="G745" s="38">
        <f>COUNTIFS(HH_FCSP!$G$18:$G$3617,$E745,HH_FCSP!$F$18:$F$3617,"catapult/crossbow")</f>
        <v>0</v>
      </c>
      <c r="H745" s="38">
        <f>COUNTIFS(HH_FCSP!$G$18:$G$3617,$E745,HH_FCSP!$F$18:$F$3617,"white")</f>
        <v>0</v>
      </c>
    </row>
    <row r="746">
      <c r="A746" s="38"/>
      <c r="B746" s="38">
        <v>0.0</v>
      </c>
      <c r="C746" s="38">
        <v>0.0</v>
      </c>
      <c r="D746" s="38">
        <v>0.0</v>
      </c>
      <c r="E746" s="38"/>
      <c r="F746" s="38">
        <f t="shared" si="1"/>
        <v>0</v>
      </c>
      <c r="G746" s="38">
        <f>COUNTIFS(HH_FCSP!$G$18:$G$3617,$E746,HH_FCSP!$F$18:$F$3617,"catapult/crossbow")</f>
        <v>0</v>
      </c>
      <c r="H746" s="38">
        <f>COUNTIFS(HH_FCSP!$G$18:$G$3617,$E746,HH_FCSP!$F$18:$F$3617,"white")</f>
        <v>0</v>
      </c>
    </row>
    <row r="747">
      <c r="A747" s="38"/>
      <c r="B747" s="38">
        <v>0.0</v>
      </c>
      <c r="C747" s="38">
        <v>0.0</v>
      </c>
      <c r="D747" s="38">
        <v>0.0</v>
      </c>
      <c r="E747" s="38"/>
      <c r="F747" s="38">
        <f t="shared" si="1"/>
        <v>0</v>
      </c>
      <c r="G747" s="38">
        <f>COUNTIFS(HH_FCSP!$G$18:$G$3617,$E747,HH_FCSP!$F$18:$F$3617,"catapult/crossbow")</f>
        <v>0</v>
      </c>
      <c r="H747" s="38">
        <f>COUNTIFS(HH_FCSP!$G$18:$G$3617,$E747,HH_FCSP!$F$18:$F$3617,"white")</f>
        <v>0</v>
      </c>
    </row>
    <row r="748">
      <c r="A748" s="38"/>
      <c r="B748" s="38">
        <v>0.0</v>
      </c>
      <c r="C748" s="38">
        <v>0.0</v>
      </c>
      <c r="D748" s="38">
        <v>0.0</v>
      </c>
      <c r="E748" s="38"/>
      <c r="F748" s="38">
        <f t="shared" si="1"/>
        <v>0</v>
      </c>
      <c r="G748" s="38">
        <f>COUNTIFS(HH_FCSP!$G$18:$G$3617,$E748,HH_FCSP!$F$18:$F$3617,"catapult/crossbow")</f>
        <v>0</v>
      </c>
      <c r="H748" s="38">
        <f>COUNTIFS(HH_FCSP!$G$18:$G$3617,$E748,HH_FCSP!$F$18:$F$3617,"white")</f>
        <v>0</v>
      </c>
    </row>
    <row r="749">
      <c r="A749" s="38"/>
      <c r="B749" s="38">
        <v>0.0</v>
      </c>
      <c r="C749" s="38">
        <v>0.0</v>
      </c>
      <c r="D749" s="38">
        <v>0.0</v>
      </c>
      <c r="E749" s="38"/>
      <c r="F749" s="38">
        <f t="shared" si="1"/>
        <v>0</v>
      </c>
      <c r="G749" s="38">
        <f>COUNTIFS(HH_FCSP!$G$18:$G$3617,$E749,HH_FCSP!$F$18:$F$3617,"catapult/crossbow")</f>
        <v>0</v>
      </c>
      <c r="H749" s="38">
        <f>COUNTIFS(HH_FCSP!$G$18:$G$3617,$E749,HH_FCSP!$F$18:$F$3617,"white")</f>
        <v>0</v>
      </c>
    </row>
    <row r="750">
      <c r="A750" s="38"/>
      <c r="B750" s="38">
        <v>0.0</v>
      </c>
      <c r="C750" s="38">
        <v>0.0</v>
      </c>
      <c r="D750" s="38">
        <v>0.0</v>
      </c>
      <c r="E750" s="38"/>
      <c r="F750" s="38">
        <f t="shared" si="1"/>
        <v>0</v>
      </c>
      <c r="G750" s="38">
        <f>COUNTIFS(HH_FCSP!$G$18:$G$3617,$E750,HH_FCSP!$F$18:$F$3617,"catapult/crossbow")</f>
        <v>0</v>
      </c>
      <c r="H750" s="38">
        <f>COUNTIFS(HH_FCSP!$G$18:$G$3617,$E750,HH_FCSP!$F$18:$F$3617,"white")</f>
        <v>0</v>
      </c>
    </row>
    <row r="751">
      <c r="A751" s="38"/>
      <c r="B751" s="38">
        <v>0.0</v>
      </c>
      <c r="C751" s="38">
        <v>0.0</v>
      </c>
      <c r="D751" s="38">
        <v>0.0</v>
      </c>
      <c r="E751" s="38"/>
      <c r="F751" s="38">
        <f t="shared" si="1"/>
        <v>0</v>
      </c>
      <c r="G751" s="38">
        <f>COUNTIFS(HH_FCSP!$G$18:$G$3617,$E751,HH_FCSP!$F$18:$F$3617,"catapult/crossbow")</f>
        <v>0</v>
      </c>
      <c r="H751" s="38">
        <f>COUNTIFS(HH_FCSP!$G$18:$G$3617,$E751,HH_FCSP!$F$18:$F$3617,"white")</f>
        <v>0</v>
      </c>
    </row>
    <row r="752">
      <c r="A752" s="38"/>
      <c r="B752" s="38">
        <v>0.0</v>
      </c>
      <c r="C752" s="38">
        <v>0.0</v>
      </c>
      <c r="D752" s="38">
        <v>0.0</v>
      </c>
      <c r="E752" s="38"/>
      <c r="F752" s="38">
        <f t="shared" si="1"/>
        <v>0</v>
      </c>
      <c r="G752" s="38">
        <f>COUNTIFS(HH_FCSP!$G$18:$G$3617,$E752,HH_FCSP!$F$18:$F$3617,"catapult/crossbow")</f>
        <v>0</v>
      </c>
      <c r="H752" s="38">
        <f>COUNTIFS(HH_FCSP!$G$18:$G$3617,$E752,HH_FCSP!$F$18:$F$3617,"white")</f>
        <v>0</v>
      </c>
    </row>
    <row r="753">
      <c r="A753" s="38"/>
      <c r="B753" s="38">
        <v>0.0</v>
      </c>
      <c r="C753" s="38">
        <v>0.0</v>
      </c>
      <c r="D753" s="38">
        <v>0.0</v>
      </c>
      <c r="E753" s="38"/>
      <c r="F753" s="38">
        <f t="shared" si="1"/>
        <v>0</v>
      </c>
      <c r="G753" s="38">
        <f>COUNTIFS(HH_FCSP!$G$18:$G$3617,$E753,HH_FCSP!$F$18:$F$3617,"catapult/crossbow")</f>
        <v>0</v>
      </c>
      <c r="H753" s="38">
        <f>COUNTIFS(HH_FCSP!$G$18:$G$3617,$E753,HH_FCSP!$F$18:$F$3617,"white")</f>
        <v>0</v>
      </c>
    </row>
    <row r="754">
      <c r="A754" s="38"/>
      <c r="B754" s="38">
        <v>0.0</v>
      </c>
      <c r="C754" s="38">
        <v>0.0</v>
      </c>
      <c r="D754" s="38">
        <v>0.0</v>
      </c>
      <c r="E754" s="38"/>
      <c r="F754" s="38">
        <f t="shared" si="1"/>
        <v>0</v>
      </c>
      <c r="G754" s="38">
        <f>COUNTIFS(HH_FCSP!$G$18:$G$3617,$E754,HH_FCSP!$F$18:$F$3617,"catapult/crossbow")</f>
        <v>0</v>
      </c>
      <c r="H754" s="38">
        <f>COUNTIFS(HH_FCSP!$G$18:$G$3617,$E754,HH_FCSP!$F$18:$F$3617,"white")</f>
        <v>0</v>
      </c>
    </row>
    <row r="755">
      <c r="A755" s="38"/>
      <c r="B755" s="38">
        <v>0.0</v>
      </c>
      <c r="C755" s="38">
        <v>0.0</v>
      </c>
      <c r="D755" s="38">
        <v>0.0</v>
      </c>
      <c r="E755" s="38"/>
      <c r="F755" s="38">
        <f t="shared" si="1"/>
        <v>0</v>
      </c>
      <c r="G755" s="38">
        <f>COUNTIFS(HH_FCSP!$G$18:$G$3617,$E755,HH_FCSP!$F$18:$F$3617,"catapult/crossbow")</f>
        <v>0</v>
      </c>
      <c r="H755" s="38">
        <f>COUNTIFS(HH_FCSP!$G$18:$G$3617,$E755,HH_FCSP!$F$18:$F$3617,"white")</f>
        <v>0</v>
      </c>
    </row>
    <row r="756">
      <c r="A756" s="38"/>
      <c r="B756" s="38">
        <v>0.0</v>
      </c>
      <c r="C756" s="38">
        <v>0.0</v>
      </c>
      <c r="D756" s="38">
        <v>0.0</v>
      </c>
      <c r="E756" s="38"/>
      <c r="F756" s="38">
        <f t="shared" si="1"/>
        <v>0</v>
      </c>
      <c r="G756" s="38">
        <f>COUNTIFS(HH_FCSP!$G$18:$G$3617,$E756,HH_FCSP!$F$18:$F$3617,"catapult/crossbow")</f>
        <v>0</v>
      </c>
      <c r="H756" s="38">
        <f>COUNTIFS(HH_FCSP!$G$18:$G$3617,$E756,HH_FCSP!$F$18:$F$3617,"white")</f>
        <v>0</v>
      </c>
    </row>
    <row r="757">
      <c r="A757" s="38"/>
      <c r="B757" s="38">
        <v>0.0</v>
      </c>
      <c r="C757" s="38">
        <v>0.0</v>
      </c>
      <c r="D757" s="38">
        <v>0.0</v>
      </c>
      <c r="E757" s="38"/>
      <c r="F757" s="38">
        <f t="shared" si="1"/>
        <v>0</v>
      </c>
      <c r="G757" s="38">
        <f>COUNTIFS(HH_FCSP!$G$18:$G$3617,$E757,HH_FCSP!$F$18:$F$3617,"catapult/crossbow")</f>
        <v>0</v>
      </c>
      <c r="H757" s="38">
        <f>COUNTIFS(HH_FCSP!$G$18:$G$3617,$E757,HH_FCSP!$F$18:$F$3617,"white")</f>
        <v>0</v>
      </c>
    </row>
    <row r="758">
      <c r="A758" s="38"/>
      <c r="B758" s="38">
        <v>0.0</v>
      </c>
      <c r="C758" s="38">
        <v>0.0</v>
      </c>
      <c r="D758" s="38">
        <v>0.0</v>
      </c>
      <c r="E758" s="38"/>
      <c r="F758" s="38">
        <f t="shared" si="1"/>
        <v>0</v>
      </c>
      <c r="G758" s="38">
        <f>COUNTIFS(HH_FCSP!$G$18:$G$3617,$E758,HH_FCSP!$F$18:$F$3617,"catapult/crossbow")</f>
        <v>0</v>
      </c>
      <c r="H758" s="38">
        <f>COUNTIFS(HH_FCSP!$G$18:$G$3617,$E758,HH_FCSP!$F$18:$F$3617,"white")</f>
        <v>0</v>
      </c>
    </row>
    <row r="759">
      <c r="A759" s="38"/>
      <c r="B759" s="38">
        <v>0.0</v>
      </c>
      <c r="C759" s="38">
        <v>0.0</v>
      </c>
      <c r="D759" s="38">
        <v>0.0</v>
      </c>
      <c r="E759" s="38"/>
      <c r="F759" s="38">
        <f t="shared" si="1"/>
        <v>0</v>
      </c>
      <c r="G759" s="38">
        <f>COUNTIFS(HH_FCSP!$G$18:$G$3617,$E759,HH_FCSP!$F$18:$F$3617,"catapult/crossbow")</f>
        <v>0</v>
      </c>
      <c r="H759" s="38">
        <f>COUNTIFS(HH_FCSP!$G$18:$G$3617,$E759,HH_FCSP!$F$18:$F$3617,"white")</f>
        <v>0</v>
      </c>
    </row>
    <row r="760">
      <c r="A760" s="38"/>
      <c r="B760" s="38">
        <v>0.0</v>
      </c>
      <c r="C760" s="38">
        <v>0.0</v>
      </c>
      <c r="D760" s="38">
        <v>0.0</v>
      </c>
      <c r="E760" s="38"/>
      <c r="F760" s="38">
        <f t="shared" si="1"/>
        <v>0</v>
      </c>
      <c r="G760" s="38">
        <f>COUNTIFS(HH_FCSP!$G$18:$G$3617,$E760,HH_FCSP!$F$18:$F$3617,"catapult/crossbow")</f>
        <v>0</v>
      </c>
      <c r="H760" s="38">
        <f>COUNTIFS(HH_FCSP!$G$18:$G$3617,$E760,HH_FCSP!$F$18:$F$3617,"white")</f>
        <v>0</v>
      </c>
    </row>
    <row r="761">
      <c r="A761" s="38"/>
      <c r="B761" s="38">
        <v>0.0</v>
      </c>
      <c r="C761" s="38">
        <v>0.0</v>
      </c>
      <c r="D761" s="38">
        <v>0.0</v>
      </c>
      <c r="E761" s="38"/>
      <c r="F761" s="38">
        <f t="shared" si="1"/>
        <v>0</v>
      </c>
      <c r="G761" s="38">
        <f>COUNTIFS(HH_FCSP!$G$18:$G$3617,$E761,HH_FCSP!$F$18:$F$3617,"catapult/crossbow")</f>
        <v>0</v>
      </c>
      <c r="H761" s="38">
        <f>COUNTIFS(HH_FCSP!$G$18:$G$3617,$E761,HH_FCSP!$F$18:$F$3617,"white")</f>
        <v>0</v>
      </c>
    </row>
    <row r="762">
      <c r="A762" s="38"/>
      <c r="B762" s="38">
        <v>0.0</v>
      </c>
      <c r="C762" s="38">
        <v>0.0</v>
      </c>
      <c r="D762" s="38">
        <v>0.0</v>
      </c>
      <c r="E762" s="38"/>
      <c r="F762" s="38">
        <f t="shared" si="1"/>
        <v>0</v>
      </c>
      <c r="G762" s="38">
        <f>COUNTIFS(HH_FCSP!$G$18:$G$3617,$E762,HH_FCSP!$F$18:$F$3617,"catapult/crossbow")</f>
        <v>0</v>
      </c>
      <c r="H762" s="38">
        <f>COUNTIFS(HH_FCSP!$G$18:$G$3617,$E762,HH_FCSP!$F$18:$F$3617,"white")</f>
        <v>0</v>
      </c>
    </row>
    <row r="763">
      <c r="A763" s="38"/>
      <c r="B763" s="38">
        <v>0.0</v>
      </c>
      <c r="C763" s="38">
        <v>0.0</v>
      </c>
      <c r="D763" s="38">
        <v>0.0</v>
      </c>
      <c r="E763" s="38"/>
      <c r="F763" s="38">
        <f t="shared" si="1"/>
        <v>0</v>
      </c>
      <c r="G763" s="38">
        <f>COUNTIFS(HH_FCSP!$G$18:$G$3617,$E763,HH_FCSP!$F$18:$F$3617,"catapult/crossbow")</f>
        <v>0</v>
      </c>
      <c r="H763" s="38">
        <f>COUNTIFS(HH_FCSP!$G$18:$G$3617,$E763,HH_FCSP!$F$18:$F$3617,"white")</f>
        <v>0</v>
      </c>
    </row>
    <row r="764">
      <c r="A764" s="38"/>
      <c r="B764" s="38">
        <v>0.0</v>
      </c>
      <c r="C764" s="38">
        <v>0.0</v>
      </c>
      <c r="D764" s="38">
        <v>0.0</v>
      </c>
      <c r="E764" s="38"/>
      <c r="F764" s="38">
        <f t="shared" si="1"/>
        <v>0</v>
      </c>
      <c r="G764" s="38">
        <f>COUNTIFS(HH_FCSP!$G$18:$G$3617,$E764,HH_FCSP!$F$18:$F$3617,"catapult/crossbow")</f>
        <v>0</v>
      </c>
      <c r="H764" s="38">
        <f>COUNTIFS(HH_FCSP!$G$18:$G$3617,$E764,HH_FCSP!$F$18:$F$3617,"white")</f>
        <v>0</v>
      </c>
    </row>
    <row r="765">
      <c r="A765" s="38"/>
      <c r="B765" s="38">
        <v>0.0</v>
      </c>
      <c r="C765" s="38">
        <v>0.0</v>
      </c>
      <c r="D765" s="38">
        <v>0.0</v>
      </c>
      <c r="E765" s="38"/>
      <c r="F765" s="38">
        <f t="shared" si="1"/>
        <v>0</v>
      </c>
      <c r="G765" s="38">
        <f>COUNTIFS(HH_FCSP!$G$18:$G$3617,$E765,HH_FCSP!$F$18:$F$3617,"catapult/crossbow")</f>
        <v>0</v>
      </c>
      <c r="H765" s="38">
        <f>COUNTIFS(HH_FCSP!$G$18:$G$3617,$E765,HH_FCSP!$F$18:$F$3617,"white")</f>
        <v>0</v>
      </c>
    </row>
    <row r="766">
      <c r="A766" s="38"/>
      <c r="B766" s="38">
        <v>0.0</v>
      </c>
      <c r="C766" s="38">
        <v>0.0</v>
      </c>
      <c r="D766" s="38">
        <v>0.0</v>
      </c>
      <c r="E766" s="38"/>
      <c r="F766" s="38">
        <f t="shared" si="1"/>
        <v>0</v>
      </c>
      <c r="G766" s="38">
        <f>COUNTIFS(HH_FCSP!$G$18:$G$3617,$E766,HH_FCSP!$F$18:$F$3617,"catapult/crossbow")</f>
        <v>0</v>
      </c>
      <c r="H766" s="38">
        <f>COUNTIFS(HH_FCSP!$G$18:$G$3617,$E766,HH_FCSP!$F$18:$F$3617,"white")</f>
        <v>0</v>
      </c>
    </row>
    <row r="767">
      <c r="A767" s="38"/>
      <c r="B767" s="38">
        <v>0.0</v>
      </c>
      <c r="C767" s="38">
        <v>0.0</v>
      </c>
      <c r="D767" s="38">
        <v>0.0</v>
      </c>
      <c r="E767" s="38"/>
      <c r="F767" s="38">
        <f t="shared" si="1"/>
        <v>0</v>
      </c>
      <c r="G767" s="38">
        <f>COUNTIFS(HH_FCSP!$G$18:$G$3617,$E767,HH_FCSP!$F$18:$F$3617,"catapult/crossbow")</f>
        <v>0</v>
      </c>
      <c r="H767" s="38">
        <f>COUNTIFS(HH_FCSP!$G$18:$G$3617,$E767,HH_FCSP!$F$18:$F$3617,"white")</f>
        <v>0</v>
      </c>
    </row>
    <row r="768">
      <c r="A768" s="38"/>
      <c r="B768" s="38">
        <v>0.0</v>
      </c>
      <c r="C768" s="38">
        <v>0.0</v>
      </c>
      <c r="D768" s="38">
        <v>0.0</v>
      </c>
      <c r="E768" s="38"/>
      <c r="F768" s="38">
        <f t="shared" si="1"/>
        <v>0</v>
      </c>
      <c r="G768" s="38">
        <f>COUNTIFS(HH_FCSP!$G$18:$G$3617,$E768,HH_FCSP!$F$18:$F$3617,"catapult/crossbow")</f>
        <v>0</v>
      </c>
      <c r="H768" s="38">
        <f>COUNTIFS(HH_FCSP!$G$18:$G$3617,$E768,HH_FCSP!$F$18:$F$3617,"white")</f>
        <v>0</v>
      </c>
    </row>
    <row r="769">
      <c r="A769" s="38"/>
      <c r="B769" s="38">
        <v>0.0</v>
      </c>
      <c r="C769" s="38">
        <v>0.0</v>
      </c>
      <c r="D769" s="38">
        <v>0.0</v>
      </c>
      <c r="E769" s="38"/>
      <c r="F769" s="38">
        <f t="shared" si="1"/>
        <v>0</v>
      </c>
      <c r="G769" s="38">
        <f>COUNTIFS(HH_FCSP!$G$18:$G$3617,$E769,HH_FCSP!$F$18:$F$3617,"catapult/crossbow")</f>
        <v>0</v>
      </c>
      <c r="H769" s="38">
        <f>COUNTIFS(HH_FCSP!$G$18:$G$3617,$E769,HH_FCSP!$F$18:$F$3617,"white")</f>
        <v>0</v>
      </c>
    </row>
    <row r="770">
      <c r="A770" s="38"/>
      <c r="B770" s="38">
        <v>0.0</v>
      </c>
      <c r="C770" s="38">
        <v>0.0</v>
      </c>
      <c r="D770" s="38">
        <v>0.0</v>
      </c>
      <c r="E770" s="38"/>
      <c r="F770" s="38">
        <f t="shared" si="1"/>
        <v>0</v>
      </c>
      <c r="G770" s="38">
        <f>COUNTIFS(HH_FCSP!$G$18:$G$3617,$E770,HH_FCSP!$F$18:$F$3617,"catapult/crossbow")</f>
        <v>0</v>
      </c>
      <c r="H770" s="38">
        <f>COUNTIFS(HH_FCSP!$G$18:$G$3617,$E770,HH_FCSP!$F$18:$F$3617,"white")</f>
        <v>0</v>
      </c>
    </row>
    <row r="771">
      <c r="A771" s="38"/>
      <c r="B771" s="38">
        <v>0.0</v>
      </c>
      <c r="C771" s="38">
        <v>0.0</v>
      </c>
      <c r="D771" s="38">
        <v>0.0</v>
      </c>
      <c r="E771" s="38"/>
      <c r="F771" s="38">
        <f t="shared" si="1"/>
        <v>0</v>
      </c>
      <c r="G771" s="38">
        <f>COUNTIFS(HH_FCSP!$G$18:$G$3617,$E771,HH_FCSP!$F$18:$F$3617,"catapult/crossbow")</f>
        <v>0</v>
      </c>
      <c r="H771" s="38">
        <f>COUNTIFS(HH_FCSP!$G$18:$G$3617,$E771,HH_FCSP!$F$18:$F$3617,"white")</f>
        <v>0</v>
      </c>
    </row>
    <row r="772">
      <c r="A772" s="38"/>
      <c r="B772" s="38">
        <v>0.0</v>
      </c>
      <c r="C772" s="38">
        <v>0.0</v>
      </c>
      <c r="D772" s="38">
        <v>0.0</v>
      </c>
      <c r="E772" s="38"/>
      <c r="F772" s="38">
        <f t="shared" si="1"/>
        <v>0</v>
      </c>
      <c r="G772" s="38">
        <f>COUNTIFS(HH_FCSP!$G$18:$G$3617,$E772,HH_FCSP!$F$18:$F$3617,"catapult/crossbow")</f>
        <v>0</v>
      </c>
      <c r="H772" s="38">
        <f>COUNTIFS(HH_FCSP!$G$18:$G$3617,$E772,HH_FCSP!$F$18:$F$3617,"white")</f>
        <v>0</v>
      </c>
    </row>
    <row r="773">
      <c r="A773" s="38"/>
      <c r="B773" s="38">
        <v>0.0</v>
      </c>
      <c r="C773" s="38">
        <v>0.0</v>
      </c>
      <c r="D773" s="38">
        <v>0.0</v>
      </c>
      <c r="E773" s="38"/>
      <c r="F773" s="38">
        <f t="shared" si="1"/>
        <v>0</v>
      </c>
      <c r="G773" s="38">
        <f>COUNTIFS(HH_FCSP!$G$18:$G$3617,$E773,HH_FCSP!$F$18:$F$3617,"catapult/crossbow")</f>
        <v>0</v>
      </c>
      <c r="H773" s="38">
        <f>COUNTIFS(HH_FCSP!$G$18:$G$3617,$E773,HH_FCSP!$F$18:$F$3617,"white")</f>
        <v>0</v>
      </c>
    </row>
    <row r="774">
      <c r="A774" s="38"/>
      <c r="B774" s="38">
        <v>0.0</v>
      </c>
      <c r="C774" s="38">
        <v>0.0</v>
      </c>
      <c r="D774" s="38">
        <v>0.0</v>
      </c>
      <c r="E774" s="38"/>
      <c r="F774" s="38">
        <f t="shared" si="1"/>
        <v>0</v>
      </c>
      <c r="G774" s="38">
        <f>COUNTIFS(HH_FCSP!$G$18:$G$3617,$E774,HH_FCSP!$F$18:$F$3617,"catapult/crossbow")</f>
        <v>0</v>
      </c>
      <c r="H774" s="38">
        <f>COUNTIFS(HH_FCSP!$G$18:$G$3617,$E774,HH_FCSP!$F$18:$F$3617,"white")</f>
        <v>0</v>
      </c>
    </row>
    <row r="775">
      <c r="A775" s="38"/>
      <c r="B775" s="38">
        <v>0.0</v>
      </c>
      <c r="C775" s="38">
        <v>0.0</v>
      </c>
      <c r="D775" s="38">
        <v>0.0</v>
      </c>
      <c r="E775" s="38"/>
      <c r="F775" s="38">
        <f t="shared" si="1"/>
        <v>0</v>
      </c>
      <c r="G775" s="38">
        <f>COUNTIFS(HH_FCSP!$G$18:$G$3617,$E775,HH_FCSP!$F$18:$F$3617,"catapult/crossbow")</f>
        <v>0</v>
      </c>
      <c r="H775" s="38">
        <f>COUNTIFS(HH_FCSP!$G$18:$G$3617,$E775,HH_FCSP!$F$18:$F$3617,"white")</f>
        <v>0</v>
      </c>
    </row>
    <row r="776">
      <c r="A776" s="38"/>
      <c r="B776" s="38">
        <v>0.0</v>
      </c>
      <c r="C776" s="38">
        <v>0.0</v>
      </c>
      <c r="D776" s="38">
        <v>0.0</v>
      </c>
      <c r="E776" s="38"/>
      <c r="F776" s="38">
        <f t="shared" si="1"/>
        <v>0</v>
      </c>
      <c r="G776" s="38">
        <f>COUNTIFS(HH_FCSP!$G$18:$G$3617,$E776,HH_FCSP!$F$18:$F$3617,"catapult/crossbow")</f>
        <v>0</v>
      </c>
      <c r="H776" s="38">
        <f>COUNTIFS(HH_FCSP!$G$18:$G$3617,$E776,HH_FCSP!$F$18:$F$3617,"white")</f>
        <v>0</v>
      </c>
    </row>
    <row r="777">
      <c r="A777" s="38"/>
      <c r="B777" s="38">
        <v>0.0</v>
      </c>
      <c r="C777" s="38">
        <v>0.0</v>
      </c>
      <c r="D777" s="38">
        <v>0.0</v>
      </c>
      <c r="E777" s="38"/>
      <c r="F777" s="38">
        <f t="shared" si="1"/>
        <v>0</v>
      </c>
      <c r="G777" s="38">
        <f>COUNTIFS(HH_FCSP!$G$18:$G$3617,$E777,HH_FCSP!$F$18:$F$3617,"catapult/crossbow")</f>
        <v>0</v>
      </c>
      <c r="H777" s="38">
        <f>COUNTIFS(HH_FCSP!$G$18:$G$3617,$E777,HH_FCSP!$F$18:$F$3617,"white")</f>
        <v>0</v>
      </c>
    </row>
    <row r="778">
      <c r="A778" s="38"/>
      <c r="B778" s="38">
        <v>0.0</v>
      </c>
      <c r="C778" s="38">
        <v>0.0</v>
      </c>
      <c r="D778" s="38">
        <v>0.0</v>
      </c>
      <c r="E778" s="38"/>
      <c r="F778" s="38">
        <f t="shared" si="1"/>
        <v>0</v>
      </c>
      <c r="G778" s="38">
        <f>COUNTIFS(HH_FCSP!$G$18:$G$3617,$E778,HH_FCSP!$F$18:$F$3617,"catapult/crossbow")</f>
        <v>0</v>
      </c>
      <c r="H778" s="38">
        <f>COUNTIFS(HH_FCSP!$G$18:$G$3617,$E778,HH_FCSP!$F$18:$F$3617,"white")</f>
        <v>0</v>
      </c>
    </row>
    <row r="779">
      <c r="A779" s="38"/>
      <c r="B779" s="38">
        <v>0.0</v>
      </c>
      <c r="C779" s="38">
        <v>0.0</v>
      </c>
      <c r="D779" s="38">
        <v>0.0</v>
      </c>
      <c r="E779" s="38"/>
      <c r="F779" s="38">
        <f t="shared" si="1"/>
        <v>0</v>
      </c>
      <c r="G779" s="38">
        <f>COUNTIFS(HH_FCSP!$G$18:$G$3617,$E779,HH_FCSP!$F$18:$F$3617,"catapult/crossbow")</f>
        <v>0</v>
      </c>
      <c r="H779" s="38">
        <f>COUNTIFS(HH_FCSP!$G$18:$G$3617,$E779,HH_FCSP!$F$18:$F$3617,"white")</f>
        <v>0</v>
      </c>
    </row>
    <row r="780">
      <c r="A780" s="38"/>
      <c r="B780" s="38">
        <v>0.0</v>
      </c>
      <c r="C780" s="38">
        <v>0.0</v>
      </c>
      <c r="D780" s="38">
        <v>0.0</v>
      </c>
      <c r="E780" s="38"/>
      <c r="F780" s="38">
        <f t="shared" si="1"/>
        <v>0</v>
      </c>
      <c r="G780" s="38">
        <f>COUNTIFS(HH_FCSP!$G$18:$G$3617,$E780,HH_FCSP!$F$18:$F$3617,"catapult/crossbow")</f>
        <v>0</v>
      </c>
      <c r="H780" s="38">
        <f>COUNTIFS(HH_FCSP!$G$18:$G$3617,$E780,HH_FCSP!$F$18:$F$3617,"white")</f>
        <v>0</v>
      </c>
    </row>
    <row r="781">
      <c r="A781" s="38"/>
      <c r="B781" s="38">
        <v>0.0</v>
      </c>
      <c r="C781" s="38">
        <v>0.0</v>
      </c>
      <c r="D781" s="38">
        <v>0.0</v>
      </c>
      <c r="E781" s="38"/>
      <c r="F781" s="38">
        <f t="shared" si="1"/>
        <v>0</v>
      </c>
      <c r="G781" s="38">
        <f>COUNTIFS(HH_FCSP!$G$18:$G$3617,$E781,HH_FCSP!$F$18:$F$3617,"catapult/crossbow")</f>
        <v>0</v>
      </c>
      <c r="H781" s="38">
        <f>COUNTIFS(HH_FCSP!$G$18:$G$3617,$E781,HH_FCSP!$F$18:$F$3617,"white")</f>
        <v>0</v>
      </c>
    </row>
    <row r="782">
      <c r="A782" s="38"/>
      <c r="B782" s="38">
        <v>0.0</v>
      </c>
      <c r="C782" s="38">
        <v>0.0</v>
      </c>
      <c r="D782" s="38">
        <v>0.0</v>
      </c>
      <c r="E782" s="38"/>
      <c r="F782" s="38">
        <f t="shared" si="1"/>
        <v>0</v>
      </c>
      <c r="G782" s="38">
        <f>COUNTIFS(HH_FCSP!$G$18:$G$3617,$E782,HH_FCSP!$F$18:$F$3617,"catapult/crossbow")</f>
        <v>0</v>
      </c>
      <c r="H782" s="38">
        <f>COUNTIFS(HH_FCSP!$G$18:$G$3617,$E782,HH_FCSP!$F$18:$F$3617,"white")</f>
        <v>0</v>
      </c>
    </row>
    <row r="783">
      <c r="A783" s="38"/>
      <c r="B783" s="38">
        <v>0.0</v>
      </c>
      <c r="C783" s="38">
        <v>0.0</v>
      </c>
      <c r="D783" s="38">
        <v>0.0</v>
      </c>
      <c r="E783" s="38"/>
      <c r="F783" s="38">
        <f t="shared" si="1"/>
        <v>0</v>
      </c>
      <c r="G783" s="38">
        <f>COUNTIFS(HH_FCSP!$G$18:$G$3617,$E783,HH_FCSP!$F$18:$F$3617,"catapult/crossbow")</f>
        <v>0</v>
      </c>
      <c r="H783" s="38">
        <f>COUNTIFS(HH_FCSP!$G$18:$G$3617,$E783,HH_FCSP!$F$18:$F$3617,"white")</f>
        <v>0</v>
      </c>
    </row>
    <row r="784">
      <c r="A784" s="38"/>
      <c r="B784" s="38">
        <v>0.0</v>
      </c>
      <c r="C784" s="38">
        <v>0.0</v>
      </c>
      <c r="D784" s="38">
        <v>0.0</v>
      </c>
      <c r="E784" s="38"/>
      <c r="F784" s="38">
        <f t="shared" si="1"/>
        <v>0</v>
      </c>
      <c r="G784" s="38">
        <f>COUNTIFS(HH_FCSP!$G$18:$G$3617,$E784,HH_FCSP!$F$18:$F$3617,"catapult/crossbow")</f>
        <v>0</v>
      </c>
      <c r="H784" s="38">
        <f>COUNTIFS(HH_FCSP!$G$18:$G$3617,$E784,HH_FCSP!$F$18:$F$3617,"white")</f>
        <v>0</v>
      </c>
    </row>
    <row r="785">
      <c r="A785" s="38"/>
      <c r="B785" s="38">
        <v>0.0</v>
      </c>
      <c r="C785" s="38">
        <v>0.0</v>
      </c>
      <c r="D785" s="38">
        <v>0.0</v>
      </c>
      <c r="E785" s="38"/>
      <c r="F785" s="38">
        <f t="shared" si="1"/>
        <v>0</v>
      </c>
      <c r="G785" s="38">
        <f>COUNTIFS(HH_FCSP!$G$18:$G$3617,$E785,HH_FCSP!$F$18:$F$3617,"catapult/crossbow")</f>
        <v>0</v>
      </c>
      <c r="H785" s="38">
        <f>COUNTIFS(HH_FCSP!$G$18:$G$3617,$E785,HH_FCSP!$F$18:$F$3617,"white")</f>
        <v>0</v>
      </c>
    </row>
    <row r="786">
      <c r="A786" s="38"/>
      <c r="B786" s="38">
        <v>0.0</v>
      </c>
      <c r="C786" s="38">
        <v>0.0</v>
      </c>
      <c r="D786" s="38">
        <v>0.0</v>
      </c>
      <c r="E786" s="38"/>
      <c r="F786" s="38">
        <f t="shared" si="1"/>
        <v>0</v>
      </c>
      <c r="G786" s="38">
        <f>COUNTIFS(HH_FCSP!$G$18:$G$3617,$E786,HH_FCSP!$F$18:$F$3617,"catapult/crossbow")</f>
        <v>0</v>
      </c>
      <c r="H786" s="38">
        <f>COUNTIFS(HH_FCSP!$G$18:$G$3617,$E786,HH_FCSP!$F$18:$F$3617,"white")</f>
        <v>0</v>
      </c>
    </row>
    <row r="787">
      <c r="A787" s="38"/>
      <c r="B787" s="38">
        <v>0.0</v>
      </c>
      <c r="C787" s="38">
        <v>0.0</v>
      </c>
      <c r="D787" s="38">
        <v>0.0</v>
      </c>
      <c r="E787" s="38"/>
      <c r="F787" s="38">
        <f t="shared" si="1"/>
        <v>0</v>
      </c>
      <c r="G787" s="38">
        <f>COUNTIFS(HH_FCSP!$G$18:$G$3617,$E787,HH_FCSP!$F$18:$F$3617,"catapult/crossbow")</f>
        <v>0</v>
      </c>
      <c r="H787" s="38">
        <f>COUNTIFS(HH_FCSP!$G$18:$G$3617,$E787,HH_FCSP!$F$18:$F$3617,"white")</f>
        <v>0</v>
      </c>
    </row>
    <row r="788">
      <c r="A788" s="38"/>
      <c r="B788" s="38">
        <v>0.0</v>
      </c>
      <c r="C788" s="38">
        <v>0.0</v>
      </c>
      <c r="D788" s="38">
        <v>0.0</v>
      </c>
      <c r="E788" s="38"/>
      <c r="F788" s="38">
        <f t="shared" si="1"/>
        <v>0</v>
      </c>
      <c r="G788" s="38">
        <f>COUNTIFS(HH_FCSP!$G$18:$G$3617,$E788,HH_FCSP!$F$18:$F$3617,"catapult/crossbow")</f>
        <v>0</v>
      </c>
      <c r="H788" s="38">
        <f>COUNTIFS(HH_FCSP!$G$18:$G$3617,$E788,HH_FCSP!$F$18:$F$3617,"white")</f>
        <v>0</v>
      </c>
    </row>
    <row r="789">
      <c r="A789" s="38"/>
      <c r="B789" s="38">
        <v>0.0</v>
      </c>
      <c r="C789" s="38">
        <v>0.0</v>
      </c>
      <c r="D789" s="38">
        <v>0.0</v>
      </c>
      <c r="E789" s="38"/>
      <c r="F789" s="38">
        <f t="shared" si="1"/>
        <v>0</v>
      </c>
      <c r="G789" s="38">
        <f>COUNTIFS(HH_FCSP!$G$18:$G$3617,$E789,HH_FCSP!$F$18:$F$3617,"catapult/crossbow")</f>
        <v>0</v>
      </c>
      <c r="H789" s="38">
        <f>COUNTIFS(HH_FCSP!$G$18:$G$3617,$E789,HH_FCSP!$F$18:$F$3617,"white")</f>
        <v>0</v>
      </c>
    </row>
    <row r="790">
      <c r="A790" s="38"/>
      <c r="B790" s="38">
        <v>0.0</v>
      </c>
      <c r="C790" s="38">
        <v>0.0</v>
      </c>
      <c r="D790" s="38">
        <v>0.0</v>
      </c>
      <c r="E790" s="38"/>
      <c r="F790" s="38">
        <f t="shared" si="1"/>
        <v>0</v>
      </c>
      <c r="G790" s="38">
        <f>COUNTIFS(HH_FCSP!$G$18:$G$3617,$E790,HH_FCSP!$F$18:$F$3617,"catapult/crossbow")</f>
        <v>0</v>
      </c>
      <c r="H790" s="38">
        <f>COUNTIFS(HH_FCSP!$G$18:$G$3617,$E790,HH_FCSP!$F$18:$F$3617,"white")</f>
        <v>0</v>
      </c>
    </row>
    <row r="791">
      <c r="A791" s="38"/>
      <c r="B791" s="38">
        <v>0.0</v>
      </c>
      <c r="C791" s="38">
        <v>0.0</v>
      </c>
      <c r="D791" s="38">
        <v>0.0</v>
      </c>
      <c r="E791" s="38"/>
      <c r="F791" s="38">
        <f t="shared" si="1"/>
        <v>0</v>
      </c>
      <c r="G791" s="38">
        <f>COUNTIFS(HH_FCSP!$G$18:$G$3617,$E791,HH_FCSP!$F$18:$F$3617,"catapult/crossbow")</f>
        <v>0</v>
      </c>
      <c r="H791" s="38">
        <f>COUNTIFS(HH_FCSP!$G$18:$G$3617,$E791,HH_FCSP!$F$18:$F$3617,"white")</f>
        <v>0</v>
      </c>
    </row>
    <row r="792">
      <c r="A792" s="38"/>
      <c r="B792" s="38">
        <v>0.0</v>
      </c>
      <c r="C792" s="38">
        <v>0.0</v>
      </c>
      <c r="D792" s="38">
        <v>0.0</v>
      </c>
      <c r="E792" s="38"/>
      <c r="F792" s="38">
        <f t="shared" si="1"/>
        <v>0</v>
      </c>
      <c r="G792" s="38">
        <f>COUNTIFS(HH_FCSP!$G$18:$G$3617,$E792,HH_FCSP!$F$18:$F$3617,"catapult/crossbow")</f>
        <v>0</v>
      </c>
      <c r="H792" s="38">
        <f>COUNTIFS(HH_FCSP!$G$18:$G$3617,$E792,HH_FCSP!$F$18:$F$3617,"white")</f>
        <v>0</v>
      </c>
    </row>
    <row r="793">
      <c r="A793" s="38"/>
      <c r="B793" s="38">
        <v>0.0</v>
      </c>
      <c r="C793" s="38">
        <v>0.0</v>
      </c>
      <c r="D793" s="38">
        <v>0.0</v>
      </c>
      <c r="E793" s="38"/>
      <c r="F793" s="38">
        <f t="shared" si="1"/>
        <v>0</v>
      </c>
      <c r="G793" s="38">
        <f>COUNTIFS(HH_FCSP!$G$18:$G$3617,$E793,HH_FCSP!$F$18:$F$3617,"catapult/crossbow")</f>
        <v>0</v>
      </c>
      <c r="H793" s="38">
        <f>COUNTIFS(HH_FCSP!$G$18:$G$3617,$E793,HH_FCSP!$F$18:$F$3617,"white")</f>
        <v>0</v>
      </c>
    </row>
    <row r="794">
      <c r="A794" s="38"/>
      <c r="B794" s="38">
        <v>0.0</v>
      </c>
      <c r="C794" s="38">
        <v>0.0</v>
      </c>
      <c r="D794" s="38">
        <v>0.0</v>
      </c>
      <c r="E794" s="38"/>
      <c r="F794" s="38">
        <f t="shared" si="1"/>
        <v>0</v>
      </c>
      <c r="G794" s="38">
        <f>COUNTIFS(HH_FCSP!$G$18:$G$3617,$E794,HH_FCSP!$F$18:$F$3617,"catapult/crossbow")</f>
        <v>0</v>
      </c>
      <c r="H794" s="38">
        <f>COUNTIFS(HH_FCSP!$G$18:$G$3617,$E794,HH_FCSP!$F$18:$F$3617,"white")</f>
        <v>0</v>
      </c>
    </row>
    <row r="795">
      <c r="A795" s="38"/>
      <c r="B795" s="38">
        <v>0.0</v>
      </c>
      <c r="C795" s="38">
        <v>0.0</v>
      </c>
      <c r="D795" s="38">
        <v>0.0</v>
      </c>
      <c r="E795" s="38"/>
      <c r="F795" s="38">
        <f t="shared" si="1"/>
        <v>0</v>
      </c>
      <c r="G795" s="38">
        <f>COUNTIFS(HH_FCSP!$G$18:$G$3617,$E795,HH_FCSP!$F$18:$F$3617,"catapult/crossbow")</f>
        <v>0</v>
      </c>
      <c r="H795" s="38">
        <f>COUNTIFS(HH_FCSP!$G$18:$G$3617,$E795,HH_FCSP!$F$18:$F$3617,"white")</f>
        <v>0</v>
      </c>
    </row>
    <row r="796">
      <c r="A796" s="38"/>
      <c r="B796" s="38">
        <v>0.0</v>
      </c>
      <c r="C796" s="38">
        <v>0.0</v>
      </c>
      <c r="D796" s="38">
        <v>0.0</v>
      </c>
      <c r="E796" s="38"/>
      <c r="F796" s="38">
        <f t="shared" si="1"/>
        <v>0</v>
      </c>
      <c r="G796" s="38">
        <f>COUNTIFS(HH_FCSP!$G$18:$G$3617,$E796,HH_FCSP!$F$18:$F$3617,"catapult/crossbow")</f>
        <v>0</v>
      </c>
      <c r="H796" s="38">
        <f>COUNTIFS(HH_FCSP!$G$18:$G$3617,$E796,HH_FCSP!$F$18:$F$3617,"white")</f>
        <v>0</v>
      </c>
    </row>
    <row r="797">
      <c r="A797" s="38"/>
      <c r="B797" s="38">
        <v>0.0</v>
      </c>
      <c r="C797" s="38">
        <v>0.0</v>
      </c>
      <c r="D797" s="38">
        <v>0.0</v>
      </c>
      <c r="E797" s="38"/>
      <c r="F797" s="38">
        <f t="shared" si="1"/>
        <v>0</v>
      </c>
      <c r="G797" s="38">
        <f>COUNTIFS(HH_FCSP!$G$18:$G$3617,$E797,HH_FCSP!$F$18:$F$3617,"catapult/crossbow")</f>
        <v>0</v>
      </c>
      <c r="H797" s="38">
        <f>COUNTIFS(HH_FCSP!$G$18:$G$3617,$E797,HH_FCSP!$F$18:$F$3617,"white")</f>
        <v>0</v>
      </c>
    </row>
    <row r="798">
      <c r="A798" s="38"/>
      <c r="B798" s="38">
        <v>0.0</v>
      </c>
      <c r="C798" s="38">
        <v>0.0</v>
      </c>
      <c r="D798" s="38">
        <v>0.0</v>
      </c>
      <c r="E798" s="38"/>
      <c r="F798" s="38">
        <f t="shared" si="1"/>
        <v>0</v>
      </c>
      <c r="G798" s="38">
        <f>COUNTIFS(HH_FCSP!$G$18:$G$3617,$E798,HH_FCSP!$F$18:$F$3617,"catapult/crossbow")</f>
        <v>0</v>
      </c>
      <c r="H798" s="38">
        <f>COUNTIFS(HH_FCSP!$G$18:$G$3617,$E798,HH_FCSP!$F$18:$F$3617,"white")</f>
        <v>0</v>
      </c>
    </row>
    <row r="799">
      <c r="A799" s="38"/>
      <c r="B799" s="38">
        <v>0.0</v>
      </c>
      <c r="C799" s="38">
        <v>0.0</v>
      </c>
      <c r="D799" s="38">
        <v>0.0</v>
      </c>
      <c r="E799" s="38"/>
      <c r="F799" s="38">
        <f t="shared" si="1"/>
        <v>0</v>
      </c>
      <c r="G799" s="38">
        <f>COUNTIFS(HH_FCSP!$G$18:$G$3617,$E799,HH_FCSP!$F$18:$F$3617,"catapult/crossbow")</f>
        <v>0</v>
      </c>
      <c r="H799" s="38">
        <f>COUNTIFS(HH_FCSP!$G$18:$G$3617,$E799,HH_FCSP!$F$18:$F$3617,"white")</f>
        <v>0</v>
      </c>
    </row>
    <row r="800">
      <c r="A800" s="38"/>
      <c r="B800" s="38">
        <v>0.0</v>
      </c>
      <c r="C800" s="38">
        <v>0.0</v>
      </c>
      <c r="D800" s="38">
        <v>0.0</v>
      </c>
      <c r="E800" s="38"/>
      <c r="F800" s="38">
        <f t="shared" si="1"/>
        <v>0</v>
      </c>
      <c r="G800" s="38">
        <f>COUNTIFS(HH_FCSP!$G$18:$G$3617,$E800,HH_FCSP!$F$18:$F$3617,"catapult/crossbow")</f>
        <v>0</v>
      </c>
      <c r="H800" s="38">
        <f>COUNTIFS(HH_FCSP!$G$18:$G$3617,$E800,HH_FCSP!$F$18:$F$3617,"white")</f>
        <v>0</v>
      </c>
    </row>
    <row r="801">
      <c r="A801" s="38"/>
      <c r="B801" s="38">
        <v>0.0</v>
      </c>
      <c r="C801" s="38">
        <v>0.0</v>
      </c>
      <c r="D801" s="38">
        <v>0.0</v>
      </c>
      <c r="E801" s="38"/>
      <c r="F801" s="38">
        <f t="shared" si="1"/>
        <v>0</v>
      </c>
      <c r="G801" s="38">
        <f>COUNTIFS(HH_FCSP!$G$18:$G$3617,$E801,HH_FCSP!$F$18:$F$3617,"catapult/crossbow")</f>
        <v>0</v>
      </c>
      <c r="H801" s="38">
        <f>COUNTIFS(HH_FCSP!$G$18:$G$3617,$E801,HH_FCSP!$F$18:$F$3617,"white")</f>
        <v>0</v>
      </c>
    </row>
    <row r="802">
      <c r="A802" s="38"/>
      <c r="B802" s="38">
        <v>0.0</v>
      </c>
      <c r="C802" s="38">
        <v>0.0</v>
      </c>
      <c r="D802" s="38">
        <v>0.0</v>
      </c>
      <c r="E802" s="38"/>
      <c r="F802" s="38">
        <f t="shared" si="1"/>
        <v>0</v>
      </c>
      <c r="G802" s="38">
        <f>COUNTIFS(HH_FCSP!$G$18:$G$3617,$E802,HH_FCSP!$F$18:$F$3617,"catapult/crossbow")</f>
        <v>0</v>
      </c>
      <c r="H802" s="38">
        <f>COUNTIFS(HH_FCSP!$G$18:$G$3617,$E802,HH_FCSP!$F$18:$F$3617,"white")</f>
        <v>0</v>
      </c>
    </row>
    <row r="803">
      <c r="A803" s="38"/>
      <c r="B803" s="38">
        <v>0.0</v>
      </c>
      <c r="C803" s="38">
        <v>0.0</v>
      </c>
      <c r="D803" s="38">
        <v>0.0</v>
      </c>
      <c r="E803" s="38"/>
      <c r="F803" s="38">
        <f t="shared" si="1"/>
        <v>0</v>
      </c>
      <c r="G803" s="38">
        <f>COUNTIFS(HH_FCSP!$G$18:$G$3617,$E803,HH_FCSP!$F$18:$F$3617,"catapult/crossbow")</f>
        <v>0</v>
      </c>
      <c r="H803" s="38">
        <f>COUNTIFS(HH_FCSP!$G$18:$G$3617,$E803,HH_FCSP!$F$18:$F$3617,"white")</f>
        <v>0</v>
      </c>
    </row>
    <row r="804">
      <c r="A804" s="38"/>
      <c r="B804" s="38">
        <v>0.0</v>
      </c>
      <c r="C804" s="38">
        <v>0.0</v>
      </c>
      <c r="D804" s="38">
        <v>0.0</v>
      </c>
      <c r="E804" s="38"/>
      <c r="F804" s="38">
        <f t="shared" si="1"/>
        <v>0</v>
      </c>
      <c r="G804" s="38">
        <f>COUNTIFS(HH_FCSP!$G$18:$G$3617,$E804,HH_FCSP!$F$18:$F$3617,"catapult/crossbow")</f>
        <v>0</v>
      </c>
      <c r="H804" s="38">
        <f>COUNTIFS(HH_FCSP!$G$18:$G$3617,$E804,HH_FCSP!$F$18:$F$3617,"white")</f>
        <v>0</v>
      </c>
    </row>
    <row r="805">
      <c r="A805" s="38"/>
      <c r="B805" s="38">
        <v>0.0</v>
      </c>
      <c r="C805" s="38">
        <v>0.0</v>
      </c>
      <c r="D805" s="38">
        <v>0.0</v>
      </c>
      <c r="E805" s="38"/>
      <c r="F805" s="38">
        <f t="shared" si="1"/>
        <v>0</v>
      </c>
      <c r="G805" s="38">
        <f>COUNTIFS(HH_FCSP!$G$18:$G$3617,$E805,HH_FCSP!$F$18:$F$3617,"catapult/crossbow")</f>
        <v>0</v>
      </c>
      <c r="H805" s="38">
        <f>COUNTIFS(HH_FCSP!$G$18:$G$3617,$E805,HH_FCSP!$F$18:$F$3617,"white")</f>
        <v>0</v>
      </c>
    </row>
    <row r="806">
      <c r="A806" s="38"/>
      <c r="B806" s="38">
        <v>0.0</v>
      </c>
      <c r="C806" s="38">
        <v>0.0</v>
      </c>
      <c r="D806" s="38">
        <v>0.0</v>
      </c>
      <c r="E806" s="38"/>
      <c r="F806" s="38">
        <f t="shared" si="1"/>
        <v>0</v>
      </c>
      <c r="G806" s="38">
        <f>COUNTIFS(HH_FCSP!$G$18:$G$3617,$E806,HH_FCSP!$F$18:$F$3617,"catapult/crossbow")</f>
        <v>0</v>
      </c>
      <c r="H806" s="38">
        <f>COUNTIFS(HH_FCSP!$G$18:$G$3617,$E806,HH_FCSP!$F$18:$F$3617,"white")</f>
        <v>0</v>
      </c>
    </row>
    <row r="807">
      <c r="A807" s="38"/>
      <c r="B807" s="38">
        <v>0.0</v>
      </c>
      <c r="C807" s="38">
        <v>0.0</v>
      </c>
      <c r="D807" s="38">
        <v>0.0</v>
      </c>
      <c r="E807" s="38"/>
      <c r="F807" s="38">
        <f t="shared" si="1"/>
        <v>0</v>
      </c>
      <c r="G807" s="38">
        <f>COUNTIFS(HH_FCSP!$G$18:$G$3617,$E807,HH_FCSP!$F$18:$F$3617,"catapult/crossbow")</f>
        <v>0</v>
      </c>
      <c r="H807" s="38">
        <f>COUNTIFS(HH_FCSP!$G$18:$G$3617,$E807,HH_FCSP!$F$18:$F$3617,"white")</f>
        <v>0</v>
      </c>
    </row>
    <row r="808">
      <c r="A808" s="38"/>
      <c r="B808" s="38">
        <v>0.0</v>
      </c>
      <c r="C808" s="38">
        <v>0.0</v>
      </c>
      <c r="D808" s="38">
        <v>0.0</v>
      </c>
      <c r="E808" s="38"/>
      <c r="F808" s="38">
        <f t="shared" si="1"/>
        <v>0</v>
      </c>
      <c r="G808" s="38">
        <f>COUNTIFS(HH_FCSP!$G$18:$G$3617,$E808,HH_FCSP!$F$18:$F$3617,"catapult/crossbow")</f>
        <v>0</v>
      </c>
      <c r="H808" s="38">
        <f>COUNTIFS(HH_FCSP!$G$18:$G$3617,$E808,HH_FCSP!$F$18:$F$3617,"white")</f>
        <v>0</v>
      </c>
    </row>
    <row r="809">
      <c r="A809" s="38"/>
      <c r="B809" s="38">
        <v>0.0</v>
      </c>
      <c r="C809" s="38">
        <v>0.0</v>
      </c>
      <c r="D809" s="38">
        <v>0.0</v>
      </c>
      <c r="E809" s="38"/>
      <c r="F809" s="38">
        <f t="shared" si="1"/>
        <v>0</v>
      </c>
      <c r="G809" s="38">
        <f>COUNTIFS(HH_FCSP!$G$18:$G$3617,$E809,HH_FCSP!$F$18:$F$3617,"catapult/crossbow")</f>
        <v>0</v>
      </c>
      <c r="H809" s="38">
        <f>COUNTIFS(HH_FCSP!$G$18:$G$3617,$E809,HH_FCSP!$F$18:$F$3617,"white")</f>
        <v>0</v>
      </c>
    </row>
    <row r="810">
      <c r="A810" s="38"/>
      <c r="B810" s="38">
        <v>0.0</v>
      </c>
      <c r="C810" s="38">
        <v>0.0</v>
      </c>
      <c r="D810" s="38">
        <v>0.0</v>
      </c>
      <c r="E810" s="38"/>
      <c r="F810" s="38">
        <f t="shared" si="1"/>
        <v>0</v>
      </c>
      <c r="G810" s="38">
        <f>COUNTIFS(HH_FCSP!$G$18:$G$3617,$E810,HH_FCSP!$F$18:$F$3617,"catapult/crossbow")</f>
        <v>0</v>
      </c>
      <c r="H810" s="38">
        <f>COUNTIFS(HH_FCSP!$G$18:$G$3617,$E810,HH_FCSP!$F$18:$F$3617,"white")</f>
        <v>0</v>
      </c>
    </row>
    <row r="811">
      <c r="A811" s="38"/>
      <c r="B811" s="38">
        <v>0.0</v>
      </c>
      <c r="C811" s="38">
        <v>0.0</v>
      </c>
      <c r="D811" s="38">
        <v>0.0</v>
      </c>
      <c r="E811" s="38"/>
      <c r="F811" s="38">
        <f t="shared" si="1"/>
        <v>0</v>
      </c>
      <c r="G811" s="38">
        <f>COUNTIFS(HH_FCSP!$G$18:$G$3617,$E811,HH_FCSP!$F$18:$F$3617,"catapult/crossbow")</f>
        <v>0</v>
      </c>
      <c r="H811" s="38">
        <f>COUNTIFS(HH_FCSP!$G$18:$G$3617,$E811,HH_FCSP!$F$18:$F$3617,"white")</f>
        <v>0</v>
      </c>
    </row>
    <row r="812">
      <c r="A812" s="38"/>
      <c r="B812" s="38">
        <v>0.0</v>
      </c>
      <c r="C812" s="38">
        <v>0.0</v>
      </c>
      <c r="D812" s="38">
        <v>0.0</v>
      </c>
      <c r="E812" s="38"/>
      <c r="F812" s="38">
        <f t="shared" si="1"/>
        <v>0</v>
      </c>
      <c r="G812" s="38">
        <f>COUNTIFS(HH_FCSP!$G$18:$G$3617,$E812,HH_FCSP!$F$18:$F$3617,"catapult/crossbow")</f>
        <v>0</v>
      </c>
      <c r="H812" s="38">
        <f>COUNTIFS(HH_FCSP!$G$18:$G$3617,$E812,HH_FCSP!$F$18:$F$3617,"white")</f>
        <v>0</v>
      </c>
    </row>
    <row r="813">
      <c r="A813" s="38"/>
      <c r="B813" s="38">
        <v>0.0</v>
      </c>
      <c r="C813" s="38">
        <v>0.0</v>
      </c>
      <c r="D813" s="38">
        <v>0.0</v>
      </c>
      <c r="E813" s="38"/>
      <c r="F813" s="38">
        <f t="shared" si="1"/>
        <v>0</v>
      </c>
      <c r="G813" s="38">
        <f>COUNTIFS(HH_FCSP!$G$18:$G$3617,$E813,HH_FCSP!$F$18:$F$3617,"catapult/crossbow")</f>
        <v>0</v>
      </c>
      <c r="H813" s="38">
        <f>COUNTIFS(HH_FCSP!$G$18:$G$3617,$E813,HH_FCSP!$F$18:$F$3617,"white")</f>
        <v>0</v>
      </c>
    </row>
    <row r="814">
      <c r="A814" s="38"/>
      <c r="B814" s="38">
        <v>0.0</v>
      </c>
      <c r="C814" s="38">
        <v>0.0</v>
      </c>
      <c r="D814" s="38">
        <v>0.0</v>
      </c>
      <c r="E814" s="38"/>
      <c r="F814" s="38">
        <f t="shared" si="1"/>
        <v>0</v>
      </c>
      <c r="G814" s="38">
        <f>COUNTIFS(HH_FCSP!$G$18:$G$3617,$E814,HH_FCSP!$F$18:$F$3617,"catapult/crossbow")</f>
        <v>0</v>
      </c>
      <c r="H814" s="38">
        <f>COUNTIFS(HH_FCSP!$G$18:$G$3617,$E814,HH_FCSP!$F$18:$F$3617,"white")</f>
        <v>0</v>
      </c>
    </row>
    <row r="815">
      <c r="A815" s="38"/>
      <c r="B815" s="38">
        <v>0.0</v>
      </c>
      <c r="C815" s="38">
        <v>0.0</v>
      </c>
      <c r="D815" s="38">
        <v>0.0</v>
      </c>
      <c r="E815" s="38"/>
      <c r="F815" s="38">
        <f t="shared" si="1"/>
        <v>0</v>
      </c>
      <c r="G815" s="38">
        <f>COUNTIFS(HH_FCSP!$G$18:$G$3617,$E815,HH_FCSP!$F$18:$F$3617,"catapult/crossbow")</f>
        <v>0</v>
      </c>
      <c r="H815" s="38">
        <f>COUNTIFS(HH_FCSP!$G$18:$G$3617,$E815,HH_FCSP!$F$18:$F$3617,"white")</f>
        <v>0</v>
      </c>
    </row>
    <row r="816">
      <c r="A816" s="38"/>
      <c r="B816" s="38">
        <v>0.0</v>
      </c>
      <c r="C816" s="38">
        <v>0.0</v>
      </c>
      <c r="D816" s="38">
        <v>0.0</v>
      </c>
      <c r="E816" s="38"/>
      <c r="F816" s="38">
        <f t="shared" si="1"/>
        <v>0</v>
      </c>
      <c r="G816" s="38">
        <f>COUNTIFS(HH_FCSP!$G$18:$G$3617,$E816,HH_FCSP!$F$18:$F$3617,"catapult/crossbow")</f>
        <v>0</v>
      </c>
      <c r="H816" s="38">
        <f>COUNTIFS(HH_FCSP!$G$18:$G$3617,$E816,HH_FCSP!$F$18:$F$3617,"white")</f>
        <v>0</v>
      </c>
    </row>
    <row r="817">
      <c r="A817" s="38"/>
      <c r="B817" s="38">
        <v>0.0</v>
      </c>
      <c r="C817" s="38">
        <v>0.0</v>
      </c>
      <c r="D817" s="38">
        <v>0.0</v>
      </c>
      <c r="E817" s="38"/>
      <c r="F817" s="38">
        <f t="shared" si="1"/>
        <v>0</v>
      </c>
      <c r="G817" s="38">
        <f>COUNTIFS(HH_FCSP!$G$18:$G$3617,$E817,HH_FCSP!$F$18:$F$3617,"catapult/crossbow")</f>
        <v>0</v>
      </c>
      <c r="H817" s="38">
        <f>COUNTIFS(HH_FCSP!$G$18:$G$3617,$E817,HH_FCSP!$F$18:$F$3617,"white")</f>
        <v>0</v>
      </c>
    </row>
    <row r="818">
      <c r="A818" s="38"/>
      <c r="B818" s="38">
        <v>0.0</v>
      </c>
      <c r="C818" s="38">
        <v>0.0</v>
      </c>
      <c r="D818" s="38">
        <v>0.0</v>
      </c>
      <c r="E818" s="38"/>
      <c r="F818" s="38">
        <f t="shared" si="1"/>
        <v>0</v>
      </c>
      <c r="G818" s="38">
        <f>COUNTIFS(HH_FCSP!$G$18:$G$3617,$E818,HH_FCSP!$F$18:$F$3617,"catapult/crossbow")</f>
        <v>0</v>
      </c>
      <c r="H818" s="38">
        <f>COUNTIFS(HH_FCSP!$G$18:$G$3617,$E818,HH_FCSP!$F$18:$F$3617,"white")</f>
        <v>0</v>
      </c>
    </row>
    <row r="819">
      <c r="A819" s="38"/>
      <c r="B819" s="38">
        <v>0.0</v>
      </c>
      <c r="C819" s="38">
        <v>0.0</v>
      </c>
      <c r="D819" s="38">
        <v>0.0</v>
      </c>
      <c r="E819" s="38"/>
      <c r="F819" s="38">
        <f t="shared" si="1"/>
        <v>0</v>
      </c>
      <c r="G819" s="38">
        <f>COUNTIFS(HH_FCSP!$G$18:$G$3617,$E819,HH_FCSP!$F$18:$F$3617,"catapult/crossbow")</f>
        <v>0</v>
      </c>
      <c r="H819" s="38">
        <f>COUNTIFS(HH_FCSP!$G$18:$G$3617,$E819,HH_FCSP!$F$18:$F$3617,"white")</f>
        <v>0</v>
      </c>
    </row>
    <row r="820">
      <c r="A820" s="38"/>
      <c r="B820" s="38">
        <v>0.0</v>
      </c>
      <c r="C820" s="38">
        <v>0.0</v>
      </c>
      <c r="D820" s="38">
        <v>0.0</v>
      </c>
      <c r="E820" s="38"/>
      <c r="F820" s="38">
        <f t="shared" si="1"/>
        <v>0</v>
      </c>
      <c r="G820" s="38">
        <f>COUNTIFS(HH_FCSP!$G$18:$G$3617,$E820,HH_FCSP!$F$18:$F$3617,"catapult/crossbow")</f>
        <v>0</v>
      </c>
      <c r="H820" s="38">
        <f>COUNTIFS(HH_FCSP!$G$18:$G$3617,$E820,HH_FCSP!$F$18:$F$3617,"white")</f>
        <v>0</v>
      </c>
    </row>
    <row r="821">
      <c r="A821" s="38"/>
      <c r="B821" s="38">
        <v>0.0</v>
      </c>
      <c r="C821" s="38">
        <v>0.0</v>
      </c>
      <c r="D821" s="38">
        <v>0.0</v>
      </c>
      <c r="E821" s="38"/>
      <c r="F821" s="38">
        <f t="shared" si="1"/>
        <v>0</v>
      </c>
      <c r="G821" s="38">
        <f>COUNTIFS(HH_FCSP!$G$18:$G$3617,$E821,HH_FCSP!$F$18:$F$3617,"catapult/crossbow")</f>
        <v>0</v>
      </c>
      <c r="H821" s="38">
        <f>COUNTIFS(HH_FCSP!$G$18:$G$3617,$E821,HH_FCSP!$F$18:$F$3617,"white")</f>
        <v>0</v>
      </c>
    </row>
    <row r="822">
      <c r="A822" s="38"/>
      <c r="B822" s="38">
        <v>0.0</v>
      </c>
      <c r="C822" s="38">
        <v>0.0</v>
      </c>
      <c r="D822" s="38">
        <v>0.0</v>
      </c>
      <c r="E822" s="38"/>
      <c r="F822" s="38">
        <f t="shared" si="1"/>
        <v>0</v>
      </c>
      <c r="G822" s="38">
        <f>COUNTIFS(HH_FCSP!$G$18:$G$3617,$E822,HH_FCSP!$F$18:$F$3617,"catapult/crossbow")</f>
        <v>0</v>
      </c>
      <c r="H822" s="38">
        <f>COUNTIFS(HH_FCSP!$G$18:$G$3617,$E822,HH_FCSP!$F$18:$F$3617,"white")</f>
        <v>0</v>
      </c>
    </row>
    <row r="823">
      <c r="A823" s="38"/>
      <c r="B823" s="38">
        <v>0.0</v>
      </c>
      <c r="C823" s="38">
        <v>0.0</v>
      </c>
      <c r="D823" s="38">
        <v>0.0</v>
      </c>
      <c r="E823" s="38"/>
      <c r="F823" s="38">
        <f t="shared" si="1"/>
        <v>0</v>
      </c>
      <c r="G823" s="38">
        <f>COUNTIFS(HH_FCSP!$G$18:$G$3617,$E823,HH_FCSP!$F$18:$F$3617,"catapult/crossbow")</f>
        <v>0</v>
      </c>
      <c r="H823" s="38">
        <f>COUNTIFS(HH_FCSP!$G$18:$G$3617,$E823,HH_FCSP!$F$18:$F$3617,"white")</f>
        <v>0</v>
      </c>
    </row>
    <row r="824">
      <c r="A824" s="38"/>
      <c r="B824" s="38">
        <v>0.0</v>
      </c>
      <c r="C824" s="38">
        <v>0.0</v>
      </c>
      <c r="D824" s="38">
        <v>0.0</v>
      </c>
      <c r="E824" s="38"/>
      <c r="F824" s="38">
        <f t="shared" si="1"/>
        <v>0</v>
      </c>
      <c r="G824" s="38">
        <f>COUNTIFS(HH_FCSP!$G$18:$G$3617,$E824,HH_FCSP!$F$18:$F$3617,"catapult/crossbow")</f>
        <v>0</v>
      </c>
      <c r="H824" s="38">
        <f>COUNTIFS(HH_FCSP!$G$18:$G$3617,$E824,HH_FCSP!$F$18:$F$3617,"white")</f>
        <v>0</v>
      </c>
    </row>
    <row r="825">
      <c r="A825" s="38"/>
      <c r="B825" s="38">
        <v>0.0</v>
      </c>
      <c r="C825" s="38">
        <v>0.0</v>
      </c>
      <c r="D825" s="38">
        <v>0.0</v>
      </c>
      <c r="E825" s="38"/>
      <c r="F825" s="38">
        <f t="shared" si="1"/>
        <v>0</v>
      </c>
      <c r="G825" s="38">
        <f>COUNTIFS(HH_FCSP!$G$18:$G$3617,$E825,HH_FCSP!$F$18:$F$3617,"catapult/crossbow")</f>
        <v>0</v>
      </c>
      <c r="H825" s="38">
        <f>COUNTIFS(HH_FCSP!$G$18:$G$3617,$E825,HH_FCSP!$F$18:$F$3617,"white")</f>
        <v>0</v>
      </c>
    </row>
    <row r="826">
      <c r="A826" s="38"/>
      <c r="B826" s="38">
        <v>0.0</v>
      </c>
      <c r="C826" s="38">
        <v>0.0</v>
      </c>
      <c r="D826" s="38">
        <v>0.0</v>
      </c>
      <c r="E826" s="38"/>
      <c r="F826" s="38">
        <f t="shared" si="1"/>
        <v>0</v>
      </c>
      <c r="G826" s="38">
        <f>COUNTIFS(HH_FCSP!$G$18:$G$3617,$E826,HH_FCSP!$F$18:$F$3617,"catapult/crossbow")</f>
        <v>0</v>
      </c>
      <c r="H826" s="38">
        <f>COUNTIFS(HH_FCSP!$G$18:$G$3617,$E826,HH_FCSP!$F$18:$F$3617,"white")</f>
        <v>0</v>
      </c>
    </row>
    <row r="827">
      <c r="A827" s="38"/>
      <c r="B827" s="38">
        <v>0.0</v>
      </c>
      <c r="C827" s="38">
        <v>0.0</v>
      </c>
      <c r="D827" s="38">
        <v>0.0</v>
      </c>
      <c r="E827" s="38"/>
      <c r="F827" s="38">
        <f t="shared" si="1"/>
        <v>0</v>
      </c>
      <c r="G827" s="38">
        <f>COUNTIFS(HH_FCSP!$G$18:$G$3617,$E827,HH_FCSP!$F$18:$F$3617,"catapult/crossbow")</f>
        <v>0</v>
      </c>
      <c r="H827" s="38">
        <f>COUNTIFS(HH_FCSP!$G$18:$G$3617,$E827,HH_FCSP!$F$18:$F$3617,"white")</f>
        <v>0</v>
      </c>
    </row>
    <row r="828">
      <c r="A828" s="38"/>
      <c r="B828" s="38">
        <v>0.0</v>
      </c>
      <c r="C828" s="38">
        <v>0.0</v>
      </c>
      <c r="D828" s="38">
        <v>0.0</v>
      </c>
      <c r="E828" s="38"/>
      <c r="F828" s="38">
        <f t="shared" si="1"/>
        <v>0</v>
      </c>
      <c r="G828" s="38">
        <f>COUNTIFS(HH_FCSP!$G$18:$G$3617,$E828,HH_FCSP!$F$18:$F$3617,"catapult/crossbow")</f>
        <v>0</v>
      </c>
      <c r="H828" s="38">
        <f>COUNTIFS(HH_FCSP!$G$18:$G$3617,$E828,HH_FCSP!$F$18:$F$3617,"white")</f>
        <v>0</v>
      </c>
    </row>
    <row r="829">
      <c r="A829" s="38"/>
      <c r="B829" s="38">
        <v>0.0</v>
      </c>
      <c r="C829" s="38">
        <v>0.0</v>
      </c>
      <c r="D829" s="38">
        <v>0.0</v>
      </c>
      <c r="E829" s="38"/>
      <c r="F829" s="38">
        <f t="shared" si="1"/>
        <v>0</v>
      </c>
      <c r="G829" s="38">
        <f>COUNTIFS(HH_FCSP!$G$18:$G$3617,$E829,HH_FCSP!$F$18:$F$3617,"catapult/crossbow")</f>
        <v>0</v>
      </c>
      <c r="H829" s="38">
        <f>COUNTIFS(HH_FCSP!$G$18:$G$3617,$E829,HH_FCSP!$F$18:$F$3617,"white")</f>
        <v>0</v>
      </c>
    </row>
    <row r="830">
      <c r="A830" s="38"/>
      <c r="B830" s="38">
        <v>0.0</v>
      </c>
      <c r="C830" s="38">
        <v>0.0</v>
      </c>
      <c r="D830" s="38">
        <v>0.0</v>
      </c>
      <c r="E830" s="38"/>
      <c r="F830" s="38">
        <f t="shared" si="1"/>
        <v>0</v>
      </c>
      <c r="G830" s="38">
        <f>COUNTIFS(HH_FCSP!$G$18:$G$3617,$E830,HH_FCSP!$F$18:$F$3617,"catapult/crossbow")</f>
        <v>0</v>
      </c>
      <c r="H830" s="38">
        <f>COUNTIFS(HH_FCSP!$G$18:$G$3617,$E830,HH_FCSP!$F$18:$F$3617,"white")</f>
        <v>0</v>
      </c>
    </row>
    <row r="831">
      <c r="A831" s="38"/>
      <c r="B831" s="38">
        <v>0.0</v>
      </c>
      <c r="C831" s="38">
        <v>0.0</v>
      </c>
      <c r="D831" s="38">
        <v>0.0</v>
      </c>
      <c r="E831" s="38"/>
      <c r="F831" s="38">
        <f t="shared" si="1"/>
        <v>0</v>
      </c>
      <c r="G831" s="38">
        <f>COUNTIFS(HH_FCSP!$G$18:$G$3617,$E831,HH_FCSP!$F$18:$F$3617,"catapult/crossbow")</f>
        <v>0</v>
      </c>
      <c r="H831" s="38">
        <f>COUNTIFS(HH_FCSP!$G$18:$G$3617,$E831,HH_FCSP!$F$18:$F$3617,"white")</f>
        <v>0</v>
      </c>
    </row>
    <row r="832">
      <c r="A832" s="38"/>
      <c r="B832" s="38">
        <v>0.0</v>
      </c>
      <c r="C832" s="38">
        <v>0.0</v>
      </c>
      <c r="D832" s="38">
        <v>0.0</v>
      </c>
      <c r="E832" s="38"/>
      <c r="F832" s="38">
        <f t="shared" si="1"/>
        <v>0</v>
      </c>
      <c r="G832" s="38">
        <f>COUNTIFS(HH_FCSP!$G$18:$G$3617,$E832,HH_FCSP!$F$18:$F$3617,"catapult/crossbow")</f>
        <v>0</v>
      </c>
      <c r="H832" s="38">
        <f>COUNTIFS(HH_FCSP!$G$18:$G$3617,$E832,HH_FCSP!$F$18:$F$3617,"white")</f>
        <v>0</v>
      </c>
    </row>
    <row r="833">
      <c r="A833" s="38"/>
      <c r="B833" s="38">
        <v>0.0</v>
      </c>
      <c r="C833" s="38">
        <v>0.0</v>
      </c>
      <c r="D833" s="38">
        <v>0.0</v>
      </c>
      <c r="E833" s="38"/>
      <c r="F833" s="38">
        <f t="shared" si="1"/>
        <v>0</v>
      </c>
      <c r="G833" s="38">
        <f>COUNTIFS(HH_FCSP!$G$18:$G$3617,$E833,HH_FCSP!$F$18:$F$3617,"catapult/crossbow")</f>
        <v>0</v>
      </c>
      <c r="H833" s="38">
        <f>COUNTIFS(HH_FCSP!$G$18:$G$3617,$E833,HH_FCSP!$F$18:$F$3617,"white")</f>
        <v>0</v>
      </c>
    </row>
    <row r="834">
      <c r="A834" s="38"/>
      <c r="B834" s="38">
        <v>0.0</v>
      </c>
      <c r="C834" s="38">
        <v>0.0</v>
      </c>
      <c r="D834" s="38">
        <v>0.0</v>
      </c>
      <c r="E834" s="38"/>
      <c r="F834" s="38">
        <f t="shared" si="1"/>
        <v>0</v>
      </c>
      <c r="G834" s="38">
        <f>COUNTIFS(HH_FCSP!$G$18:$G$3617,$E834,HH_FCSP!$F$18:$F$3617,"catapult/crossbow")</f>
        <v>0</v>
      </c>
      <c r="H834" s="38">
        <f>COUNTIFS(HH_FCSP!$G$18:$G$3617,$E834,HH_FCSP!$F$18:$F$3617,"white")</f>
        <v>0</v>
      </c>
    </row>
    <row r="835">
      <c r="A835" s="38"/>
      <c r="B835" s="38">
        <v>0.0</v>
      </c>
      <c r="C835" s="38">
        <v>0.0</v>
      </c>
      <c r="D835" s="38">
        <v>0.0</v>
      </c>
      <c r="E835" s="38"/>
      <c r="F835" s="38">
        <f t="shared" si="1"/>
        <v>0</v>
      </c>
      <c r="G835" s="38">
        <f>COUNTIFS(HH_FCSP!$G$18:$G$3617,$E835,HH_FCSP!$F$18:$F$3617,"catapult/crossbow")</f>
        <v>0</v>
      </c>
      <c r="H835" s="38">
        <f>COUNTIFS(HH_FCSP!$G$18:$G$3617,$E835,HH_FCSP!$F$18:$F$3617,"white")</f>
        <v>0</v>
      </c>
    </row>
    <row r="836">
      <c r="A836" s="38"/>
      <c r="B836" s="38">
        <v>0.0</v>
      </c>
      <c r="C836" s="38">
        <v>0.0</v>
      </c>
      <c r="D836" s="38">
        <v>0.0</v>
      </c>
      <c r="E836" s="38"/>
      <c r="F836" s="38">
        <f t="shared" si="1"/>
        <v>0</v>
      </c>
      <c r="G836" s="38">
        <f>COUNTIFS(HH_FCSP!$G$18:$G$3617,$E836,HH_FCSP!$F$18:$F$3617,"catapult/crossbow")</f>
        <v>0</v>
      </c>
      <c r="H836" s="38">
        <f>COUNTIFS(HH_FCSP!$G$18:$G$3617,$E836,HH_FCSP!$F$18:$F$3617,"white")</f>
        <v>0</v>
      </c>
    </row>
    <row r="837">
      <c r="A837" s="38"/>
      <c r="B837" s="38">
        <v>0.0</v>
      </c>
      <c r="C837" s="38">
        <v>0.0</v>
      </c>
      <c r="D837" s="38">
        <v>0.0</v>
      </c>
      <c r="E837" s="38"/>
      <c r="F837" s="38">
        <f t="shared" si="1"/>
        <v>0</v>
      </c>
      <c r="G837" s="38">
        <f>COUNTIFS(HH_FCSP!$G$18:$G$3617,$E837,HH_FCSP!$F$18:$F$3617,"catapult/crossbow")</f>
        <v>0</v>
      </c>
      <c r="H837" s="38">
        <f>COUNTIFS(HH_FCSP!$G$18:$G$3617,$E837,HH_FCSP!$F$18:$F$3617,"white")</f>
        <v>0</v>
      </c>
    </row>
    <row r="838">
      <c r="A838" s="38"/>
      <c r="B838" s="38">
        <v>0.0</v>
      </c>
      <c r="C838" s="38">
        <v>0.0</v>
      </c>
      <c r="D838" s="38">
        <v>0.0</v>
      </c>
      <c r="E838" s="38"/>
      <c r="F838" s="38">
        <f t="shared" si="1"/>
        <v>0</v>
      </c>
      <c r="G838" s="38">
        <f>COUNTIFS(HH_FCSP!$G$18:$G$3617,$E838,HH_FCSP!$F$18:$F$3617,"catapult/crossbow")</f>
        <v>0</v>
      </c>
      <c r="H838" s="38">
        <f>COUNTIFS(HH_FCSP!$G$18:$G$3617,$E838,HH_FCSP!$F$18:$F$3617,"white")</f>
        <v>0</v>
      </c>
    </row>
    <row r="839">
      <c r="A839" s="38"/>
      <c r="B839" s="38">
        <v>0.0</v>
      </c>
      <c r="C839" s="38">
        <v>0.0</v>
      </c>
      <c r="D839" s="38">
        <v>0.0</v>
      </c>
      <c r="E839" s="38"/>
      <c r="F839" s="38">
        <f t="shared" si="1"/>
        <v>0</v>
      </c>
      <c r="G839" s="38">
        <f>COUNTIFS(HH_FCSP!$G$18:$G$3617,$E839,HH_FCSP!$F$18:$F$3617,"catapult/crossbow")</f>
        <v>0</v>
      </c>
      <c r="H839" s="38">
        <f>COUNTIFS(HH_FCSP!$G$18:$G$3617,$E839,HH_FCSP!$F$18:$F$3617,"white")</f>
        <v>0</v>
      </c>
    </row>
    <row r="840">
      <c r="A840" s="38"/>
      <c r="B840" s="38">
        <v>0.0</v>
      </c>
      <c r="C840" s="38">
        <v>0.0</v>
      </c>
      <c r="D840" s="38">
        <v>0.0</v>
      </c>
      <c r="E840" s="38"/>
      <c r="F840" s="38">
        <f t="shared" si="1"/>
        <v>0</v>
      </c>
      <c r="G840" s="38">
        <f>COUNTIFS(HH_FCSP!$G$18:$G$3617,$E840,HH_FCSP!$F$18:$F$3617,"catapult/crossbow")</f>
        <v>0</v>
      </c>
      <c r="H840" s="38">
        <f>COUNTIFS(HH_FCSP!$G$18:$G$3617,$E840,HH_FCSP!$F$18:$F$3617,"white")</f>
        <v>0</v>
      </c>
    </row>
    <row r="841">
      <c r="A841" s="38"/>
      <c r="B841" s="38">
        <v>0.0</v>
      </c>
      <c r="C841" s="38">
        <v>0.0</v>
      </c>
      <c r="D841" s="38">
        <v>0.0</v>
      </c>
      <c r="E841" s="38"/>
      <c r="F841" s="38">
        <f t="shared" si="1"/>
        <v>0</v>
      </c>
      <c r="G841" s="38">
        <f>COUNTIFS(HH_FCSP!$G$18:$G$3617,$E841,HH_FCSP!$F$18:$F$3617,"catapult/crossbow")</f>
        <v>0</v>
      </c>
      <c r="H841" s="38">
        <f>COUNTIFS(HH_FCSP!$G$18:$G$3617,$E841,HH_FCSP!$F$18:$F$3617,"white")</f>
        <v>0</v>
      </c>
    </row>
    <row r="842">
      <c r="A842" s="38"/>
      <c r="B842" s="38">
        <v>0.0</v>
      </c>
      <c r="C842" s="38">
        <v>0.0</v>
      </c>
      <c r="D842" s="38">
        <v>0.0</v>
      </c>
      <c r="E842" s="38"/>
      <c r="F842" s="38">
        <f t="shared" si="1"/>
        <v>0</v>
      </c>
      <c r="G842" s="38">
        <f>COUNTIFS(HH_FCSP!$G$18:$G$3617,$E842,HH_FCSP!$F$18:$F$3617,"catapult/crossbow")</f>
        <v>0</v>
      </c>
      <c r="H842" s="38">
        <f>COUNTIFS(HH_FCSP!$G$18:$G$3617,$E842,HH_FCSP!$F$18:$F$3617,"white")</f>
        <v>0</v>
      </c>
    </row>
    <row r="843">
      <c r="A843" s="38"/>
      <c r="B843" s="38">
        <v>0.0</v>
      </c>
      <c r="C843" s="38">
        <v>0.0</v>
      </c>
      <c r="D843" s="38">
        <v>0.0</v>
      </c>
      <c r="E843" s="38"/>
      <c r="F843" s="38">
        <f t="shared" si="1"/>
        <v>0</v>
      </c>
      <c r="G843" s="38">
        <f>COUNTIFS(HH_FCSP!$G$18:$G$3617,$E843,HH_FCSP!$F$18:$F$3617,"catapult/crossbow")</f>
        <v>0</v>
      </c>
      <c r="H843" s="38">
        <f>COUNTIFS(HH_FCSP!$G$18:$G$3617,$E843,HH_FCSP!$F$18:$F$3617,"white")</f>
        <v>0</v>
      </c>
    </row>
    <row r="844">
      <c r="A844" s="38"/>
      <c r="B844" s="38">
        <v>0.0</v>
      </c>
      <c r="C844" s="38">
        <v>0.0</v>
      </c>
      <c r="D844" s="38">
        <v>0.0</v>
      </c>
      <c r="E844" s="38"/>
      <c r="F844" s="38">
        <f t="shared" si="1"/>
        <v>0</v>
      </c>
      <c r="G844" s="38">
        <f>COUNTIFS(HH_FCSP!$G$18:$G$3617,$E844,HH_FCSP!$F$18:$F$3617,"catapult/crossbow")</f>
        <v>0</v>
      </c>
      <c r="H844" s="38">
        <f>COUNTIFS(HH_FCSP!$G$18:$G$3617,$E844,HH_FCSP!$F$18:$F$3617,"white")</f>
        <v>0</v>
      </c>
    </row>
    <row r="845">
      <c r="A845" s="38"/>
      <c r="B845" s="38">
        <v>0.0</v>
      </c>
      <c r="C845" s="38">
        <v>0.0</v>
      </c>
      <c r="D845" s="38">
        <v>0.0</v>
      </c>
      <c r="E845" s="38"/>
      <c r="F845" s="38">
        <f t="shared" si="1"/>
        <v>0</v>
      </c>
      <c r="G845" s="38">
        <f>COUNTIFS(HH_FCSP!$G$18:$G$3617,$E845,HH_FCSP!$F$18:$F$3617,"catapult/crossbow")</f>
        <v>0</v>
      </c>
      <c r="H845" s="38">
        <f>COUNTIFS(HH_FCSP!$G$18:$G$3617,$E845,HH_FCSP!$F$18:$F$3617,"white")</f>
        <v>0</v>
      </c>
    </row>
    <row r="846">
      <c r="A846" s="38"/>
      <c r="B846" s="38">
        <v>0.0</v>
      </c>
      <c r="C846" s="38">
        <v>0.0</v>
      </c>
      <c r="D846" s="38">
        <v>0.0</v>
      </c>
      <c r="E846" s="38"/>
      <c r="F846" s="38">
        <f t="shared" si="1"/>
        <v>0</v>
      </c>
      <c r="G846" s="38">
        <f>COUNTIFS(HH_FCSP!$G$18:$G$3617,$E846,HH_FCSP!$F$18:$F$3617,"catapult/crossbow")</f>
        <v>0</v>
      </c>
      <c r="H846" s="38">
        <f>COUNTIFS(HH_FCSP!$G$18:$G$3617,$E846,HH_FCSP!$F$18:$F$3617,"white")</f>
        <v>0</v>
      </c>
    </row>
    <row r="847">
      <c r="A847" s="38"/>
      <c r="B847" s="38">
        <v>0.0</v>
      </c>
      <c r="C847" s="38">
        <v>0.0</v>
      </c>
      <c r="D847" s="38">
        <v>0.0</v>
      </c>
      <c r="E847" s="38"/>
      <c r="F847" s="38">
        <f t="shared" si="1"/>
        <v>0</v>
      </c>
      <c r="G847" s="38">
        <f>COUNTIFS(HH_FCSP!$G$18:$G$3617,$E847,HH_FCSP!$F$18:$F$3617,"catapult/crossbow")</f>
        <v>0</v>
      </c>
      <c r="H847" s="38">
        <f>COUNTIFS(HH_FCSP!$G$18:$G$3617,$E847,HH_FCSP!$F$18:$F$3617,"white")</f>
        <v>0</v>
      </c>
    </row>
    <row r="848">
      <c r="A848" s="38"/>
      <c r="B848" s="38">
        <v>0.0</v>
      </c>
      <c r="C848" s="38">
        <v>0.0</v>
      </c>
      <c r="D848" s="38">
        <v>0.0</v>
      </c>
      <c r="E848" s="38"/>
      <c r="F848" s="38">
        <f t="shared" si="1"/>
        <v>0</v>
      </c>
      <c r="G848" s="38">
        <f>COUNTIFS(HH_FCSP!$G$18:$G$3617,$E848,HH_FCSP!$F$18:$F$3617,"catapult/crossbow")</f>
        <v>0</v>
      </c>
      <c r="H848" s="38">
        <f>COUNTIFS(HH_FCSP!$G$18:$G$3617,$E848,HH_FCSP!$F$18:$F$3617,"white")</f>
        <v>0</v>
      </c>
    </row>
    <row r="849">
      <c r="A849" s="38"/>
      <c r="B849" s="38">
        <v>0.0</v>
      </c>
      <c r="C849" s="38">
        <v>0.0</v>
      </c>
      <c r="D849" s="38">
        <v>0.0</v>
      </c>
      <c r="E849" s="38"/>
      <c r="F849" s="38">
        <f t="shared" si="1"/>
        <v>0</v>
      </c>
      <c r="G849" s="38">
        <f>COUNTIFS(HH_FCSP!$G$18:$G$3617,$E849,HH_FCSP!$F$18:$F$3617,"catapult/crossbow")</f>
        <v>0</v>
      </c>
      <c r="H849" s="38">
        <f>COUNTIFS(HH_FCSP!$G$18:$G$3617,$E849,HH_FCSP!$F$18:$F$3617,"white")</f>
        <v>0</v>
      </c>
    </row>
    <row r="850">
      <c r="A850" s="38"/>
      <c r="B850" s="38">
        <v>0.0</v>
      </c>
      <c r="C850" s="38">
        <v>0.0</v>
      </c>
      <c r="D850" s="38">
        <v>0.0</v>
      </c>
      <c r="E850" s="38"/>
      <c r="F850" s="38">
        <f t="shared" si="1"/>
        <v>0</v>
      </c>
      <c r="G850" s="38">
        <f>COUNTIFS(HH_FCSP!$G$18:$G$3617,$E850,HH_FCSP!$F$18:$F$3617,"catapult/crossbow")</f>
        <v>0</v>
      </c>
      <c r="H850" s="38">
        <f>COUNTIFS(HH_FCSP!$G$18:$G$3617,$E850,HH_FCSP!$F$18:$F$3617,"white")</f>
        <v>0</v>
      </c>
    </row>
    <row r="851">
      <c r="A851" s="38"/>
      <c r="B851" s="38">
        <v>0.0</v>
      </c>
      <c r="C851" s="38">
        <v>0.0</v>
      </c>
      <c r="D851" s="38">
        <v>0.0</v>
      </c>
      <c r="E851" s="38"/>
      <c r="F851" s="38">
        <f t="shared" si="1"/>
        <v>0</v>
      </c>
      <c r="G851" s="38">
        <f>COUNTIFS(HH_FCSP!$G$18:$G$3617,$E851,HH_FCSP!$F$18:$F$3617,"catapult/crossbow")</f>
        <v>0</v>
      </c>
      <c r="H851" s="38">
        <f>COUNTIFS(HH_FCSP!$G$18:$G$3617,$E851,HH_FCSP!$F$18:$F$3617,"white")</f>
        <v>0</v>
      </c>
    </row>
    <row r="852">
      <c r="A852" s="38"/>
      <c r="B852" s="38">
        <v>0.0</v>
      </c>
      <c r="C852" s="38">
        <v>0.0</v>
      </c>
      <c r="D852" s="38">
        <v>0.0</v>
      </c>
      <c r="E852" s="38"/>
      <c r="F852" s="38">
        <f t="shared" si="1"/>
        <v>0</v>
      </c>
      <c r="G852" s="38">
        <f>COUNTIFS(HH_FCSP!$G$18:$G$3617,$E852,HH_FCSP!$F$18:$F$3617,"catapult/crossbow")</f>
        <v>0</v>
      </c>
      <c r="H852" s="38">
        <f>COUNTIFS(HH_FCSP!$G$18:$G$3617,$E852,HH_FCSP!$F$18:$F$3617,"white")</f>
        <v>0</v>
      </c>
    </row>
    <row r="853">
      <c r="A853" s="38"/>
      <c r="B853" s="38">
        <v>0.0</v>
      </c>
      <c r="C853" s="38">
        <v>0.0</v>
      </c>
      <c r="D853" s="38">
        <v>0.0</v>
      </c>
      <c r="E853" s="38"/>
      <c r="F853" s="38">
        <f t="shared" si="1"/>
        <v>0</v>
      </c>
      <c r="G853" s="38">
        <f>COUNTIFS(HH_FCSP!$G$18:$G$3617,$E853,HH_FCSP!$F$18:$F$3617,"catapult/crossbow")</f>
        <v>0</v>
      </c>
      <c r="H853" s="38">
        <f>COUNTIFS(HH_FCSP!$G$18:$G$3617,$E853,HH_FCSP!$F$18:$F$3617,"white")</f>
        <v>0</v>
      </c>
    </row>
    <row r="854">
      <c r="A854" s="38"/>
      <c r="B854" s="38">
        <v>0.0</v>
      </c>
      <c r="C854" s="38">
        <v>0.0</v>
      </c>
      <c r="D854" s="38">
        <v>0.0</v>
      </c>
      <c r="E854" s="38"/>
      <c r="F854" s="38">
        <f t="shared" si="1"/>
        <v>0</v>
      </c>
      <c r="G854" s="38">
        <f>COUNTIFS(HH_FCSP!$G$18:$G$3617,$E854,HH_FCSP!$F$18:$F$3617,"catapult/crossbow")</f>
        <v>0</v>
      </c>
      <c r="H854" s="38">
        <f>COUNTIFS(HH_FCSP!$G$18:$G$3617,$E854,HH_FCSP!$F$18:$F$3617,"white")</f>
        <v>0</v>
      </c>
    </row>
    <row r="855">
      <c r="A855" s="38"/>
      <c r="B855" s="38">
        <v>0.0</v>
      </c>
      <c r="C855" s="38">
        <v>0.0</v>
      </c>
      <c r="D855" s="38">
        <v>0.0</v>
      </c>
      <c r="E855" s="38"/>
      <c r="F855" s="38">
        <f t="shared" si="1"/>
        <v>0</v>
      </c>
      <c r="G855" s="38">
        <f>COUNTIFS(HH_FCSP!$G$18:$G$3617,$E855,HH_FCSP!$F$18:$F$3617,"catapult/crossbow")</f>
        <v>0</v>
      </c>
      <c r="H855" s="38">
        <f>COUNTIFS(HH_FCSP!$G$18:$G$3617,$E855,HH_FCSP!$F$18:$F$3617,"white")</f>
        <v>0</v>
      </c>
    </row>
    <row r="856">
      <c r="A856" s="38"/>
      <c r="B856" s="38">
        <v>0.0</v>
      </c>
      <c r="C856" s="38">
        <v>0.0</v>
      </c>
      <c r="D856" s="38">
        <v>0.0</v>
      </c>
      <c r="E856" s="38"/>
      <c r="F856" s="38">
        <f t="shared" si="1"/>
        <v>0</v>
      </c>
      <c r="G856" s="38">
        <f>COUNTIFS(HH_FCSP!$G$18:$G$3617,$E856,HH_FCSP!$F$18:$F$3617,"catapult/crossbow")</f>
        <v>0</v>
      </c>
      <c r="H856" s="38">
        <f>COUNTIFS(HH_FCSP!$G$18:$G$3617,$E856,HH_FCSP!$F$18:$F$3617,"white")</f>
        <v>0</v>
      </c>
    </row>
    <row r="857">
      <c r="A857" s="38"/>
      <c r="B857" s="38">
        <v>0.0</v>
      </c>
      <c r="C857" s="38">
        <v>0.0</v>
      </c>
      <c r="D857" s="38">
        <v>0.0</v>
      </c>
      <c r="E857" s="38"/>
      <c r="F857" s="38">
        <f t="shared" si="1"/>
        <v>0</v>
      </c>
      <c r="G857" s="38">
        <f>COUNTIFS(HH_FCSP!$G$18:$G$3617,$E857,HH_FCSP!$F$18:$F$3617,"catapult/crossbow")</f>
        <v>0</v>
      </c>
      <c r="H857" s="38">
        <f>COUNTIFS(HH_FCSP!$G$18:$G$3617,$E857,HH_FCSP!$F$18:$F$3617,"white")</f>
        <v>0</v>
      </c>
    </row>
    <row r="858">
      <c r="A858" s="38"/>
      <c r="B858" s="38">
        <v>0.0</v>
      </c>
      <c r="C858" s="38">
        <v>0.0</v>
      </c>
      <c r="D858" s="38">
        <v>0.0</v>
      </c>
      <c r="E858" s="38"/>
      <c r="F858" s="38">
        <f t="shared" si="1"/>
        <v>0</v>
      </c>
      <c r="G858" s="38">
        <f>COUNTIFS(HH_FCSP!$G$18:$G$3617,$E858,HH_FCSP!$F$18:$F$3617,"catapult/crossbow")</f>
        <v>0</v>
      </c>
      <c r="H858" s="38">
        <f>COUNTIFS(HH_FCSP!$G$18:$G$3617,$E858,HH_FCSP!$F$18:$F$3617,"white")</f>
        <v>0</v>
      </c>
    </row>
    <row r="859">
      <c r="A859" s="38"/>
      <c r="B859" s="38">
        <v>0.0</v>
      </c>
      <c r="C859" s="38">
        <v>0.0</v>
      </c>
      <c r="D859" s="38">
        <v>0.0</v>
      </c>
      <c r="E859" s="38"/>
      <c r="F859" s="38">
        <f t="shared" si="1"/>
        <v>0</v>
      </c>
      <c r="G859" s="38">
        <f>COUNTIFS(HH_FCSP!$G$18:$G$3617,$E859,HH_FCSP!$F$18:$F$3617,"catapult/crossbow")</f>
        <v>0</v>
      </c>
      <c r="H859" s="38">
        <f>COUNTIFS(HH_FCSP!$G$18:$G$3617,$E859,HH_FCSP!$F$18:$F$3617,"white")</f>
        <v>0</v>
      </c>
    </row>
    <row r="860">
      <c r="A860" s="38"/>
      <c r="B860" s="38">
        <v>0.0</v>
      </c>
      <c r="C860" s="38">
        <v>0.0</v>
      </c>
      <c r="D860" s="38">
        <v>0.0</v>
      </c>
      <c r="E860" s="38"/>
      <c r="F860" s="38">
        <f t="shared" si="1"/>
        <v>0</v>
      </c>
      <c r="G860" s="38">
        <f>COUNTIFS(HH_FCSP!$G$18:$G$3617,$E860,HH_FCSP!$F$18:$F$3617,"catapult/crossbow")</f>
        <v>0</v>
      </c>
      <c r="H860" s="38">
        <f>COUNTIFS(HH_FCSP!$G$18:$G$3617,$E860,HH_FCSP!$F$18:$F$3617,"white")</f>
        <v>0</v>
      </c>
    </row>
    <row r="861">
      <c r="A861" s="38"/>
      <c r="B861" s="38">
        <v>0.0</v>
      </c>
      <c r="C861" s="38">
        <v>0.0</v>
      </c>
      <c r="D861" s="38">
        <v>0.0</v>
      </c>
      <c r="E861" s="38"/>
      <c r="F861" s="38">
        <f t="shared" si="1"/>
        <v>0</v>
      </c>
      <c r="G861" s="38">
        <f>COUNTIFS(HH_FCSP!$G$18:$G$3617,$E861,HH_FCSP!$F$18:$F$3617,"catapult/crossbow")</f>
        <v>0</v>
      </c>
      <c r="H861" s="38">
        <f>COUNTIFS(HH_FCSP!$G$18:$G$3617,$E861,HH_FCSP!$F$18:$F$3617,"white")</f>
        <v>0</v>
      </c>
    </row>
    <row r="862">
      <c r="A862" s="38"/>
      <c r="B862" s="38">
        <v>0.0</v>
      </c>
      <c r="C862" s="38">
        <v>0.0</v>
      </c>
      <c r="D862" s="38">
        <v>0.0</v>
      </c>
      <c r="E862" s="38"/>
      <c r="F862" s="38">
        <f t="shared" si="1"/>
        <v>0</v>
      </c>
      <c r="G862" s="38">
        <f>COUNTIFS(HH_FCSP!$G$18:$G$3617,$E862,HH_FCSP!$F$18:$F$3617,"catapult/crossbow")</f>
        <v>0</v>
      </c>
      <c r="H862" s="38">
        <f>COUNTIFS(HH_FCSP!$G$18:$G$3617,$E862,HH_FCSP!$F$18:$F$3617,"white")</f>
        <v>0</v>
      </c>
    </row>
    <row r="863">
      <c r="A863" s="38"/>
      <c r="B863" s="38">
        <v>0.0</v>
      </c>
      <c r="C863" s="38">
        <v>0.0</v>
      </c>
      <c r="D863" s="38">
        <v>0.0</v>
      </c>
      <c r="E863" s="38"/>
      <c r="F863" s="38">
        <f t="shared" si="1"/>
        <v>0</v>
      </c>
      <c r="G863" s="38">
        <f>COUNTIFS(HH_FCSP!$G$18:$G$3617,$E863,HH_FCSP!$F$18:$F$3617,"catapult/crossbow")</f>
        <v>0</v>
      </c>
      <c r="H863" s="38">
        <f>COUNTIFS(HH_FCSP!$G$18:$G$3617,$E863,HH_FCSP!$F$18:$F$3617,"white")</f>
        <v>0</v>
      </c>
    </row>
    <row r="864">
      <c r="A864" s="38"/>
      <c r="B864" s="38">
        <v>0.0</v>
      </c>
      <c r="C864" s="38">
        <v>0.0</v>
      </c>
      <c r="D864" s="38">
        <v>0.0</v>
      </c>
      <c r="E864" s="38"/>
      <c r="F864" s="38">
        <f t="shared" si="1"/>
        <v>0</v>
      </c>
      <c r="G864" s="38">
        <f>COUNTIFS(HH_FCSP!$G$18:$G$3617,$E864,HH_FCSP!$F$18:$F$3617,"catapult/crossbow")</f>
        <v>0</v>
      </c>
      <c r="H864" s="38">
        <f>COUNTIFS(HH_FCSP!$G$18:$G$3617,$E864,HH_FCSP!$F$18:$F$3617,"white")</f>
        <v>0</v>
      </c>
    </row>
    <row r="865">
      <c r="A865" s="38"/>
      <c r="B865" s="38">
        <v>0.0</v>
      </c>
      <c r="C865" s="38">
        <v>0.0</v>
      </c>
      <c r="D865" s="38">
        <v>0.0</v>
      </c>
      <c r="E865" s="38"/>
      <c r="F865" s="38">
        <f t="shared" si="1"/>
        <v>0</v>
      </c>
      <c r="G865" s="38">
        <f>COUNTIFS(HH_FCSP!$G$18:$G$3617,$E865,HH_FCSP!$F$18:$F$3617,"catapult/crossbow")</f>
        <v>0</v>
      </c>
      <c r="H865" s="38">
        <f>COUNTIFS(HH_FCSP!$G$18:$G$3617,$E865,HH_FCSP!$F$18:$F$3617,"white")</f>
        <v>0</v>
      </c>
    </row>
    <row r="866">
      <c r="A866" s="38"/>
      <c r="B866" s="38">
        <v>0.0</v>
      </c>
      <c r="C866" s="38">
        <v>0.0</v>
      </c>
      <c r="D866" s="38">
        <v>0.0</v>
      </c>
      <c r="E866" s="38"/>
      <c r="F866" s="38">
        <f t="shared" si="1"/>
        <v>0</v>
      </c>
      <c r="G866" s="38">
        <f>COUNTIFS(HH_FCSP!$G$18:$G$3617,$E866,HH_FCSP!$F$18:$F$3617,"catapult/crossbow")</f>
        <v>0</v>
      </c>
      <c r="H866" s="38">
        <f>COUNTIFS(HH_FCSP!$G$18:$G$3617,$E866,HH_FCSP!$F$18:$F$3617,"white")</f>
        <v>0</v>
      </c>
    </row>
    <row r="867">
      <c r="A867" s="38"/>
      <c r="B867" s="38">
        <v>0.0</v>
      </c>
      <c r="C867" s="38">
        <v>0.0</v>
      </c>
      <c r="D867" s="38">
        <v>0.0</v>
      </c>
      <c r="E867" s="38"/>
      <c r="F867" s="38">
        <f t="shared" si="1"/>
        <v>0</v>
      </c>
      <c r="G867" s="38">
        <f>COUNTIFS(HH_FCSP!$G$18:$G$3617,$E867,HH_FCSP!$F$18:$F$3617,"catapult/crossbow")</f>
        <v>0</v>
      </c>
      <c r="H867" s="38">
        <f>COUNTIFS(HH_FCSP!$G$18:$G$3617,$E867,HH_FCSP!$F$18:$F$3617,"white")</f>
        <v>0</v>
      </c>
    </row>
    <row r="868">
      <c r="A868" s="38"/>
      <c r="B868" s="38">
        <v>0.0</v>
      </c>
      <c r="C868" s="38">
        <v>0.0</v>
      </c>
      <c r="D868" s="38">
        <v>0.0</v>
      </c>
      <c r="E868" s="38"/>
      <c r="F868" s="38">
        <f t="shared" si="1"/>
        <v>0</v>
      </c>
      <c r="G868" s="38">
        <f>COUNTIFS(HH_FCSP!$G$18:$G$3617,$E868,HH_FCSP!$F$18:$F$3617,"catapult/crossbow")</f>
        <v>0</v>
      </c>
      <c r="H868" s="38">
        <f>COUNTIFS(HH_FCSP!$G$18:$G$3617,$E868,HH_FCSP!$F$18:$F$3617,"white")</f>
        <v>0</v>
      </c>
    </row>
    <row r="869">
      <c r="A869" s="38"/>
      <c r="B869" s="38">
        <v>0.0</v>
      </c>
      <c r="C869" s="38">
        <v>0.0</v>
      </c>
      <c r="D869" s="38">
        <v>0.0</v>
      </c>
      <c r="E869" s="38"/>
      <c r="F869" s="38">
        <f t="shared" si="1"/>
        <v>0</v>
      </c>
      <c r="G869" s="38">
        <f>COUNTIFS(HH_FCSP!$G$18:$G$3617,$E869,HH_FCSP!$F$18:$F$3617,"catapult/crossbow")</f>
        <v>0</v>
      </c>
      <c r="H869" s="38">
        <f>COUNTIFS(HH_FCSP!$G$18:$G$3617,$E869,HH_FCSP!$F$18:$F$3617,"white")</f>
        <v>0</v>
      </c>
    </row>
    <row r="870">
      <c r="A870" s="38"/>
      <c r="B870" s="38">
        <v>0.0</v>
      </c>
      <c r="C870" s="38">
        <v>0.0</v>
      </c>
      <c r="D870" s="38">
        <v>0.0</v>
      </c>
      <c r="E870" s="38"/>
      <c r="F870" s="38">
        <f t="shared" si="1"/>
        <v>0</v>
      </c>
      <c r="G870" s="38">
        <f>COUNTIFS(HH_FCSP!$G$18:$G$3617,$E870,HH_FCSP!$F$18:$F$3617,"catapult/crossbow")</f>
        <v>0</v>
      </c>
      <c r="H870" s="38">
        <f>COUNTIFS(HH_FCSP!$G$18:$G$3617,$E870,HH_FCSP!$F$18:$F$3617,"white")</f>
        <v>0</v>
      </c>
    </row>
    <row r="871">
      <c r="A871" s="38"/>
      <c r="B871" s="38">
        <v>0.0</v>
      </c>
      <c r="C871" s="38">
        <v>0.0</v>
      </c>
      <c r="D871" s="38">
        <v>0.0</v>
      </c>
      <c r="E871" s="38"/>
      <c r="F871" s="38">
        <f t="shared" si="1"/>
        <v>0</v>
      </c>
      <c r="G871" s="38">
        <f>COUNTIFS(HH_FCSP!$G$18:$G$3617,$E871,HH_FCSP!$F$18:$F$3617,"catapult/crossbow")</f>
        <v>0</v>
      </c>
      <c r="H871" s="38">
        <f>COUNTIFS(HH_FCSP!$G$18:$G$3617,$E871,HH_FCSP!$F$18:$F$3617,"white")</f>
        <v>0</v>
      </c>
    </row>
    <row r="872">
      <c r="A872" s="38"/>
      <c r="B872" s="38">
        <v>0.0</v>
      </c>
      <c r="C872" s="38">
        <v>0.0</v>
      </c>
      <c r="D872" s="38">
        <v>0.0</v>
      </c>
      <c r="E872" s="38"/>
      <c r="F872" s="38">
        <f t="shared" si="1"/>
        <v>0</v>
      </c>
      <c r="G872" s="38">
        <f>COUNTIFS(HH_FCSP!$G$18:$G$3617,$E872,HH_FCSP!$F$18:$F$3617,"catapult/crossbow")</f>
        <v>0</v>
      </c>
      <c r="H872" s="38">
        <f>COUNTIFS(HH_FCSP!$G$18:$G$3617,$E872,HH_FCSP!$F$18:$F$3617,"white")</f>
        <v>0</v>
      </c>
    </row>
    <row r="873">
      <c r="A873" s="38"/>
      <c r="B873" s="38">
        <v>0.0</v>
      </c>
      <c r="C873" s="38">
        <v>0.0</v>
      </c>
      <c r="D873" s="38">
        <v>0.0</v>
      </c>
      <c r="E873" s="38"/>
      <c r="F873" s="38">
        <f t="shared" si="1"/>
        <v>0</v>
      </c>
      <c r="G873" s="38">
        <f>COUNTIFS(HH_FCSP!$G$18:$G$3617,$E873,HH_FCSP!$F$18:$F$3617,"catapult/crossbow")</f>
        <v>0</v>
      </c>
      <c r="H873" s="38">
        <f>COUNTIFS(HH_FCSP!$G$18:$G$3617,$E873,HH_FCSP!$F$18:$F$3617,"white")</f>
        <v>0</v>
      </c>
    </row>
    <row r="874">
      <c r="A874" s="38"/>
      <c r="B874" s="38">
        <v>0.0</v>
      </c>
      <c r="C874" s="38">
        <v>0.0</v>
      </c>
      <c r="D874" s="38">
        <v>0.0</v>
      </c>
      <c r="E874" s="38"/>
      <c r="F874" s="38">
        <f t="shared" si="1"/>
        <v>0</v>
      </c>
      <c r="G874" s="38">
        <f>COUNTIFS(HH_FCSP!$G$18:$G$3617,$E874,HH_FCSP!$F$18:$F$3617,"catapult/crossbow")</f>
        <v>0</v>
      </c>
      <c r="H874" s="38">
        <f>COUNTIFS(HH_FCSP!$G$18:$G$3617,$E874,HH_FCSP!$F$18:$F$3617,"white")</f>
        <v>0</v>
      </c>
    </row>
    <row r="875">
      <c r="A875" s="38"/>
      <c r="B875" s="38">
        <v>0.0</v>
      </c>
      <c r="C875" s="38">
        <v>0.0</v>
      </c>
      <c r="D875" s="38">
        <v>0.0</v>
      </c>
      <c r="E875" s="38"/>
      <c r="F875" s="38">
        <f t="shared" si="1"/>
        <v>0</v>
      </c>
      <c r="G875" s="38">
        <f>COUNTIFS(HH_FCSP!$G$18:$G$3617,$E875,HH_FCSP!$F$18:$F$3617,"catapult/crossbow")</f>
        <v>0</v>
      </c>
      <c r="H875" s="38">
        <f>COUNTIFS(HH_FCSP!$G$18:$G$3617,$E875,HH_FCSP!$F$18:$F$3617,"white")</f>
        <v>0</v>
      </c>
    </row>
    <row r="876">
      <c r="A876" s="38"/>
      <c r="B876" s="38">
        <v>0.0</v>
      </c>
      <c r="C876" s="38">
        <v>0.0</v>
      </c>
      <c r="D876" s="38">
        <v>0.0</v>
      </c>
      <c r="E876" s="38"/>
      <c r="F876" s="38">
        <f t="shared" si="1"/>
        <v>0</v>
      </c>
      <c r="G876" s="38">
        <f>COUNTIFS(HH_FCSP!$G$18:$G$3617,$E876,HH_FCSP!$F$18:$F$3617,"catapult/crossbow")</f>
        <v>0</v>
      </c>
      <c r="H876" s="38">
        <f>COUNTIFS(HH_FCSP!$G$18:$G$3617,$E876,HH_FCSP!$F$18:$F$3617,"white")</f>
        <v>0</v>
      </c>
    </row>
    <row r="877">
      <c r="A877" s="38"/>
      <c r="B877" s="38">
        <v>0.0</v>
      </c>
      <c r="C877" s="38">
        <v>0.0</v>
      </c>
      <c r="D877" s="38">
        <v>0.0</v>
      </c>
      <c r="E877" s="38"/>
      <c r="F877" s="38">
        <f t="shared" si="1"/>
        <v>0</v>
      </c>
      <c r="G877" s="38">
        <f>COUNTIFS(HH_FCSP!$G$18:$G$3617,$E877,HH_FCSP!$F$18:$F$3617,"catapult/crossbow")</f>
        <v>0</v>
      </c>
      <c r="H877" s="38">
        <f>COUNTIFS(HH_FCSP!$G$18:$G$3617,$E877,HH_FCSP!$F$18:$F$3617,"white")</f>
        <v>0</v>
      </c>
    </row>
    <row r="878">
      <c r="A878" s="38"/>
      <c r="B878" s="38">
        <v>0.0</v>
      </c>
      <c r="C878" s="38">
        <v>0.0</v>
      </c>
      <c r="D878" s="38">
        <v>0.0</v>
      </c>
      <c r="E878" s="38"/>
      <c r="F878" s="38">
        <f t="shared" si="1"/>
        <v>0</v>
      </c>
      <c r="G878" s="38">
        <f>COUNTIFS(HH_FCSP!$G$18:$G$3617,$E878,HH_FCSP!$F$18:$F$3617,"catapult/crossbow")</f>
        <v>0</v>
      </c>
      <c r="H878" s="38">
        <f>COUNTIFS(HH_FCSP!$G$18:$G$3617,$E878,HH_FCSP!$F$18:$F$3617,"white")</f>
        <v>0</v>
      </c>
    </row>
    <row r="879">
      <c r="A879" s="38"/>
      <c r="B879" s="38">
        <v>0.0</v>
      </c>
      <c r="C879" s="38">
        <v>0.0</v>
      </c>
      <c r="D879" s="38">
        <v>0.0</v>
      </c>
      <c r="E879" s="38"/>
      <c r="F879" s="38">
        <f t="shared" si="1"/>
        <v>0</v>
      </c>
      <c r="G879" s="38">
        <f>COUNTIFS(HH_FCSP!$G$18:$G$3617,$E879,HH_FCSP!$F$18:$F$3617,"catapult/crossbow")</f>
        <v>0</v>
      </c>
      <c r="H879" s="38">
        <f>COUNTIFS(HH_FCSP!$G$18:$G$3617,$E879,HH_FCSP!$F$18:$F$3617,"white")</f>
        <v>0</v>
      </c>
    </row>
    <row r="880">
      <c r="A880" s="38"/>
      <c r="B880" s="38">
        <v>0.0</v>
      </c>
      <c r="C880" s="38">
        <v>0.0</v>
      </c>
      <c r="D880" s="38">
        <v>0.0</v>
      </c>
      <c r="E880" s="38"/>
      <c r="F880" s="38">
        <f t="shared" si="1"/>
        <v>0</v>
      </c>
      <c r="G880" s="38">
        <f>COUNTIFS(HH_FCSP!$G$18:$G$3617,$E880,HH_FCSP!$F$18:$F$3617,"catapult/crossbow")</f>
        <v>0</v>
      </c>
      <c r="H880" s="38">
        <f>COUNTIFS(HH_FCSP!$G$18:$G$3617,$E880,HH_FCSP!$F$18:$F$3617,"white")</f>
        <v>0</v>
      </c>
    </row>
    <row r="881">
      <c r="A881" s="38"/>
      <c r="B881" s="38">
        <v>0.0</v>
      </c>
      <c r="C881" s="38">
        <v>0.0</v>
      </c>
      <c r="D881" s="38">
        <v>0.0</v>
      </c>
      <c r="E881" s="38"/>
      <c r="F881" s="38">
        <f t="shared" si="1"/>
        <v>0</v>
      </c>
      <c r="G881" s="38">
        <f>COUNTIFS(HH_FCSP!$G$18:$G$3617,$E881,HH_FCSP!$F$18:$F$3617,"catapult/crossbow")</f>
        <v>0</v>
      </c>
      <c r="H881" s="38">
        <f>COUNTIFS(HH_FCSP!$G$18:$G$3617,$E881,HH_FCSP!$F$18:$F$3617,"white")</f>
        <v>0</v>
      </c>
    </row>
    <row r="882">
      <c r="A882" s="38"/>
      <c r="B882" s="38">
        <v>0.0</v>
      </c>
      <c r="C882" s="38">
        <v>0.0</v>
      </c>
      <c r="D882" s="38">
        <v>0.0</v>
      </c>
      <c r="E882" s="38"/>
      <c r="F882" s="38">
        <f t="shared" si="1"/>
        <v>0</v>
      </c>
      <c r="G882" s="38">
        <f>COUNTIFS(HH_FCSP!$G$18:$G$3617,$E882,HH_FCSP!$F$18:$F$3617,"catapult/crossbow")</f>
        <v>0</v>
      </c>
      <c r="H882" s="38">
        <f>COUNTIFS(HH_FCSP!$G$18:$G$3617,$E882,HH_FCSP!$F$18:$F$3617,"white")</f>
        <v>0</v>
      </c>
    </row>
    <row r="883">
      <c r="A883" s="38"/>
      <c r="B883" s="38">
        <v>0.0</v>
      </c>
      <c r="C883" s="38">
        <v>0.0</v>
      </c>
      <c r="D883" s="38">
        <v>0.0</v>
      </c>
      <c r="E883" s="38"/>
      <c r="F883" s="38">
        <f t="shared" si="1"/>
        <v>0</v>
      </c>
      <c r="G883" s="38">
        <f>COUNTIFS(HH_FCSP!$G$18:$G$3617,$E883,HH_FCSP!$F$18:$F$3617,"catapult/crossbow")</f>
        <v>0</v>
      </c>
      <c r="H883" s="38">
        <f>COUNTIFS(HH_FCSP!$G$18:$G$3617,$E883,HH_FCSP!$F$18:$F$3617,"white")</f>
        <v>0</v>
      </c>
    </row>
    <row r="884">
      <c r="A884" s="38"/>
      <c r="B884" s="38">
        <v>0.0</v>
      </c>
      <c r="C884" s="38">
        <v>0.0</v>
      </c>
      <c r="D884" s="38">
        <v>0.0</v>
      </c>
      <c r="E884" s="38"/>
      <c r="F884" s="38">
        <f t="shared" si="1"/>
        <v>0</v>
      </c>
      <c r="G884" s="38">
        <f>COUNTIFS(HH_FCSP!$G$18:$G$3617,$E884,HH_FCSP!$F$18:$F$3617,"catapult/crossbow")</f>
        <v>0</v>
      </c>
      <c r="H884" s="38">
        <f>COUNTIFS(HH_FCSP!$G$18:$G$3617,$E884,HH_FCSP!$F$18:$F$3617,"white")</f>
        <v>0</v>
      </c>
    </row>
    <row r="885">
      <c r="A885" s="38"/>
      <c r="B885" s="38">
        <v>0.0</v>
      </c>
      <c r="C885" s="38">
        <v>0.0</v>
      </c>
      <c r="D885" s="38">
        <v>0.0</v>
      </c>
      <c r="E885" s="38"/>
      <c r="F885" s="38">
        <f t="shared" si="1"/>
        <v>0</v>
      </c>
      <c r="G885" s="38">
        <f>COUNTIFS(HH_FCSP!$G$18:$G$3617,$E885,HH_FCSP!$F$18:$F$3617,"catapult/crossbow")</f>
        <v>0</v>
      </c>
      <c r="H885" s="38">
        <f>COUNTIFS(HH_FCSP!$G$18:$G$3617,$E885,HH_FCSP!$F$18:$F$3617,"white")</f>
        <v>0</v>
      </c>
    </row>
    <row r="886">
      <c r="A886" s="38"/>
      <c r="B886" s="38">
        <v>0.0</v>
      </c>
      <c r="C886" s="38">
        <v>0.0</v>
      </c>
      <c r="D886" s="38">
        <v>0.0</v>
      </c>
      <c r="E886" s="38"/>
      <c r="F886" s="38">
        <f t="shared" si="1"/>
        <v>0</v>
      </c>
      <c r="G886" s="38">
        <f>COUNTIFS(HH_FCSP!$G$18:$G$3617,$E886,HH_FCSP!$F$18:$F$3617,"catapult/crossbow")</f>
        <v>0</v>
      </c>
      <c r="H886" s="38">
        <f>COUNTIFS(HH_FCSP!$G$18:$G$3617,$E886,HH_FCSP!$F$18:$F$3617,"white")</f>
        <v>0</v>
      </c>
    </row>
    <row r="887">
      <c r="A887" s="38"/>
      <c r="B887" s="38">
        <v>0.0</v>
      </c>
      <c r="C887" s="38">
        <v>0.0</v>
      </c>
      <c r="D887" s="38">
        <v>0.0</v>
      </c>
      <c r="E887" s="38"/>
      <c r="F887" s="38">
        <f t="shared" si="1"/>
        <v>0</v>
      </c>
      <c r="G887" s="38">
        <f>COUNTIFS(HH_FCSP!$G$18:$G$3617,$E887,HH_FCSP!$F$18:$F$3617,"catapult/crossbow")</f>
        <v>0</v>
      </c>
      <c r="H887" s="38">
        <f>COUNTIFS(HH_FCSP!$G$18:$G$3617,$E887,HH_FCSP!$F$18:$F$3617,"white")</f>
        <v>0</v>
      </c>
    </row>
    <row r="888">
      <c r="A888" s="38"/>
      <c r="B888" s="38">
        <v>0.0</v>
      </c>
      <c r="C888" s="38">
        <v>0.0</v>
      </c>
      <c r="D888" s="38">
        <v>0.0</v>
      </c>
      <c r="E888" s="38"/>
      <c r="F888" s="38">
        <f t="shared" si="1"/>
        <v>0</v>
      </c>
      <c r="G888" s="38">
        <f>COUNTIFS(HH_FCSP!$G$18:$G$3617,$E888,HH_FCSP!$F$18:$F$3617,"catapult/crossbow")</f>
        <v>0</v>
      </c>
      <c r="H888" s="38">
        <f>COUNTIFS(HH_FCSP!$G$18:$G$3617,$E888,HH_FCSP!$F$18:$F$3617,"white")</f>
        <v>0</v>
      </c>
    </row>
    <row r="889">
      <c r="A889" s="38"/>
      <c r="B889" s="38">
        <v>0.0</v>
      </c>
      <c r="C889" s="38">
        <v>0.0</v>
      </c>
      <c r="D889" s="38">
        <v>0.0</v>
      </c>
      <c r="E889" s="38"/>
      <c r="F889" s="38">
        <f t="shared" si="1"/>
        <v>0</v>
      </c>
      <c r="G889" s="38">
        <f>COUNTIFS(HH_FCSP!$G$18:$G$3617,$E889,HH_FCSP!$F$18:$F$3617,"catapult/crossbow")</f>
        <v>0</v>
      </c>
      <c r="H889" s="38">
        <f>COUNTIFS(HH_FCSP!$G$18:$G$3617,$E889,HH_FCSP!$F$18:$F$3617,"white")</f>
        <v>0</v>
      </c>
    </row>
    <row r="890">
      <c r="A890" s="38"/>
      <c r="B890" s="38">
        <v>0.0</v>
      </c>
      <c r="C890" s="38">
        <v>0.0</v>
      </c>
      <c r="D890" s="38">
        <v>0.0</v>
      </c>
      <c r="E890" s="38"/>
      <c r="F890" s="38">
        <f t="shared" si="1"/>
        <v>0</v>
      </c>
      <c r="G890" s="38">
        <f>COUNTIFS(HH_FCSP!$G$18:$G$3617,$E890,HH_FCSP!$F$18:$F$3617,"catapult/crossbow")</f>
        <v>0</v>
      </c>
      <c r="H890" s="38">
        <f>COUNTIFS(HH_FCSP!$G$18:$G$3617,$E890,HH_FCSP!$F$18:$F$3617,"white")</f>
        <v>0</v>
      </c>
    </row>
    <row r="891">
      <c r="A891" s="38"/>
      <c r="B891" s="38">
        <v>0.0</v>
      </c>
      <c r="C891" s="38">
        <v>0.0</v>
      </c>
      <c r="D891" s="38">
        <v>0.0</v>
      </c>
      <c r="E891" s="38"/>
      <c r="F891" s="38">
        <f t="shared" si="1"/>
        <v>0</v>
      </c>
      <c r="G891" s="38">
        <f>COUNTIFS(HH_FCSP!$G$18:$G$3617,$E891,HH_FCSP!$F$18:$F$3617,"catapult/crossbow")</f>
        <v>0</v>
      </c>
      <c r="H891" s="38">
        <f>COUNTIFS(HH_FCSP!$G$18:$G$3617,$E891,HH_FCSP!$F$18:$F$3617,"white")</f>
        <v>0</v>
      </c>
    </row>
    <row r="892">
      <c r="A892" s="38"/>
      <c r="B892" s="38">
        <v>0.0</v>
      </c>
      <c r="C892" s="38">
        <v>0.0</v>
      </c>
      <c r="D892" s="38">
        <v>0.0</v>
      </c>
      <c r="E892" s="38"/>
      <c r="F892" s="38">
        <f t="shared" si="1"/>
        <v>0</v>
      </c>
      <c r="G892" s="38">
        <f>COUNTIFS(HH_FCSP!$G$18:$G$3617,$E892,HH_FCSP!$F$18:$F$3617,"catapult/crossbow")</f>
        <v>0</v>
      </c>
      <c r="H892" s="38">
        <f>COUNTIFS(HH_FCSP!$G$18:$G$3617,$E892,HH_FCSP!$F$18:$F$3617,"white")</f>
        <v>0</v>
      </c>
    </row>
    <row r="893">
      <c r="A893" s="38"/>
      <c r="B893" s="38">
        <v>0.0</v>
      </c>
      <c r="C893" s="38">
        <v>0.0</v>
      </c>
      <c r="D893" s="38">
        <v>0.0</v>
      </c>
      <c r="E893" s="38"/>
      <c r="F893" s="38">
        <f t="shared" si="1"/>
        <v>0</v>
      </c>
      <c r="G893" s="38">
        <f>COUNTIFS(HH_FCSP!$G$18:$G$3617,$E893,HH_FCSP!$F$18:$F$3617,"catapult/crossbow")</f>
        <v>0</v>
      </c>
      <c r="H893" s="38">
        <f>COUNTIFS(HH_FCSP!$G$18:$G$3617,$E893,HH_FCSP!$F$18:$F$3617,"white")</f>
        <v>0</v>
      </c>
    </row>
    <row r="894">
      <c r="A894" s="38"/>
      <c r="B894" s="38">
        <v>0.0</v>
      </c>
      <c r="C894" s="38">
        <v>0.0</v>
      </c>
      <c r="D894" s="38">
        <v>0.0</v>
      </c>
      <c r="E894" s="38"/>
      <c r="F894" s="38">
        <f t="shared" si="1"/>
        <v>0</v>
      </c>
      <c r="G894" s="38">
        <f>COUNTIFS(HH_FCSP!$G$18:$G$3617,$E894,HH_FCSP!$F$18:$F$3617,"catapult/crossbow")</f>
        <v>0</v>
      </c>
      <c r="H894" s="38">
        <f>COUNTIFS(HH_FCSP!$G$18:$G$3617,$E894,HH_FCSP!$F$18:$F$3617,"white")</f>
        <v>0</v>
      </c>
    </row>
    <row r="895">
      <c r="A895" s="38"/>
      <c r="B895" s="38">
        <v>0.0</v>
      </c>
      <c r="C895" s="38">
        <v>0.0</v>
      </c>
      <c r="D895" s="38">
        <v>0.0</v>
      </c>
      <c r="E895" s="38"/>
      <c r="F895" s="38">
        <f t="shared" si="1"/>
        <v>0</v>
      </c>
      <c r="G895" s="38">
        <f>COUNTIFS(HH_FCSP!$G$18:$G$3617,$E895,HH_FCSP!$F$18:$F$3617,"catapult/crossbow")</f>
        <v>0</v>
      </c>
      <c r="H895" s="38">
        <f>COUNTIFS(HH_FCSP!$G$18:$G$3617,$E895,HH_FCSP!$F$18:$F$3617,"white")</f>
        <v>0</v>
      </c>
    </row>
    <row r="896">
      <c r="A896" s="38"/>
      <c r="B896" s="38">
        <v>0.0</v>
      </c>
      <c r="C896" s="38">
        <v>0.0</v>
      </c>
      <c r="D896" s="38">
        <v>0.0</v>
      </c>
      <c r="E896" s="38"/>
      <c r="F896" s="38">
        <f t="shared" si="1"/>
        <v>0</v>
      </c>
      <c r="G896" s="38">
        <f>COUNTIFS(HH_FCSP!$G$18:$G$3617,$E896,HH_FCSP!$F$18:$F$3617,"catapult/crossbow")</f>
        <v>0</v>
      </c>
      <c r="H896" s="38">
        <f>COUNTIFS(HH_FCSP!$G$18:$G$3617,$E896,HH_FCSP!$F$18:$F$3617,"white")</f>
        <v>0</v>
      </c>
    </row>
    <row r="897">
      <c r="A897" s="38"/>
      <c r="B897" s="38">
        <v>0.0</v>
      </c>
      <c r="C897" s="38">
        <v>0.0</v>
      </c>
      <c r="D897" s="38">
        <v>0.0</v>
      </c>
      <c r="E897" s="38"/>
      <c r="F897" s="38">
        <f t="shared" si="1"/>
        <v>0</v>
      </c>
      <c r="G897" s="38">
        <f>COUNTIFS(HH_FCSP!$G$18:$G$3617,$E897,HH_FCSP!$F$18:$F$3617,"catapult/crossbow")</f>
        <v>0</v>
      </c>
      <c r="H897" s="38">
        <f>COUNTIFS(HH_FCSP!$G$18:$G$3617,$E897,HH_FCSP!$F$18:$F$3617,"white")</f>
        <v>0</v>
      </c>
    </row>
    <row r="898">
      <c r="A898" s="38"/>
      <c r="B898" s="38">
        <v>0.0</v>
      </c>
      <c r="C898" s="38">
        <v>0.0</v>
      </c>
      <c r="D898" s="38">
        <v>0.0</v>
      </c>
      <c r="E898" s="38"/>
      <c r="F898" s="38">
        <f t="shared" si="1"/>
        <v>0</v>
      </c>
      <c r="G898" s="38">
        <f>COUNTIFS(HH_FCSP!$G$18:$G$3617,$E898,HH_FCSP!$F$18:$F$3617,"catapult/crossbow")</f>
        <v>0</v>
      </c>
      <c r="H898" s="38">
        <f>COUNTIFS(HH_FCSP!$G$18:$G$3617,$E898,HH_FCSP!$F$18:$F$3617,"white")</f>
        <v>0</v>
      </c>
    </row>
    <row r="899">
      <c r="A899" s="38"/>
      <c r="B899" s="38">
        <v>0.0</v>
      </c>
      <c r="C899" s="38">
        <v>0.0</v>
      </c>
      <c r="D899" s="38">
        <v>0.0</v>
      </c>
      <c r="E899" s="38"/>
      <c r="F899" s="38">
        <f t="shared" si="1"/>
        <v>0</v>
      </c>
      <c r="G899" s="38">
        <f>COUNTIFS(HH_FCSP!$G$18:$G$3617,$E899,HH_FCSP!$F$18:$F$3617,"catapult/crossbow")</f>
        <v>0</v>
      </c>
      <c r="H899" s="38">
        <f>COUNTIFS(HH_FCSP!$G$18:$G$3617,$E899,HH_FCSP!$F$18:$F$3617,"white")</f>
        <v>0</v>
      </c>
    </row>
    <row r="900">
      <c r="A900" s="38"/>
      <c r="B900" s="38">
        <v>0.0</v>
      </c>
      <c r="C900" s="38">
        <v>0.0</v>
      </c>
      <c r="D900" s="38">
        <v>0.0</v>
      </c>
      <c r="E900" s="38"/>
      <c r="F900" s="38">
        <f t="shared" si="1"/>
        <v>0</v>
      </c>
      <c r="G900" s="38">
        <f>COUNTIFS(HH_FCSP!$G$18:$G$3617,$E900,HH_FCSP!$F$18:$F$3617,"catapult/crossbow")</f>
        <v>0</v>
      </c>
      <c r="H900" s="38">
        <f>COUNTIFS(HH_FCSP!$G$18:$G$3617,$E900,HH_FCSP!$F$18:$F$3617,"white")</f>
        <v>0</v>
      </c>
    </row>
    <row r="901">
      <c r="A901" s="38"/>
      <c r="B901" s="38">
        <v>0.0</v>
      </c>
      <c r="C901" s="38">
        <v>0.0</v>
      </c>
      <c r="D901" s="38">
        <v>0.0</v>
      </c>
      <c r="E901" s="38"/>
      <c r="F901" s="38">
        <f t="shared" si="1"/>
        <v>0</v>
      </c>
      <c r="G901" s="38">
        <f>COUNTIFS(HH_FCSP!$G$18:$G$3617,$E901,HH_FCSP!$F$18:$F$3617,"catapult/crossbow")</f>
        <v>0</v>
      </c>
      <c r="H901" s="38">
        <f>COUNTIFS(HH_FCSP!$G$18:$G$3617,$E901,HH_FCSP!$F$18:$F$3617,"white")</f>
        <v>0</v>
      </c>
    </row>
    <row r="902">
      <c r="A902" s="38"/>
      <c r="B902" s="38">
        <v>0.0</v>
      </c>
      <c r="C902" s="38">
        <v>0.0</v>
      </c>
      <c r="D902" s="38">
        <v>0.0</v>
      </c>
      <c r="E902" s="38"/>
      <c r="F902" s="38">
        <f t="shared" si="1"/>
        <v>0</v>
      </c>
      <c r="G902" s="38">
        <f>COUNTIFS(HH_FCSP!$G$18:$G$3617,$E902,HH_FCSP!$F$18:$F$3617,"catapult/crossbow")</f>
        <v>0</v>
      </c>
      <c r="H902" s="38">
        <f>COUNTIFS(HH_FCSP!$G$18:$G$3617,$E902,HH_FCSP!$F$18:$F$3617,"white")</f>
        <v>0</v>
      </c>
    </row>
    <row r="903">
      <c r="A903" s="38"/>
      <c r="B903" s="38">
        <v>0.0</v>
      </c>
      <c r="C903" s="38">
        <v>0.0</v>
      </c>
      <c r="D903" s="38">
        <v>0.0</v>
      </c>
      <c r="E903" s="38"/>
      <c r="F903" s="38">
        <f t="shared" si="1"/>
        <v>0</v>
      </c>
      <c r="G903" s="38">
        <f>COUNTIFS(HH_FCSP!$G$18:$G$3617,$E903,HH_FCSP!$F$18:$F$3617,"catapult/crossbow")</f>
        <v>0</v>
      </c>
      <c r="H903" s="38">
        <f>COUNTIFS(HH_FCSP!$G$18:$G$3617,$E903,HH_FCSP!$F$18:$F$3617,"white")</f>
        <v>0</v>
      </c>
    </row>
    <row r="904">
      <c r="A904" s="38"/>
      <c r="B904" s="38">
        <v>0.0</v>
      </c>
      <c r="C904" s="38">
        <v>0.0</v>
      </c>
      <c r="D904" s="38">
        <v>0.0</v>
      </c>
      <c r="E904" s="38"/>
      <c r="F904" s="38">
        <f t="shared" si="1"/>
        <v>0</v>
      </c>
      <c r="G904" s="38">
        <f>COUNTIFS(HH_FCSP!$G$18:$G$3617,$E904,HH_FCSP!$F$18:$F$3617,"catapult/crossbow")</f>
        <v>0</v>
      </c>
      <c r="H904" s="38">
        <f>COUNTIFS(HH_FCSP!$G$18:$G$3617,$E904,HH_FCSP!$F$18:$F$3617,"white")</f>
        <v>0</v>
      </c>
    </row>
    <row r="905">
      <c r="A905" s="38"/>
      <c r="B905" s="38">
        <v>0.0</v>
      </c>
      <c r="C905" s="38">
        <v>0.0</v>
      </c>
      <c r="D905" s="38">
        <v>0.0</v>
      </c>
      <c r="E905" s="38"/>
      <c r="F905" s="38">
        <f t="shared" si="1"/>
        <v>0</v>
      </c>
      <c r="G905" s="38">
        <f>COUNTIFS(HH_FCSP!$G$18:$G$3617,$E905,HH_FCSP!$F$18:$F$3617,"catapult/crossbow")</f>
        <v>0</v>
      </c>
      <c r="H905" s="38">
        <f>COUNTIFS(HH_FCSP!$G$18:$G$3617,$E905,HH_FCSP!$F$18:$F$3617,"white")</f>
        <v>0</v>
      </c>
    </row>
    <row r="906">
      <c r="A906" s="38"/>
      <c r="B906" s="38">
        <v>0.0</v>
      </c>
      <c r="C906" s="38">
        <v>0.0</v>
      </c>
      <c r="D906" s="38">
        <v>0.0</v>
      </c>
      <c r="E906" s="38"/>
      <c r="F906" s="38">
        <f t="shared" si="1"/>
        <v>0</v>
      </c>
      <c r="G906" s="38">
        <f>COUNTIFS(HH_FCSP!$G$18:$G$3617,$E906,HH_FCSP!$F$18:$F$3617,"catapult/crossbow")</f>
        <v>0</v>
      </c>
      <c r="H906" s="38">
        <f>COUNTIFS(HH_FCSP!$G$18:$G$3617,$E906,HH_FCSP!$F$18:$F$3617,"white")</f>
        <v>0</v>
      </c>
    </row>
    <row r="907">
      <c r="A907" s="38"/>
      <c r="B907" s="38">
        <v>0.0</v>
      </c>
      <c r="C907" s="38">
        <v>0.0</v>
      </c>
      <c r="D907" s="38">
        <v>0.0</v>
      </c>
      <c r="E907" s="38"/>
      <c r="F907" s="38">
        <f t="shared" si="1"/>
        <v>0</v>
      </c>
      <c r="G907" s="38">
        <f>COUNTIFS(HH_FCSP!$G$18:$G$3617,$E907,HH_FCSP!$F$18:$F$3617,"catapult/crossbow")</f>
        <v>0</v>
      </c>
      <c r="H907" s="38">
        <f>COUNTIFS(HH_FCSP!$G$18:$G$3617,$E907,HH_FCSP!$F$18:$F$3617,"white")</f>
        <v>0</v>
      </c>
    </row>
    <row r="908">
      <c r="A908" s="38"/>
      <c r="B908" s="38">
        <v>0.0</v>
      </c>
      <c r="C908" s="38">
        <v>0.0</v>
      </c>
      <c r="D908" s="38">
        <v>0.0</v>
      </c>
      <c r="E908" s="38"/>
      <c r="F908" s="38">
        <f t="shared" si="1"/>
        <v>0</v>
      </c>
      <c r="G908" s="38">
        <f>COUNTIFS(HH_FCSP!$G$18:$G$3617,$E908,HH_FCSP!$F$18:$F$3617,"catapult/crossbow")</f>
        <v>0</v>
      </c>
      <c r="H908" s="38">
        <f>COUNTIFS(HH_FCSP!$G$18:$G$3617,$E908,HH_FCSP!$F$18:$F$3617,"white")</f>
        <v>0</v>
      </c>
    </row>
    <row r="909">
      <c r="A909" s="38"/>
      <c r="B909" s="38">
        <v>0.0</v>
      </c>
      <c r="C909" s="38">
        <v>0.0</v>
      </c>
      <c r="D909" s="38">
        <v>0.0</v>
      </c>
      <c r="E909" s="38"/>
      <c r="F909" s="38">
        <f t="shared" si="1"/>
        <v>0</v>
      </c>
      <c r="G909" s="38">
        <f>COUNTIFS(HH_FCSP!$G$18:$G$3617,$E909,HH_FCSP!$F$18:$F$3617,"catapult/crossbow")</f>
        <v>0</v>
      </c>
      <c r="H909" s="38">
        <f>COUNTIFS(HH_FCSP!$G$18:$G$3617,$E909,HH_FCSP!$F$18:$F$3617,"white")</f>
        <v>0</v>
      </c>
    </row>
    <row r="910">
      <c r="A910" s="38"/>
      <c r="B910" s="38">
        <v>0.0</v>
      </c>
      <c r="C910" s="38">
        <v>0.0</v>
      </c>
      <c r="D910" s="38">
        <v>0.0</v>
      </c>
      <c r="E910" s="38"/>
      <c r="F910" s="38">
        <f t="shared" si="1"/>
        <v>0</v>
      </c>
      <c r="G910" s="38">
        <f>COUNTIFS(HH_FCSP!$G$18:$G$3617,$E910,HH_FCSP!$F$18:$F$3617,"catapult/crossbow")</f>
        <v>0</v>
      </c>
      <c r="H910" s="38">
        <f>COUNTIFS(HH_FCSP!$G$18:$G$3617,$E910,HH_FCSP!$F$18:$F$3617,"white")</f>
        <v>0</v>
      </c>
    </row>
    <row r="911">
      <c r="A911" s="38"/>
      <c r="B911" s="38">
        <v>0.0</v>
      </c>
      <c r="C911" s="38">
        <v>0.0</v>
      </c>
      <c r="D911" s="38">
        <v>0.0</v>
      </c>
      <c r="E911" s="38"/>
      <c r="F911" s="38">
        <f t="shared" si="1"/>
        <v>0</v>
      </c>
      <c r="G911" s="38">
        <f>COUNTIFS(HH_FCSP!$G$18:$G$3617,$E911,HH_FCSP!$F$18:$F$3617,"catapult/crossbow")</f>
        <v>0</v>
      </c>
      <c r="H911" s="38">
        <f>COUNTIFS(HH_FCSP!$G$18:$G$3617,$E911,HH_FCSP!$F$18:$F$3617,"white")</f>
        <v>0</v>
      </c>
    </row>
    <row r="912">
      <c r="A912" s="38"/>
      <c r="B912" s="38">
        <v>0.0</v>
      </c>
      <c r="C912" s="38">
        <v>0.0</v>
      </c>
      <c r="D912" s="38">
        <v>0.0</v>
      </c>
      <c r="E912" s="38"/>
      <c r="F912" s="38">
        <f t="shared" si="1"/>
        <v>0</v>
      </c>
      <c r="G912" s="38">
        <f>COUNTIFS(HH_FCSP!$G$18:$G$3617,$E912,HH_FCSP!$F$18:$F$3617,"catapult/crossbow")</f>
        <v>0</v>
      </c>
      <c r="H912" s="38">
        <f>COUNTIFS(HH_FCSP!$G$18:$G$3617,$E912,HH_FCSP!$F$18:$F$3617,"white")</f>
        <v>0</v>
      </c>
    </row>
    <row r="913">
      <c r="A913" s="38"/>
      <c r="B913" s="38">
        <v>0.0</v>
      </c>
      <c r="C913" s="38">
        <v>0.0</v>
      </c>
      <c r="D913" s="38">
        <v>0.0</v>
      </c>
      <c r="E913" s="38"/>
      <c r="F913" s="38">
        <f t="shared" si="1"/>
        <v>0</v>
      </c>
      <c r="G913" s="38">
        <f>COUNTIFS(HH_FCSP!$G$18:$G$3617,$E913,HH_FCSP!$F$18:$F$3617,"catapult/crossbow")</f>
        <v>0</v>
      </c>
      <c r="H913" s="38">
        <f>COUNTIFS(HH_FCSP!$G$18:$G$3617,$E913,HH_FCSP!$F$18:$F$3617,"white")</f>
        <v>0</v>
      </c>
    </row>
    <row r="914">
      <c r="A914" s="38"/>
      <c r="B914" s="38">
        <v>0.0</v>
      </c>
      <c r="C914" s="38">
        <v>0.0</v>
      </c>
      <c r="D914" s="38">
        <v>0.0</v>
      </c>
      <c r="E914" s="38"/>
      <c r="F914" s="38">
        <f t="shared" si="1"/>
        <v>0</v>
      </c>
      <c r="G914" s="38">
        <f>COUNTIFS(HH_FCSP!$G$18:$G$3617,$E914,HH_FCSP!$F$18:$F$3617,"catapult/crossbow")</f>
        <v>0</v>
      </c>
      <c r="H914" s="38">
        <f>COUNTIFS(HH_FCSP!$G$18:$G$3617,$E914,HH_FCSP!$F$18:$F$3617,"white")</f>
        <v>0</v>
      </c>
    </row>
    <row r="915">
      <c r="A915" s="38"/>
      <c r="B915" s="38">
        <v>0.0</v>
      </c>
      <c r="C915" s="38">
        <v>0.0</v>
      </c>
      <c r="D915" s="38">
        <v>0.0</v>
      </c>
      <c r="E915" s="38"/>
      <c r="F915" s="38">
        <f t="shared" si="1"/>
        <v>0</v>
      </c>
      <c r="G915" s="38">
        <f>COUNTIFS(HH_FCSP!$G$18:$G$3617,$E915,HH_FCSP!$F$18:$F$3617,"catapult/crossbow")</f>
        <v>0</v>
      </c>
      <c r="H915" s="38">
        <f>COUNTIFS(HH_FCSP!$G$18:$G$3617,$E915,HH_FCSP!$F$18:$F$3617,"white")</f>
        <v>0</v>
      </c>
    </row>
    <row r="916">
      <c r="A916" s="38"/>
      <c r="B916" s="38">
        <v>0.0</v>
      </c>
      <c r="C916" s="38">
        <v>0.0</v>
      </c>
      <c r="D916" s="38">
        <v>0.0</v>
      </c>
      <c r="E916" s="38"/>
      <c r="F916" s="38">
        <f t="shared" si="1"/>
        <v>0</v>
      </c>
      <c r="G916" s="38">
        <f>COUNTIFS(HH_FCSP!$G$18:$G$3617,$E916,HH_FCSP!$F$18:$F$3617,"catapult/crossbow")</f>
        <v>0</v>
      </c>
      <c r="H916" s="38">
        <f>COUNTIFS(HH_FCSP!$G$18:$G$3617,$E916,HH_FCSP!$F$18:$F$3617,"white")</f>
        <v>0</v>
      </c>
    </row>
    <row r="917">
      <c r="A917" s="38"/>
      <c r="B917" s="38">
        <v>0.0</v>
      </c>
      <c r="C917" s="38">
        <v>0.0</v>
      </c>
      <c r="D917" s="38">
        <v>0.0</v>
      </c>
      <c r="E917" s="38"/>
      <c r="F917" s="38">
        <f t="shared" si="1"/>
        <v>0</v>
      </c>
      <c r="G917" s="38">
        <f>COUNTIFS(HH_FCSP!$G$18:$G$3617,$E917,HH_FCSP!$F$18:$F$3617,"catapult/crossbow")</f>
        <v>0</v>
      </c>
      <c r="H917" s="38">
        <f>COUNTIFS(HH_FCSP!$G$18:$G$3617,$E917,HH_FCSP!$F$18:$F$3617,"white")</f>
        <v>0</v>
      </c>
    </row>
    <row r="918">
      <c r="A918" s="38"/>
      <c r="B918" s="38">
        <v>0.0</v>
      </c>
      <c r="C918" s="38">
        <v>0.0</v>
      </c>
      <c r="D918" s="38">
        <v>0.0</v>
      </c>
      <c r="E918" s="38"/>
      <c r="F918" s="38">
        <f t="shared" si="1"/>
        <v>0</v>
      </c>
      <c r="G918" s="38">
        <f>COUNTIFS(HH_FCSP!$G$18:$G$3617,$E918,HH_FCSP!$F$18:$F$3617,"catapult/crossbow")</f>
        <v>0</v>
      </c>
      <c r="H918" s="38">
        <f>COUNTIFS(HH_FCSP!$G$18:$G$3617,$E918,HH_FCSP!$F$18:$F$3617,"white")</f>
        <v>0</v>
      </c>
    </row>
    <row r="919">
      <c r="A919" s="38"/>
      <c r="B919" s="38">
        <v>0.0</v>
      </c>
      <c r="C919" s="38">
        <v>0.0</v>
      </c>
      <c r="D919" s="38">
        <v>0.0</v>
      </c>
      <c r="E919" s="38"/>
      <c r="F919" s="38">
        <f t="shared" si="1"/>
        <v>0</v>
      </c>
      <c r="G919" s="38">
        <f>COUNTIFS(HH_FCSP!$G$18:$G$3617,$E919,HH_FCSP!$F$18:$F$3617,"catapult/crossbow")</f>
        <v>0</v>
      </c>
      <c r="H919" s="38">
        <f>COUNTIFS(HH_FCSP!$G$18:$G$3617,$E919,HH_FCSP!$F$18:$F$3617,"white")</f>
        <v>0</v>
      </c>
    </row>
    <row r="920">
      <c r="A920" s="38"/>
      <c r="B920" s="38">
        <v>0.0</v>
      </c>
      <c r="C920" s="38">
        <v>0.0</v>
      </c>
      <c r="D920" s="38">
        <v>0.0</v>
      </c>
      <c r="E920" s="38"/>
      <c r="F920" s="38">
        <f t="shared" si="1"/>
        <v>0</v>
      </c>
      <c r="G920" s="38">
        <f>COUNTIFS(HH_FCSP!$G$18:$G$3617,$E920,HH_FCSP!$F$18:$F$3617,"catapult/crossbow")</f>
        <v>0</v>
      </c>
      <c r="H920" s="38">
        <f>COUNTIFS(HH_FCSP!$G$18:$G$3617,$E920,HH_FCSP!$F$18:$F$3617,"white")</f>
        <v>0</v>
      </c>
    </row>
    <row r="921">
      <c r="A921" s="38"/>
      <c r="B921" s="38">
        <v>0.0</v>
      </c>
      <c r="C921" s="38">
        <v>0.0</v>
      </c>
      <c r="D921" s="38">
        <v>0.0</v>
      </c>
      <c r="E921" s="38"/>
      <c r="F921" s="38">
        <f t="shared" si="1"/>
        <v>0</v>
      </c>
      <c r="G921" s="38">
        <f>COUNTIFS(HH_FCSP!$G$18:$G$3617,$E921,HH_FCSP!$F$18:$F$3617,"catapult/crossbow")</f>
        <v>0</v>
      </c>
      <c r="H921" s="38">
        <f>COUNTIFS(HH_FCSP!$G$18:$G$3617,$E921,HH_FCSP!$F$18:$F$3617,"white")</f>
        <v>0</v>
      </c>
    </row>
    <row r="922">
      <c r="A922" s="38"/>
      <c r="B922" s="38">
        <v>0.0</v>
      </c>
      <c r="C922" s="38">
        <v>0.0</v>
      </c>
      <c r="D922" s="38">
        <v>0.0</v>
      </c>
      <c r="E922" s="38"/>
      <c r="F922" s="38">
        <f t="shared" si="1"/>
        <v>0</v>
      </c>
      <c r="G922" s="38">
        <f>COUNTIFS(HH_FCSP!$G$18:$G$3617,$E922,HH_FCSP!$F$18:$F$3617,"catapult/crossbow")</f>
        <v>0</v>
      </c>
      <c r="H922" s="38">
        <f>COUNTIFS(HH_FCSP!$G$18:$G$3617,$E922,HH_FCSP!$F$18:$F$3617,"white")</f>
        <v>0</v>
      </c>
    </row>
    <row r="923">
      <c r="A923" s="38"/>
      <c r="B923" s="38">
        <v>0.0</v>
      </c>
      <c r="C923" s="38">
        <v>0.0</v>
      </c>
      <c r="D923" s="38">
        <v>0.0</v>
      </c>
      <c r="E923" s="38"/>
      <c r="F923" s="38">
        <f t="shared" si="1"/>
        <v>0</v>
      </c>
      <c r="G923" s="38">
        <f>COUNTIFS(HH_FCSP!$G$18:$G$3617,$E923,HH_FCSP!$F$18:$F$3617,"catapult/crossbow")</f>
        <v>0</v>
      </c>
      <c r="H923" s="38">
        <f>COUNTIFS(HH_FCSP!$G$18:$G$3617,$E923,HH_FCSP!$F$18:$F$3617,"white")</f>
        <v>0</v>
      </c>
    </row>
    <row r="924">
      <c r="A924" s="38"/>
      <c r="B924" s="38">
        <v>0.0</v>
      </c>
      <c r="C924" s="38">
        <v>0.0</v>
      </c>
      <c r="D924" s="38">
        <v>0.0</v>
      </c>
      <c r="E924" s="38"/>
      <c r="F924" s="38">
        <f t="shared" si="1"/>
        <v>0</v>
      </c>
      <c r="G924" s="38">
        <f>COUNTIFS(HH_FCSP!$G$18:$G$3617,$E924,HH_FCSP!$F$18:$F$3617,"catapult/crossbow")</f>
        <v>0</v>
      </c>
      <c r="H924" s="38">
        <f>COUNTIFS(HH_FCSP!$G$18:$G$3617,$E924,HH_FCSP!$F$18:$F$3617,"white")</f>
        <v>0</v>
      </c>
    </row>
    <row r="925">
      <c r="A925" s="38"/>
      <c r="B925" s="38">
        <v>0.0</v>
      </c>
      <c r="C925" s="38">
        <v>0.0</v>
      </c>
      <c r="D925" s="38">
        <v>0.0</v>
      </c>
      <c r="E925" s="38"/>
      <c r="F925" s="38">
        <f t="shared" si="1"/>
        <v>0</v>
      </c>
      <c r="G925" s="38">
        <f>COUNTIFS(HH_FCSP!$G$18:$G$3617,$E925,HH_FCSP!$F$18:$F$3617,"catapult/crossbow")</f>
        <v>0</v>
      </c>
      <c r="H925" s="38">
        <f>COUNTIFS(HH_FCSP!$G$18:$G$3617,$E925,HH_FCSP!$F$18:$F$3617,"white")</f>
        <v>0</v>
      </c>
    </row>
    <row r="926">
      <c r="A926" s="38"/>
      <c r="B926" s="38">
        <v>0.0</v>
      </c>
      <c r="C926" s="38">
        <v>0.0</v>
      </c>
      <c r="D926" s="38">
        <v>0.0</v>
      </c>
      <c r="E926" s="38"/>
      <c r="F926" s="38">
        <f t="shared" si="1"/>
        <v>0</v>
      </c>
      <c r="G926" s="38">
        <f>COUNTIFS(HH_FCSP!$G$18:$G$3617,$E926,HH_FCSP!$F$18:$F$3617,"catapult/crossbow")</f>
        <v>0</v>
      </c>
      <c r="H926" s="38">
        <f>COUNTIFS(HH_FCSP!$G$18:$G$3617,$E926,HH_FCSP!$F$18:$F$3617,"white")</f>
        <v>0</v>
      </c>
    </row>
    <row r="927">
      <c r="A927" s="38"/>
      <c r="B927" s="38">
        <v>0.0</v>
      </c>
      <c r="C927" s="38">
        <v>0.0</v>
      </c>
      <c r="D927" s="38">
        <v>0.0</v>
      </c>
      <c r="E927" s="38"/>
      <c r="F927" s="38">
        <f t="shared" si="1"/>
        <v>0</v>
      </c>
      <c r="G927" s="38">
        <f>COUNTIFS(HH_FCSP!$G$18:$G$3617,$E927,HH_FCSP!$F$18:$F$3617,"catapult/crossbow")</f>
        <v>0</v>
      </c>
      <c r="H927" s="38">
        <f>COUNTIFS(HH_FCSP!$G$18:$G$3617,$E927,HH_FCSP!$F$18:$F$3617,"white")</f>
        <v>0</v>
      </c>
    </row>
    <row r="928">
      <c r="A928" s="38"/>
      <c r="B928" s="38">
        <v>0.0</v>
      </c>
      <c r="C928" s="38">
        <v>0.0</v>
      </c>
      <c r="D928" s="38">
        <v>0.0</v>
      </c>
      <c r="E928" s="38"/>
      <c r="F928" s="38">
        <f t="shared" si="1"/>
        <v>0</v>
      </c>
      <c r="G928" s="38">
        <f>COUNTIFS(HH_FCSP!$G$18:$G$3617,$E928,HH_FCSP!$F$18:$F$3617,"catapult/crossbow")</f>
        <v>0</v>
      </c>
      <c r="H928" s="38">
        <f>COUNTIFS(HH_FCSP!$G$18:$G$3617,$E928,HH_FCSP!$F$18:$F$3617,"white")</f>
        <v>0</v>
      </c>
    </row>
    <row r="929">
      <c r="A929" s="38"/>
      <c r="B929" s="38">
        <v>0.0</v>
      </c>
      <c r="C929" s="38">
        <v>0.0</v>
      </c>
      <c r="D929" s="38">
        <v>0.0</v>
      </c>
      <c r="E929" s="38"/>
      <c r="F929" s="38">
        <f t="shared" si="1"/>
        <v>0</v>
      </c>
      <c r="G929" s="38">
        <f>COUNTIFS(HH_FCSP!$G$18:$G$3617,$E929,HH_FCSP!$F$18:$F$3617,"catapult/crossbow")</f>
        <v>0</v>
      </c>
      <c r="H929" s="38">
        <f>COUNTIFS(HH_FCSP!$G$18:$G$3617,$E929,HH_FCSP!$F$18:$F$3617,"white")</f>
        <v>0</v>
      </c>
    </row>
    <row r="930">
      <c r="A930" s="38"/>
      <c r="B930" s="38">
        <v>0.0</v>
      </c>
      <c r="C930" s="38">
        <v>0.0</v>
      </c>
      <c r="D930" s="38">
        <v>0.0</v>
      </c>
      <c r="E930" s="38"/>
      <c r="F930" s="38">
        <f t="shared" si="1"/>
        <v>0</v>
      </c>
      <c r="G930" s="38">
        <f>COUNTIFS(HH_FCSP!$G$18:$G$3617,$E930,HH_FCSP!$F$18:$F$3617,"catapult/crossbow")</f>
        <v>0</v>
      </c>
      <c r="H930" s="38">
        <f>COUNTIFS(HH_FCSP!$G$18:$G$3617,$E930,HH_FCSP!$F$18:$F$3617,"white")</f>
        <v>0</v>
      </c>
    </row>
    <row r="931">
      <c r="A931" s="38"/>
      <c r="B931" s="38">
        <v>0.0</v>
      </c>
      <c r="C931" s="38">
        <v>0.0</v>
      </c>
      <c r="D931" s="38">
        <v>0.0</v>
      </c>
      <c r="E931" s="38"/>
      <c r="F931" s="38">
        <f t="shared" si="1"/>
        <v>0</v>
      </c>
      <c r="G931" s="38">
        <f>COUNTIFS(HH_FCSP!$G$18:$G$3617,$E931,HH_FCSP!$F$18:$F$3617,"catapult/crossbow")</f>
        <v>0</v>
      </c>
      <c r="H931" s="38">
        <f>COUNTIFS(HH_FCSP!$G$18:$G$3617,$E931,HH_FCSP!$F$18:$F$3617,"white")</f>
        <v>0</v>
      </c>
    </row>
    <row r="932">
      <c r="A932" s="38"/>
      <c r="B932" s="38">
        <v>0.0</v>
      </c>
      <c r="C932" s="38">
        <v>0.0</v>
      </c>
      <c r="D932" s="38">
        <v>0.0</v>
      </c>
      <c r="E932" s="38"/>
      <c r="F932" s="38">
        <f t="shared" si="1"/>
        <v>0</v>
      </c>
      <c r="G932" s="38">
        <f>COUNTIFS(HH_FCSP!$G$18:$G$3617,$E932,HH_FCSP!$F$18:$F$3617,"catapult/crossbow")</f>
        <v>0</v>
      </c>
      <c r="H932" s="38">
        <f>COUNTIFS(HH_FCSP!$G$18:$G$3617,$E932,HH_FCSP!$F$18:$F$3617,"white")</f>
        <v>0</v>
      </c>
    </row>
    <row r="933">
      <c r="A933" s="38"/>
      <c r="B933" s="38">
        <v>0.0</v>
      </c>
      <c r="C933" s="38">
        <v>0.0</v>
      </c>
      <c r="D933" s="38">
        <v>0.0</v>
      </c>
      <c r="E933" s="38"/>
      <c r="F933" s="38">
        <f t="shared" si="1"/>
        <v>0</v>
      </c>
      <c r="G933" s="38">
        <f>COUNTIFS(HH_FCSP!$G$18:$G$3617,$E933,HH_FCSP!$F$18:$F$3617,"catapult/crossbow")</f>
        <v>0</v>
      </c>
      <c r="H933" s="38">
        <f>COUNTIFS(HH_FCSP!$G$18:$G$3617,$E933,HH_FCSP!$F$18:$F$3617,"white")</f>
        <v>0</v>
      </c>
    </row>
    <row r="934">
      <c r="A934" s="38"/>
      <c r="B934" s="38">
        <v>0.0</v>
      </c>
      <c r="C934" s="38">
        <v>0.0</v>
      </c>
      <c r="D934" s="38">
        <v>0.0</v>
      </c>
      <c r="E934" s="38"/>
      <c r="F934" s="38">
        <f t="shared" si="1"/>
        <v>0</v>
      </c>
      <c r="G934" s="38">
        <f>COUNTIFS(HH_FCSP!$G$18:$G$3617,$E934,HH_FCSP!$F$18:$F$3617,"catapult/crossbow")</f>
        <v>0</v>
      </c>
      <c r="H934" s="38">
        <f>COUNTIFS(HH_FCSP!$G$18:$G$3617,$E934,HH_FCSP!$F$18:$F$3617,"white")</f>
        <v>0</v>
      </c>
    </row>
    <row r="935">
      <c r="A935" s="38"/>
      <c r="B935" s="38">
        <v>0.0</v>
      </c>
      <c r="C935" s="38">
        <v>0.0</v>
      </c>
      <c r="D935" s="38">
        <v>0.0</v>
      </c>
      <c r="E935" s="38"/>
      <c r="F935" s="38">
        <f t="shared" si="1"/>
        <v>0</v>
      </c>
      <c r="G935" s="38">
        <f>COUNTIFS(HH_FCSP!$G$18:$G$3617,$E935,HH_FCSP!$F$18:$F$3617,"catapult/crossbow")</f>
        <v>0</v>
      </c>
      <c r="H935" s="38">
        <f>COUNTIFS(HH_FCSP!$G$18:$G$3617,$E935,HH_FCSP!$F$18:$F$3617,"white")</f>
        <v>0</v>
      </c>
    </row>
    <row r="936">
      <c r="A936" s="38"/>
      <c r="B936" s="38">
        <v>0.0</v>
      </c>
      <c r="C936" s="38">
        <v>0.0</v>
      </c>
      <c r="D936" s="38">
        <v>0.0</v>
      </c>
      <c r="E936" s="38"/>
      <c r="F936" s="38">
        <f t="shared" si="1"/>
        <v>0</v>
      </c>
      <c r="G936" s="38">
        <f>COUNTIFS(HH_FCSP!$G$18:$G$3617,$E936,HH_FCSP!$F$18:$F$3617,"catapult/crossbow")</f>
        <v>0</v>
      </c>
      <c r="H936" s="38">
        <f>COUNTIFS(HH_FCSP!$G$18:$G$3617,$E936,HH_FCSP!$F$18:$F$3617,"white")</f>
        <v>0</v>
      </c>
    </row>
    <row r="937">
      <c r="A937" s="38"/>
      <c r="B937" s="38">
        <v>0.0</v>
      </c>
      <c r="C937" s="38">
        <v>0.0</v>
      </c>
      <c r="D937" s="38">
        <v>0.0</v>
      </c>
      <c r="E937" s="38"/>
      <c r="F937" s="38">
        <f t="shared" si="1"/>
        <v>0</v>
      </c>
      <c r="G937" s="38">
        <f>COUNTIFS(HH_FCSP!$G$18:$G$3617,$E937,HH_FCSP!$F$18:$F$3617,"catapult/crossbow")</f>
        <v>0</v>
      </c>
      <c r="H937" s="38">
        <f>COUNTIFS(HH_FCSP!$G$18:$G$3617,$E937,HH_FCSP!$F$18:$F$3617,"white")</f>
        <v>0</v>
      </c>
    </row>
    <row r="938">
      <c r="A938" s="38"/>
      <c r="B938" s="38">
        <v>0.0</v>
      </c>
      <c r="C938" s="38">
        <v>0.0</v>
      </c>
      <c r="D938" s="38">
        <v>0.0</v>
      </c>
      <c r="E938" s="38"/>
      <c r="F938" s="38">
        <f t="shared" si="1"/>
        <v>0</v>
      </c>
      <c r="G938" s="38">
        <f>COUNTIFS(HH_FCSP!$G$18:$G$3617,$E938,HH_FCSP!$F$18:$F$3617,"catapult/crossbow")</f>
        <v>0</v>
      </c>
      <c r="H938" s="38">
        <f>COUNTIFS(HH_FCSP!$G$18:$G$3617,$E938,HH_FCSP!$F$18:$F$3617,"white")</f>
        <v>0</v>
      </c>
    </row>
    <row r="939">
      <c r="A939" s="38"/>
      <c r="B939" s="38">
        <v>0.0</v>
      </c>
      <c r="C939" s="38">
        <v>0.0</v>
      </c>
      <c r="D939" s="38">
        <v>0.0</v>
      </c>
      <c r="E939" s="38"/>
      <c r="F939" s="38">
        <f t="shared" si="1"/>
        <v>0</v>
      </c>
      <c r="G939" s="38">
        <f>COUNTIFS(HH_FCSP!$G$18:$G$3617,$E939,HH_FCSP!$F$18:$F$3617,"catapult/crossbow")</f>
        <v>0</v>
      </c>
      <c r="H939" s="38">
        <f>COUNTIFS(HH_FCSP!$G$18:$G$3617,$E939,HH_FCSP!$F$18:$F$3617,"white")</f>
        <v>0</v>
      </c>
    </row>
    <row r="940">
      <c r="A940" s="38"/>
      <c r="B940" s="38">
        <v>0.0</v>
      </c>
      <c r="C940" s="38">
        <v>0.0</v>
      </c>
      <c r="D940" s="38">
        <v>0.0</v>
      </c>
      <c r="E940" s="38"/>
      <c r="F940" s="38">
        <f t="shared" si="1"/>
        <v>0</v>
      </c>
      <c r="G940" s="38">
        <f>COUNTIFS(HH_FCSP!$G$18:$G$3617,$E940,HH_FCSP!$F$18:$F$3617,"catapult/crossbow")</f>
        <v>0</v>
      </c>
      <c r="H940" s="38">
        <f>COUNTIFS(HH_FCSP!$G$18:$G$3617,$E940,HH_FCSP!$F$18:$F$3617,"white")</f>
        <v>0</v>
      </c>
    </row>
    <row r="941">
      <c r="A941" s="38"/>
      <c r="B941" s="38">
        <v>0.0</v>
      </c>
      <c r="C941" s="38">
        <v>0.0</v>
      </c>
      <c r="D941" s="38">
        <v>0.0</v>
      </c>
      <c r="E941" s="38"/>
      <c r="F941" s="38">
        <f t="shared" si="1"/>
        <v>0</v>
      </c>
      <c r="G941" s="38">
        <f>COUNTIFS(HH_FCSP!$G$18:$G$3617,$E941,HH_FCSP!$F$18:$F$3617,"catapult/crossbow")</f>
        <v>0</v>
      </c>
      <c r="H941" s="38">
        <f>COUNTIFS(HH_FCSP!$G$18:$G$3617,$E941,HH_FCSP!$F$18:$F$3617,"white")</f>
        <v>0</v>
      </c>
    </row>
    <row r="942">
      <c r="A942" s="38"/>
      <c r="B942" s="38">
        <v>0.0</v>
      </c>
      <c r="C942" s="38">
        <v>0.0</v>
      </c>
      <c r="D942" s="38">
        <v>0.0</v>
      </c>
      <c r="E942" s="38"/>
      <c r="F942" s="38">
        <f t="shared" si="1"/>
        <v>0</v>
      </c>
      <c r="G942" s="38">
        <f>COUNTIFS(HH_FCSP!$G$18:$G$3617,$E942,HH_FCSP!$F$18:$F$3617,"catapult/crossbow")</f>
        <v>0</v>
      </c>
      <c r="H942" s="38">
        <f>COUNTIFS(HH_FCSP!$G$18:$G$3617,$E942,HH_FCSP!$F$18:$F$3617,"white")</f>
        <v>0</v>
      </c>
    </row>
    <row r="943">
      <c r="A943" s="38"/>
      <c r="B943" s="38">
        <v>0.0</v>
      </c>
      <c r="C943" s="38">
        <v>0.0</v>
      </c>
      <c r="D943" s="38">
        <v>0.0</v>
      </c>
      <c r="E943" s="38"/>
      <c r="F943" s="38">
        <f t="shared" si="1"/>
        <v>0</v>
      </c>
      <c r="G943" s="38">
        <f>COUNTIFS(HH_FCSP!$G$18:$G$3617,$E943,HH_FCSP!$F$18:$F$3617,"catapult/crossbow")</f>
        <v>0</v>
      </c>
      <c r="H943" s="38">
        <f>COUNTIFS(HH_FCSP!$G$18:$G$3617,$E943,HH_FCSP!$F$18:$F$3617,"white")</f>
        <v>0</v>
      </c>
    </row>
    <row r="944">
      <c r="A944" s="38"/>
      <c r="B944" s="38">
        <v>0.0</v>
      </c>
      <c r="C944" s="38">
        <v>0.0</v>
      </c>
      <c r="D944" s="38">
        <v>0.0</v>
      </c>
      <c r="E944" s="38"/>
      <c r="F944" s="38">
        <f t="shared" si="1"/>
        <v>0</v>
      </c>
      <c r="G944" s="38">
        <f>COUNTIFS(HH_FCSP!$G$18:$G$3617,$E944,HH_FCSP!$F$18:$F$3617,"catapult/crossbow")</f>
        <v>0</v>
      </c>
      <c r="H944" s="38">
        <f>COUNTIFS(HH_FCSP!$G$18:$G$3617,$E944,HH_FCSP!$F$18:$F$3617,"white")</f>
        <v>0</v>
      </c>
    </row>
    <row r="945">
      <c r="A945" s="38"/>
      <c r="B945" s="38">
        <v>0.0</v>
      </c>
      <c r="C945" s="38">
        <v>0.0</v>
      </c>
      <c r="D945" s="38">
        <v>0.0</v>
      </c>
      <c r="E945" s="38"/>
      <c r="F945" s="38">
        <f t="shared" si="1"/>
        <v>0</v>
      </c>
      <c r="G945" s="38">
        <f>COUNTIFS(HH_FCSP!$G$18:$G$3617,$E945,HH_FCSP!$F$18:$F$3617,"catapult/crossbow")</f>
        <v>0</v>
      </c>
      <c r="H945" s="38">
        <f>COUNTIFS(HH_FCSP!$G$18:$G$3617,$E945,HH_FCSP!$F$18:$F$3617,"white")</f>
        <v>0</v>
      </c>
    </row>
    <row r="946">
      <c r="A946" s="38"/>
      <c r="B946" s="38">
        <v>0.0</v>
      </c>
      <c r="C946" s="38">
        <v>0.0</v>
      </c>
      <c r="D946" s="38">
        <v>0.0</v>
      </c>
      <c r="E946" s="38"/>
      <c r="F946" s="38">
        <f t="shared" si="1"/>
        <v>0</v>
      </c>
      <c r="G946" s="38">
        <f>COUNTIFS(HH_FCSP!$G$18:$G$3617,$E946,HH_FCSP!$F$18:$F$3617,"catapult/crossbow")</f>
        <v>0</v>
      </c>
      <c r="H946" s="38">
        <f>COUNTIFS(HH_FCSP!$G$18:$G$3617,$E946,HH_FCSP!$F$18:$F$3617,"white")</f>
        <v>0</v>
      </c>
    </row>
    <row r="947">
      <c r="A947" s="38"/>
      <c r="B947" s="38">
        <v>0.0</v>
      </c>
      <c r="C947" s="38">
        <v>0.0</v>
      </c>
      <c r="D947" s="38">
        <v>0.0</v>
      </c>
      <c r="E947" s="38"/>
      <c r="F947" s="38">
        <f t="shared" si="1"/>
        <v>0</v>
      </c>
      <c r="G947" s="38">
        <f>COUNTIFS(HH_FCSP!$G$18:$G$3617,$E947,HH_FCSP!$F$18:$F$3617,"catapult/crossbow")</f>
        <v>0</v>
      </c>
      <c r="H947" s="38">
        <f>COUNTIFS(HH_FCSP!$G$18:$G$3617,$E947,HH_FCSP!$F$18:$F$3617,"white")</f>
        <v>0</v>
      </c>
    </row>
    <row r="948">
      <c r="A948" s="38"/>
      <c r="B948" s="38">
        <v>0.0</v>
      </c>
      <c r="C948" s="38">
        <v>0.0</v>
      </c>
      <c r="D948" s="38">
        <v>0.0</v>
      </c>
      <c r="E948" s="38"/>
      <c r="F948" s="38">
        <f t="shared" si="1"/>
        <v>0</v>
      </c>
      <c r="G948" s="38">
        <f>COUNTIFS(HH_FCSP!$G$18:$G$3617,$E948,HH_FCSP!$F$18:$F$3617,"catapult/crossbow")</f>
        <v>0</v>
      </c>
      <c r="H948" s="38">
        <f>COUNTIFS(HH_FCSP!$G$18:$G$3617,$E948,HH_FCSP!$F$18:$F$3617,"white")</f>
        <v>0</v>
      </c>
    </row>
    <row r="949">
      <c r="A949" s="38"/>
      <c r="B949" s="38">
        <v>0.0</v>
      </c>
      <c r="C949" s="38">
        <v>0.0</v>
      </c>
      <c r="D949" s="38">
        <v>0.0</v>
      </c>
      <c r="E949" s="38"/>
      <c r="F949" s="38">
        <f t="shared" si="1"/>
        <v>0</v>
      </c>
      <c r="G949" s="38">
        <f>COUNTIFS(HH_FCSP!$G$18:$G$3617,$E949,HH_FCSP!$F$18:$F$3617,"catapult/crossbow")</f>
        <v>0</v>
      </c>
      <c r="H949" s="38">
        <f>COUNTIFS(HH_FCSP!$G$18:$G$3617,$E949,HH_FCSP!$F$18:$F$3617,"white")</f>
        <v>0</v>
      </c>
    </row>
    <row r="950">
      <c r="A950" s="38"/>
      <c r="B950" s="38">
        <v>0.0</v>
      </c>
      <c r="C950" s="38">
        <v>0.0</v>
      </c>
      <c r="D950" s="38">
        <v>0.0</v>
      </c>
      <c r="E950" s="38"/>
      <c r="F950" s="38">
        <f t="shared" si="1"/>
        <v>0</v>
      </c>
      <c r="G950" s="38">
        <f>COUNTIFS(HH_FCSP!$G$18:$G$3617,$E950,HH_FCSP!$F$18:$F$3617,"catapult/crossbow")</f>
        <v>0</v>
      </c>
      <c r="H950" s="38">
        <f>COUNTIFS(HH_FCSP!$G$18:$G$3617,$E950,HH_FCSP!$F$18:$F$3617,"white")</f>
        <v>0</v>
      </c>
    </row>
    <row r="951">
      <c r="A951" s="38"/>
      <c r="B951" s="38">
        <v>0.0</v>
      </c>
      <c r="C951" s="38">
        <v>0.0</v>
      </c>
      <c r="D951" s="38">
        <v>0.0</v>
      </c>
      <c r="E951" s="38"/>
      <c r="F951" s="38">
        <f t="shared" si="1"/>
        <v>0</v>
      </c>
      <c r="G951" s="38">
        <f>COUNTIFS(HH_FCSP!$G$18:$G$3617,$E951,HH_FCSP!$F$18:$F$3617,"catapult/crossbow")</f>
        <v>0</v>
      </c>
      <c r="H951" s="38">
        <f>COUNTIFS(HH_FCSP!$G$18:$G$3617,$E951,HH_FCSP!$F$18:$F$3617,"white")</f>
        <v>0</v>
      </c>
    </row>
    <row r="952">
      <c r="A952" s="38"/>
      <c r="B952" s="38">
        <v>0.0</v>
      </c>
      <c r="C952" s="38">
        <v>0.0</v>
      </c>
      <c r="D952" s="38">
        <v>0.0</v>
      </c>
      <c r="E952" s="38"/>
      <c r="F952" s="38">
        <f t="shared" si="1"/>
        <v>0</v>
      </c>
      <c r="G952" s="38">
        <f>COUNTIFS(HH_FCSP!$G$18:$G$3617,$E952,HH_FCSP!$F$18:$F$3617,"catapult/crossbow")</f>
        <v>0</v>
      </c>
      <c r="H952" s="38">
        <f>COUNTIFS(HH_FCSP!$G$18:$G$3617,$E952,HH_FCSP!$F$18:$F$3617,"white")</f>
        <v>0</v>
      </c>
    </row>
    <row r="953">
      <c r="A953" s="38"/>
      <c r="B953" s="38">
        <v>0.0</v>
      </c>
      <c r="C953" s="38">
        <v>0.0</v>
      </c>
      <c r="D953" s="38">
        <v>0.0</v>
      </c>
      <c r="E953" s="38"/>
      <c r="F953" s="38">
        <f t="shared" si="1"/>
        <v>0</v>
      </c>
      <c r="G953" s="38">
        <f>COUNTIFS(HH_FCSP!$G$18:$G$3617,$E953,HH_FCSP!$F$18:$F$3617,"catapult/crossbow")</f>
        <v>0</v>
      </c>
      <c r="H953" s="38">
        <f>COUNTIFS(HH_FCSP!$G$18:$G$3617,$E953,HH_FCSP!$F$18:$F$3617,"white")</f>
        <v>0</v>
      </c>
    </row>
    <row r="954">
      <c r="A954" s="38"/>
      <c r="B954" s="38">
        <v>0.0</v>
      </c>
      <c r="C954" s="38">
        <v>0.0</v>
      </c>
      <c r="D954" s="38">
        <v>0.0</v>
      </c>
      <c r="E954" s="38"/>
      <c r="F954" s="38">
        <f t="shared" si="1"/>
        <v>0</v>
      </c>
      <c r="G954" s="38">
        <f>COUNTIFS(HH_FCSP!$G$18:$G$3617,$E954,HH_FCSP!$F$18:$F$3617,"catapult/crossbow")</f>
        <v>0</v>
      </c>
      <c r="H954" s="38">
        <f>COUNTIFS(HH_FCSP!$G$18:$G$3617,$E954,HH_FCSP!$F$18:$F$3617,"white")</f>
        <v>0</v>
      </c>
    </row>
    <row r="955">
      <c r="A955" s="38"/>
      <c r="B955" s="38">
        <v>0.0</v>
      </c>
      <c r="C955" s="38">
        <v>0.0</v>
      </c>
      <c r="D955" s="38">
        <v>0.0</v>
      </c>
      <c r="E955" s="38"/>
      <c r="F955" s="38">
        <f t="shared" si="1"/>
        <v>0</v>
      </c>
      <c r="G955" s="38">
        <f>COUNTIFS(HH_FCSP!$G$18:$G$3617,$E955,HH_FCSP!$F$18:$F$3617,"catapult/crossbow")</f>
        <v>0</v>
      </c>
      <c r="H955" s="38">
        <f>COUNTIFS(HH_FCSP!$G$18:$G$3617,$E955,HH_FCSP!$F$18:$F$3617,"white")</f>
        <v>0</v>
      </c>
    </row>
    <row r="956">
      <c r="A956" s="38"/>
      <c r="B956" s="38">
        <v>0.0</v>
      </c>
      <c r="C956" s="38">
        <v>0.0</v>
      </c>
      <c r="D956" s="38">
        <v>0.0</v>
      </c>
      <c r="E956" s="38"/>
      <c r="F956" s="38">
        <f t="shared" si="1"/>
        <v>0</v>
      </c>
      <c r="G956" s="38">
        <f>COUNTIFS(HH_FCSP!$G$18:$G$3617,$E956,HH_FCSP!$F$18:$F$3617,"catapult/crossbow")</f>
        <v>0</v>
      </c>
      <c r="H956" s="38">
        <f>COUNTIFS(HH_FCSP!$G$18:$G$3617,$E956,HH_FCSP!$F$18:$F$3617,"white")</f>
        <v>0</v>
      </c>
    </row>
    <row r="957">
      <c r="A957" s="38"/>
      <c r="B957" s="38">
        <v>0.0</v>
      </c>
      <c r="C957" s="38">
        <v>0.0</v>
      </c>
      <c r="D957" s="38">
        <v>0.0</v>
      </c>
      <c r="E957" s="38"/>
      <c r="F957" s="38">
        <f t="shared" si="1"/>
        <v>0</v>
      </c>
      <c r="G957" s="38">
        <f>COUNTIFS(HH_FCSP!$G$18:$G$3617,$E957,HH_FCSP!$F$18:$F$3617,"catapult/crossbow")</f>
        <v>0</v>
      </c>
      <c r="H957" s="38">
        <f>COUNTIFS(HH_FCSP!$G$18:$G$3617,$E957,HH_FCSP!$F$18:$F$3617,"white")</f>
        <v>0</v>
      </c>
    </row>
    <row r="958">
      <c r="A958" s="38"/>
      <c r="B958" s="38">
        <v>0.0</v>
      </c>
      <c r="C958" s="38">
        <v>0.0</v>
      </c>
      <c r="D958" s="38">
        <v>0.0</v>
      </c>
      <c r="E958" s="38"/>
      <c r="F958" s="38">
        <f t="shared" si="1"/>
        <v>0</v>
      </c>
      <c r="G958" s="38">
        <f>COUNTIFS(HH_FCSP!$G$18:$G$3617,$E958,HH_FCSP!$F$18:$F$3617,"catapult/crossbow")</f>
        <v>0</v>
      </c>
      <c r="H958" s="38">
        <f>COUNTIFS(HH_FCSP!$G$18:$G$3617,$E958,HH_FCSP!$F$18:$F$3617,"white")</f>
        <v>0</v>
      </c>
    </row>
    <row r="959">
      <c r="A959" s="38"/>
      <c r="B959" s="38">
        <v>0.0</v>
      </c>
      <c r="C959" s="38">
        <v>0.0</v>
      </c>
      <c r="D959" s="38">
        <v>0.0</v>
      </c>
      <c r="E959" s="38"/>
      <c r="F959" s="38">
        <f t="shared" si="1"/>
        <v>0</v>
      </c>
      <c r="G959" s="38">
        <f>COUNTIFS(HH_FCSP!$G$18:$G$3617,$E959,HH_FCSP!$F$18:$F$3617,"catapult/crossbow")</f>
        <v>0</v>
      </c>
      <c r="H959" s="38">
        <f>COUNTIFS(HH_FCSP!$G$18:$G$3617,$E959,HH_FCSP!$F$18:$F$3617,"white")</f>
        <v>0</v>
      </c>
    </row>
    <row r="960">
      <c r="A960" s="38"/>
      <c r="B960" s="38">
        <v>0.0</v>
      </c>
      <c r="C960" s="38">
        <v>0.0</v>
      </c>
      <c r="D960" s="38">
        <v>0.0</v>
      </c>
      <c r="E960" s="38"/>
      <c r="F960" s="38">
        <f t="shared" si="1"/>
        <v>0</v>
      </c>
      <c r="G960" s="38">
        <f>COUNTIFS(HH_FCSP!$G$18:$G$3617,$E960,HH_FCSP!$F$18:$F$3617,"catapult/crossbow")</f>
        <v>0</v>
      </c>
      <c r="H960" s="38">
        <f>COUNTIFS(HH_FCSP!$G$18:$G$3617,$E960,HH_FCSP!$F$18:$F$3617,"white")</f>
        <v>0</v>
      </c>
    </row>
    <row r="961">
      <c r="A961" s="38"/>
      <c r="B961" s="38">
        <v>0.0</v>
      </c>
      <c r="C961" s="38">
        <v>0.0</v>
      </c>
      <c r="D961" s="38">
        <v>0.0</v>
      </c>
      <c r="E961" s="38"/>
      <c r="F961" s="38">
        <f t="shared" si="1"/>
        <v>0</v>
      </c>
      <c r="G961" s="38">
        <f>COUNTIFS(HH_FCSP!$G$18:$G$3617,$E961,HH_FCSP!$F$18:$F$3617,"catapult/crossbow")</f>
        <v>0</v>
      </c>
      <c r="H961" s="38">
        <f>COUNTIFS(HH_FCSP!$G$18:$G$3617,$E961,HH_FCSP!$F$18:$F$3617,"white")</f>
        <v>0</v>
      </c>
    </row>
    <row r="962">
      <c r="A962" s="38"/>
      <c r="B962" s="38">
        <v>0.0</v>
      </c>
      <c r="C962" s="38">
        <v>0.0</v>
      </c>
      <c r="D962" s="38">
        <v>0.0</v>
      </c>
      <c r="E962" s="38"/>
      <c r="F962" s="38">
        <f t="shared" si="1"/>
        <v>0</v>
      </c>
      <c r="G962" s="38">
        <f>COUNTIFS(HH_FCSP!$G$18:$G$3617,$E962,HH_FCSP!$F$18:$F$3617,"catapult/crossbow")</f>
        <v>0</v>
      </c>
      <c r="H962" s="38">
        <f>COUNTIFS(HH_FCSP!$G$18:$G$3617,$E962,HH_FCSP!$F$18:$F$3617,"white")</f>
        <v>0</v>
      </c>
    </row>
    <row r="963">
      <c r="A963" s="38"/>
      <c r="B963" s="38">
        <v>0.0</v>
      </c>
      <c r="C963" s="38">
        <v>0.0</v>
      </c>
      <c r="D963" s="38">
        <v>0.0</v>
      </c>
      <c r="E963" s="38"/>
      <c r="F963" s="38">
        <f t="shared" si="1"/>
        <v>0</v>
      </c>
      <c r="G963" s="38">
        <f>COUNTIFS(HH_FCSP!$G$18:$G$3617,$E963,HH_FCSP!$F$18:$F$3617,"catapult/crossbow")</f>
        <v>0</v>
      </c>
      <c r="H963" s="38">
        <f>COUNTIFS(HH_FCSP!$G$18:$G$3617,$E963,HH_FCSP!$F$18:$F$3617,"white")</f>
        <v>0</v>
      </c>
    </row>
    <row r="964">
      <c r="A964" s="38"/>
      <c r="B964" s="38">
        <v>0.0</v>
      </c>
      <c r="C964" s="38">
        <v>0.0</v>
      </c>
      <c r="D964" s="38">
        <v>0.0</v>
      </c>
      <c r="E964" s="38"/>
      <c r="F964" s="38">
        <f t="shared" si="1"/>
        <v>0</v>
      </c>
      <c r="G964" s="38">
        <f>COUNTIFS(HH_FCSP!$G$18:$G$3617,$E964,HH_FCSP!$F$18:$F$3617,"catapult/crossbow")</f>
        <v>0</v>
      </c>
      <c r="H964" s="38">
        <f>COUNTIFS(HH_FCSP!$G$18:$G$3617,$E964,HH_FCSP!$F$18:$F$3617,"white")</f>
        <v>0</v>
      </c>
    </row>
    <row r="965">
      <c r="A965" s="38"/>
      <c r="B965" s="38">
        <v>0.0</v>
      </c>
      <c r="C965" s="38">
        <v>0.0</v>
      </c>
      <c r="D965" s="38">
        <v>0.0</v>
      </c>
      <c r="E965" s="38"/>
      <c r="F965" s="38">
        <f t="shared" si="1"/>
        <v>0</v>
      </c>
      <c r="G965" s="38">
        <f>COUNTIFS(HH_FCSP!$G$18:$G$3617,$E965,HH_FCSP!$F$18:$F$3617,"catapult/crossbow")</f>
        <v>0</v>
      </c>
      <c r="H965" s="38">
        <f>COUNTIFS(HH_FCSP!$G$18:$G$3617,$E965,HH_FCSP!$F$18:$F$3617,"white")</f>
        <v>0</v>
      </c>
    </row>
    <row r="966">
      <c r="A966" s="38"/>
      <c r="B966" s="38">
        <v>0.0</v>
      </c>
      <c r="C966" s="38">
        <v>0.0</v>
      </c>
      <c r="D966" s="38">
        <v>0.0</v>
      </c>
      <c r="E966" s="38"/>
      <c r="F966" s="38">
        <f t="shared" si="1"/>
        <v>0</v>
      </c>
      <c r="G966" s="38">
        <f>COUNTIFS(HH_FCSP!$G$18:$G$3617,$E966,HH_FCSP!$F$18:$F$3617,"catapult/crossbow")</f>
        <v>0</v>
      </c>
      <c r="H966" s="38">
        <f>COUNTIFS(HH_FCSP!$G$18:$G$3617,$E966,HH_FCSP!$F$18:$F$3617,"white")</f>
        <v>0</v>
      </c>
    </row>
    <row r="967">
      <c r="A967" s="38"/>
      <c r="B967" s="38">
        <v>0.0</v>
      </c>
      <c r="C967" s="38">
        <v>0.0</v>
      </c>
      <c r="D967" s="38">
        <v>0.0</v>
      </c>
      <c r="E967" s="38"/>
      <c r="F967" s="38">
        <f t="shared" si="1"/>
        <v>0</v>
      </c>
      <c r="G967" s="38">
        <f>COUNTIFS(HH_FCSP!$G$18:$G$3617,$E967,HH_FCSP!$F$18:$F$3617,"catapult/crossbow")</f>
        <v>0</v>
      </c>
      <c r="H967" s="38">
        <f>COUNTIFS(HH_FCSP!$G$18:$G$3617,$E967,HH_FCSP!$F$18:$F$3617,"white")</f>
        <v>0</v>
      </c>
    </row>
    <row r="968">
      <c r="A968" s="38"/>
      <c r="B968" s="38">
        <v>0.0</v>
      </c>
      <c r="C968" s="38">
        <v>0.0</v>
      </c>
      <c r="D968" s="38">
        <v>0.0</v>
      </c>
      <c r="E968" s="38"/>
      <c r="F968" s="38">
        <f t="shared" si="1"/>
        <v>0</v>
      </c>
      <c r="G968" s="38">
        <f>COUNTIFS(HH_FCSP!$G$18:$G$3617,$E968,HH_FCSP!$F$18:$F$3617,"catapult/crossbow")</f>
        <v>0</v>
      </c>
      <c r="H968" s="38">
        <f>COUNTIFS(HH_FCSP!$G$18:$G$3617,$E968,HH_FCSP!$F$18:$F$3617,"white")</f>
        <v>0</v>
      </c>
    </row>
    <row r="969">
      <c r="A969" s="38"/>
      <c r="B969" s="38">
        <v>0.0</v>
      </c>
      <c r="C969" s="38">
        <v>0.0</v>
      </c>
      <c r="D969" s="38">
        <v>0.0</v>
      </c>
      <c r="E969" s="38"/>
      <c r="F969" s="38">
        <f t="shared" si="1"/>
        <v>0</v>
      </c>
      <c r="G969" s="38">
        <f>COUNTIFS(HH_FCSP!$G$18:$G$3617,$E969,HH_FCSP!$F$18:$F$3617,"catapult/crossbow")</f>
        <v>0</v>
      </c>
      <c r="H969" s="38">
        <f>COUNTIFS(HH_FCSP!$G$18:$G$3617,$E969,HH_FCSP!$F$18:$F$3617,"white")</f>
        <v>0</v>
      </c>
    </row>
    <row r="970">
      <c r="A970" s="38"/>
      <c r="B970" s="38">
        <v>0.0</v>
      </c>
      <c r="C970" s="38">
        <v>0.0</v>
      </c>
      <c r="D970" s="38">
        <v>0.0</v>
      </c>
      <c r="E970" s="38"/>
      <c r="F970" s="38">
        <f t="shared" si="1"/>
        <v>0</v>
      </c>
      <c r="G970" s="38">
        <f>COUNTIFS(HH_FCSP!$G$18:$G$3617,$E970,HH_FCSP!$F$18:$F$3617,"catapult/crossbow")</f>
        <v>0</v>
      </c>
      <c r="H970" s="38">
        <f>COUNTIFS(HH_FCSP!$G$18:$G$3617,$E970,HH_FCSP!$F$18:$F$3617,"white")</f>
        <v>0</v>
      </c>
    </row>
    <row r="971">
      <c r="A971" s="38"/>
      <c r="B971" s="38">
        <v>0.0</v>
      </c>
      <c r="C971" s="38">
        <v>0.0</v>
      </c>
      <c r="D971" s="38">
        <v>0.0</v>
      </c>
      <c r="E971" s="38"/>
      <c r="F971" s="38">
        <f t="shared" si="1"/>
        <v>0</v>
      </c>
      <c r="G971" s="38">
        <f>COUNTIFS(HH_FCSP!$G$18:$G$3617,$E971,HH_FCSP!$F$18:$F$3617,"catapult/crossbow")</f>
        <v>0</v>
      </c>
      <c r="H971" s="38">
        <f>COUNTIFS(HH_FCSP!$G$18:$G$3617,$E971,HH_FCSP!$F$18:$F$3617,"white")</f>
        <v>0</v>
      </c>
    </row>
    <row r="972">
      <c r="A972" s="38"/>
      <c r="B972" s="38">
        <v>0.0</v>
      </c>
      <c r="C972" s="38">
        <v>0.0</v>
      </c>
      <c r="D972" s="38">
        <v>0.0</v>
      </c>
      <c r="E972" s="38"/>
      <c r="F972" s="38">
        <f t="shared" si="1"/>
        <v>0</v>
      </c>
      <c r="G972" s="38">
        <f>COUNTIFS(HH_FCSP!$G$18:$G$3617,$E972,HH_FCSP!$F$18:$F$3617,"catapult/crossbow")</f>
        <v>0</v>
      </c>
      <c r="H972" s="38">
        <f>COUNTIFS(HH_FCSP!$G$18:$G$3617,$E972,HH_FCSP!$F$18:$F$3617,"white")</f>
        <v>0</v>
      </c>
    </row>
    <row r="973">
      <c r="A973" s="38"/>
      <c r="B973" s="38">
        <v>0.0</v>
      </c>
      <c r="C973" s="38">
        <v>0.0</v>
      </c>
      <c r="D973" s="38">
        <v>0.0</v>
      </c>
      <c r="E973" s="38"/>
      <c r="F973" s="38">
        <f t="shared" si="1"/>
        <v>0</v>
      </c>
      <c r="G973" s="38">
        <f>COUNTIFS(HH_FCSP!$G$18:$G$3617,$E973,HH_FCSP!$F$18:$F$3617,"catapult/crossbow")</f>
        <v>0</v>
      </c>
      <c r="H973" s="38">
        <f>COUNTIFS(HH_FCSP!$G$18:$G$3617,$E973,HH_FCSP!$F$18:$F$3617,"white")</f>
        <v>0</v>
      </c>
    </row>
    <row r="974">
      <c r="A974" s="38"/>
      <c r="B974" s="38">
        <v>0.0</v>
      </c>
      <c r="C974" s="38">
        <v>0.0</v>
      </c>
      <c r="D974" s="38">
        <v>0.0</v>
      </c>
      <c r="E974" s="38"/>
      <c r="F974" s="38">
        <f t="shared" si="1"/>
        <v>0</v>
      </c>
      <c r="G974" s="38">
        <f>COUNTIFS(HH_FCSP!$G$18:$G$3617,$E974,HH_FCSP!$F$18:$F$3617,"catapult/crossbow")</f>
        <v>0</v>
      </c>
      <c r="H974" s="38">
        <f>COUNTIFS(HH_FCSP!$G$18:$G$3617,$E974,HH_FCSP!$F$18:$F$3617,"white")</f>
        <v>0</v>
      </c>
    </row>
    <row r="975">
      <c r="A975" s="38"/>
      <c r="B975" s="38">
        <v>0.0</v>
      </c>
      <c r="C975" s="38">
        <v>0.0</v>
      </c>
      <c r="D975" s="38">
        <v>0.0</v>
      </c>
      <c r="E975" s="38"/>
      <c r="F975" s="38">
        <f t="shared" si="1"/>
        <v>0</v>
      </c>
      <c r="G975" s="38">
        <f>COUNTIFS(HH_FCSP!$G$18:$G$3617,$E975,HH_FCSP!$F$18:$F$3617,"catapult/crossbow")</f>
        <v>0</v>
      </c>
      <c r="H975" s="38">
        <f>COUNTIFS(HH_FCSP!$G$18:$G$3617,$E975,HH_FCSP!$F$18:$F$3617,"white")</f>
        <v>0</v>
      </c>
    </row>
    <row r="976">
      <c r="A976" s="38"/>
      <c r="B976" s="38">
        <v>0.0</v>
      </c>
      <c r="C976" s="38">
        <v>0.0</v>
      </c>
      <c r="D976" s="38">
        <v>0.0</v>
      </c>
      <c r="E976" s="38"/>
      <c r="F976" s="38">
        <f t="shared" si="1"/>
        <v>0</v>
      </c>
      <c r="G976" s="38">
        <f>COUNTIFS(HH_FCSP!$G$18:$G$3617,$E976,HH_FCSP!$F$18:$F$3617,"catapult/crossbow")</f>
        <v>0</v>
      </c>
      <c r="H976" s="38">
        <f>COUNTIFS(HH_FCSP!$G$18:$G$3617,$E976,HH_FCSP!$F$18:$F$3617,"white")</f>
        <v>0</v>
      </c>
    </row>
    <row r="977">
      <c r="A977" s="38"/>
      <c r="B977" s="38">
        <v>0.0</v>
      </c>
      <c r="C977" s="38">
        <v>0.0</v>
      </c>
      <c r="D977" s="38">
        <v>0.0</v>
      </c>
      <c r="E977" s="38"/>
      <c r="F977" s="38">
        <f t="shared" si="1"/>
        <v>0</v>
      </c>
      <c r="G977" s="38">
        <f>COUNTIFS(HH_FCSP!$G$18:$G$3617,$E977,HH_FCSP!$F$18:$F$3617,"catapult/crossbow")</f>
        <v>0</v>
      </c>
      <c r="H977" s="38">
        <f>COUNTIFS(HH_FCSP!$G$18:$G$3617,$E977,HH_FCSP!$F$18:$F$3617,"white")</f>
        <v>0</v>
      </c>
    </row>
    <row r="978">
      <c r="A978" s="38"/>
      <c r="B978" s="38">
        <v>0.0</v>
      </c>
      <c r="C978" s="38">
        <v>0.0</v>
      </c>
      <c r="D978" s="38">
        <v>0.0</v>
      </c>
      <c r="E978" s="38"/>
      <c r="F978" s="38">
        <f t="shared" si="1"/>
        <v>0</v>
      </c>
      <c r="G978" s="38">
        <f>COUNTIFS(HH_FCSP!$G$18:$G$3617,$E978,HH_FCSP!$F$18:$F$3617,"catapult/crossbow")</f>
        <v>0</v>
      </c>
      <c r="H978" s="38">
        <f>COUNTIFS(HH_FCSP!$G$18:$G$3617,$E978,HH_FCSP!$F$18:$F$3617,"white")</f>
        <v>0</v>
      </c>
    </row>
    <row r="979">
      <c r="A979" s="38"/>
      <c r="B979" s="38">
        <v>0.0</v>
      </c>
      <c r="C979" s="38">
        <v>0.0</v>
      </c>
      <c r="D979" s="38">
        <v>0.0</v>
      </c>
      <c r="E979" s="38"/>
      <c r="F979" s="38">
        <f t="shared" si="1"/>
        <v>0</v>
      </c>
      <c r="G979" s="38">
        <f>COUNTIFS(HH_FCSP!$G$18:$G$3617,$E979,HH_FCSP!$F$18:$F$3617,"catapult/crossbow")</f>
        <v>0</v>
      </c>
      <c r="H979" s="38">
        <f>COUNTIFS(HH_FCSP!$G$18:$G$3617,$E979,HH_FCSP!$F$18:$F$3617,"white")</f>
        <v>0</v>
      </c>
    </row>
    <row r="980">
      <c r="A980" s="38"/>
      <c r="B980" s="38">
        <v>0.0</v>
      </c>
      <c r="C980" s="38">
        <v>0.0</v>
      </c>
      <c r="D980" s="38">
        <v>0.0</v>
      </c>
      <c r="E980" s="38"/>
      <c r="F980" s="38">
        <f t="shared" si="1"/>
        <v>0</v>
      </c>
      <c r="G980" s="38">
        <f>COUNTIFS(HH_FCSP!$G$18:$G$3617,$E980,HH_FCSP!$F$18:$F$3617,"catapult/crossbow")</f>
        <v>0</v>
      </c>
      <c r="H980" s="38">
        <f>COUNTIFS(HH_FCSP!$G$18:$G$3617,$E980,HH_FCSP!$F$18:$F$3617,"white")</f>
        <v>0</v>
      </c>
    </row>
    <row r="981">
      <c r="A981" s="38"/>
      <c r="B981" s="38">
        <v>0.0</v>
      </c>
      <c r="C981" s="38">
        <v>0.0</v>
      </c>
      <c r="D981" s="38">
        <v>0.0</v>
      </c>
      <c r="E981" s="38"/>
      <c r="F981" s="38">
        <f t="shared" si="1"/>
        <v>0</v>
      </c>
      <c r="G981" s="38">
        <f>COUNTIFS(HH_FCSP!$G$18:$G$3617,$E981,HH_FCSP!$F$18:$F$3617,"catapult/crossbow")</f>
        <v>0</v>
      </c>
      <c r="H981" s="38">
        <f>COUNTIFS(HH_FCSP!$G$18:$G$3617,$E981,HH_FCSP!$F$18:$F$3617,"white")</f>
        <v>0</v>
      </c>
    </row>
    <row r="982">
      <c r="A982" s="38"/>
      <c r="B982" s="38">
        <v>0.0</v>
      </c>
      <c r="C982" s="38">
        <v>0.0</v>
      </c>
      <c r="D982" s="38">
        <v>0.0</v>
      </c>
      <c r="E982" s="38"/>
      <c r="F982" s="38">
        <f t="shared" si="1"/>
        <v>0</v>
      </c>
      <c r="G982" s="38">
        <f>COUNTIFS(HH_FCSP!$G$18:$G$3617,$E982,HH_FCSP!$F$18:$F$3617,"catapult/crossbow")</f>
        <v>0</v>
      </c>
      <c r="H982" s="38">
        <f>COUNTIFS(HH_FCSP!$G$18:$G$3617,$E982,HH_FCSP!$F$18:$F$3617,"white")</f>
        <v>0</v>
      </c>
    </row>
    <row r="983">
      <c r="A983" s="38"/>
      <c r="B983" s="38">
        <v>0.0</v>
      </c>
      <c r="C983" s="38">
        <v>0.0</v>
      </c>
      <c r="D983" s="38">
        <v>0.0</v>
      </c>
      <c r="E983" s="38"/>
      <c r="F983" s="38">
        <f t="shared" si="1"/>
        <v>0</v>
      </c>
      <c r="G983" s="38">
        <f>COUNTIFS(HH_FCSP!$G$18:$G$3617,$E983,HH_FCSP!$F$18:$F$3617,"catapult/crossbow")</f>
        <v>0</v>
      </c>
      <c r="H983" s="38">
        <f>COUNTIFS(HH_FCSP!$G$18:$G$3617,$E983,HH_FCSP!$F$18:$F$3617,"white")</f>
        <v>0</v>
      </c>
    </row>
    <row r="984">
      <c r="A984" s="38"/>
      <c r="B984" s="38">
        <v>0.0</v>
      </c>
      <c r="C984" s="38">
        <v>0.0</v>
      </c>
      <c r="D984" s="38">
        <v>0.0</v>
      </c>
      <c r="E984" s="38"/>
      <c r="F984" s="38">
        <f t="shared" si="1"/>
        <v>0</v>
      </c>
      <c r="G984" s="38">
        <f>COUNTIFS(HH_FCSP!$G$18:$G$3617,$E984,HH_FCSP!$F$18:$F$3617,"catapult/crossbow")</f>
        <v>0</v>
      </c>
      <c r="H984" s="38">
        <f>COUNTIFS(HH_FCSP!$G$18:$G$3617,$E984,HH_FCSP!$F$18:$F$3617,"white")</f>
        <v>0</v>
      </c>
    </row>
    <row r="985">
      <c r="A985" s="38"/>
      <c r="B985" s="38">
        <v>0.0</v>
      </c>
      <c r="C985" s="38">
        <v>0.0</v>
      </c>
      <c r="D985" s="38">
        <v>0.0</v>
      </c>
      <c r="E985" s="38"/>
      <c r="F985" s="38">
        <f t="shared" si="1"/>
        <v>0</v>
      </c>
      <c r="G985" s="38">
        <f>COUNTIFS(HH_FCSP!$G$18:$G$3617,$E985,HH_FCSP!$F$18:$F$3617,"catapult/crossbow")</f>
        <v>0</v>
      </c>
      <c r="H985" s="38">
        <f>COUNTIFS(HH_FCSP!$G$18:$G$3617,$E985,HH_FCSP!$F$18:$F$3617,"white")</f>
        <v>0</v>
      </c>
    </row>
    <row r="986">
      <c r="A986" s="38"/>
      <c r="B986" s="38">
        <v>0.0</v>
      </c>
      <c r="C986" s="38">
        <v>0.0</v>
      </c>
      <c r="D986" s="38">
        <v>0.0</v>
      </c>
      <c r="E986" s="38"/>
      <c r="F986" s="38">
        <f t="shared" si="1"/>
        <v>0</v>
      </c>
      <c r="G986" s="38">
        <f>COUNTIFS(HH_FCSP!$G$18:$G$3617,$E986,HH_FCSP!$F$18:$F$3617,"catapult/crossbow")</f>
        <v>0</v>
      </c>
      <c r="H986" s="38">
        <f>COUNTIFS(HH_FCSP!$G$18:$G$3617,$E986,HH_FCSP!$F$18:$F$3617,"white")</f>
        <v>0</v>
      </c>
    </row>
    <row r="987">
      <c r="A987" s="38"/>
      <c r="B987" s="38">
        <v>0.0</v>
      </c>
      <c r="C987" s="38">
        <v>0.0</v>
      </c>
      <c r="D987" s="38">
        <v>0.0</v>
      </c>
      <c r="E987" s="38"/>
      <c r="F987" s="38">
        <f t="shared" si="1"/>
        <v>0</v>
      </c>
      <c r="G987" s="38">
        <f>COUNTIFS(HH_FCSP!$G$18:$G$3617,$E987,HH_FCSP!$F$18:$F$3617,"catapult/crossbow")</f>
        <v>0</v>
      </c>
      <c r="H987" s="38">
        <f>COUNTIFS(HH_FCSP!$G$18:$G$3617,$E987,HH_FCSP!$F$18:$F$3617,"white")</f>
        <v>0</v>
      </c>
    </row>
    <row r="988">
      <c r="A988" s="38"/>
      <c r="B988" s="38">
        <v>0.0</v>
      </c>
      <c r="C988" s="38">
        <v>0.0</v>
      </c>
      <c r="D988" s="38">
        <v>0.0</v>
      </c>
      <c r="E988" s="38"/>
      <c r="F988" s="38">
        <f t="shared" si="1"/>
        <v>0</v>
      </c>
      <c r="G988" s="38">
        <f>COUNTIFS(HH_FCSP!$G$18:$G$3617,$E988,HH_FCSP!$F$18:$F$3617,"catapult/crossbow")</f>
        <v>0</v>
      </c>
      <c r="H988" s="38">
        <f>COUNTIFS(HH_FCSP!$G$18:$G$3617,$E988,HH_FCSP!$F$18:$F$3617,"white")</f>
        <v>0</v>
      </c>
    </row>
    <row r="989">
      <c r="A989" s="38"/>
      <c r="B989" s="38">
        <v>0.0</v>
      </c>
      <c r="C989" s="38">
        <v>0.0</v>
      </c>
      <c r="D989" s="38">
        <v>0.0</v>
      </c>
      <c r="E989" s="38"/>
      <c r="F989" s="38">
        <f t="shared" si="1"/>
        <v>0</v>
      </c>
      <c r="G989" s="38">
        <f>COUNTIFS(HH_FCSP!$G$18:$G$3617,$E989,HH_FCSP!$F$18:$F$3617,"catapult/crossbow")</f>
        <v>0</v>
      </c>
      <c r="H989" s="38">
        <f>COUNTIFS(HH_FCSP!$G$18:$G$3617,$E989,HH_FCSP!$F$18:$F$3617,"white")</f>
        <v>0</v>
      </c>
    </row>
    <row r="990">
      <c r="A990" s="38"/>
      <c r="B990" s="38">
        <v>0.0</v>
      </c>
      <c r="C990" s="38">
        <v>0.0</v>
      </c>
      <c r="D990" s="38">
        <v>0.0</v>
      </c>
      <c r="E990" s="38"/>
      <c r="F990" s="38">
        <f t="shared" si="1"/>
        <v>0</v>
      </c>
      <c r="G990" s="38">
        <f>COUNTIFS(HH_FCSP!$G$18:$G$3617,$E990,HH_FCSP!$F$18:$F$3617,"catapult/crossbow")</f>
        <v>0</v>
      </c>
      <c r="H990" s="38">
        <f>COUNTIFS(HH_FCSP!$G$18:$G$3617,$E990,HH_FCSP!$F$18:$F$3617,"white")</f>
        <v>0</v>
      </c>
    </row>
    <row r="991">
      <c r="A991" s="38"/>
      <c r="B991" s="38">
        <v>0.0</v>
      </c>
      <c r="C991" s="38">
        <v>0.0</v>
      </c>
      <c r="D991" s="38">
        <v>0.0</v>
      </c>
      <c r="E991" s="38"/>
      <c r="F991" s="38">
        <f t="shared" si="1"/>
        <v>0</v>
      </c>
      <c r="G991" s="38">
        <f>COUNTIFS(HH_FCSP!$G$18:$G$3617,$E991,HH_FCSP!$F$18:$F$3617,"catapult/crossbow")</f>
        <v>0</v>
      </c>
      <c r="H991" s="38">
        <f>COUNTIFS(HH_FCSP!$G$18:$G$3617,$E991,HH_FCSP!$F$18:$F$3617,"white")</f>
        <v>0</v>
      </c>
    </row>
    <row r="992">
      <c r="A992" s="38"/>
      <c r="B992" s="38">
        <v>0.0</v>
      </c>
      <c r="C992" s="38">
        <v>0.0</v>
      </c>
      <c r="D992" s="38">
        <v>0.0</v>
      </c>
      <c r="E992" s="38"/>
      <c r="F992" s="38">
        <f t="shared" si="1"/>
        <v>0</v>
      </c>
      <c r="G992" s="38">
        <f>COUNTIFS(HH_FCSP!$G$18:$G$3617,$E992,HH_FCSP!$F$18:$F$3617,"catapult/crossbow")</f>
        <v>0</v>
      </c>
      <c r="H992" s="38">
        <f>COUNTIFS(HH_FCSP!$G$18:$G$3617,$E992,HH_FCSP!$F$18:$F$3617,"white")</f>
        <v>0</v>
      </c>
    </row>
    <row r="993">
      <c r="A993" s="38"/>
      <c r="B993" s="38">
        <v>0.0</v>
      </c>
      <c r="C993" s="38">
        <v>0.0</v>
      </c>
      <c r="D993" s="38">
        <v>0.0</v>
      </c>
      <c r="E993" s="38"/>
      <c r="F993" s="38">
        <f t="shared" si="1"/>
        <v>0</v>
      </c>
      <c r="G993" s="38">
        <f>COUNTIFS(HH_FCSP!$G$18:$G$3617,$E993,HH_FCSP!$F$18:$F$3617,"catapult/crossbow")</f>
        <v>0</v>
      </c>
      <c r="H993" s="38">
        <f>COUNTIFS(HH_FCSP!$G$18:$G$3617,$E993,HH_FCSP!$F$18:$F$3617,"white")</f>
        <v>0</v>
      </c>
    </row>
    <row r="994">
      <c r="A994" s="38"/>
      <c r="B994" s="38">
        <v>0.0</v>
      </c>
      <c r="C994" s="38">
        <v>0.0</v>
      </c>
      <c r="D994" s="38">
        <v>0.0</v>
      </c>
      <c r="E994" s="38"/>
      <c r="F994" s="38">
        <f t="shared" si="1"/>
        <v>0</v>
      </c>
      <c r="G994" s="38">
        <f>COUNTIFS(HH_FCSP!$G$18:$G$3617,$E994,HH_FCSP!$F$18:$F$3617,"catapult/crossbow")</f>
        <v>0</v>
      </c>
      <c r="H994" s="38">
        <f>COUNTIFS(HH_FCSP!$G$18:$G$3617,$E994,HH_FCSP!$F$18:$F$3617,"white")</f>
        <v>0</v>
      </c>
    </row>
    <row r="995">
      <c r="A995" s="38"/>
      <c r="B995" s="38">
        <v>0.0</v>
      </c>
      <c r="C995" s="38">
        <v>0.0</v>
      </c>
      <c r="D995" s="38">
        <v>0.0</v>
      </c>
      <c r="E995" s="38"/>
      <c r="F995" s="38">
        <f t="shared" si="1"/>
        <v>0</v>
      </c>
      <c r="G995" s="38">
        <f>COUNTIFS(HH_FCSP!$G$18:$G$3617,$E995,HH_FCSP!$F$18:$F$3617,"catapult/crossbow")</f>
        <v>0</v>
      </c>
      <c r="H995" s="38">
        <f>COUNTIFS(HH_FCSP!$G$18:$G$3617,$E995,HH_FCSP!$F$18:$F$3617,"white")</f>
        <v>0</v>
      </c>
    </row>
    <row r="996">
      <c r="A996" s="38"/>
      <c r="B996" s="38">
        <v>0.0</v>
      </c>
      <c r="C996" s="38">
        <v>0.0</v>
      </c>
      <c r="D996" s="38">
        <v>0.0</v>
      </c>
      <c r="E996" s="38"/>
      <c r="F996" s="38">
        <f t="shared" si="1"/>
        <v>0</v>
      </c>
      <c r="G996" s="38">
        <f>COUNTIFS(HH_FCSP!$G$18:$G$3617,$E996,HH_FCSP!$F$18:$F$3617,"catapult/crossbow")</f>
        <v>0</v>
      </c>
      <c r="H996" s="38">
        <f>COUNTIFS(HH_FCSP!$G$18:$G$3617,$E996,HH_FCSP!$F$18:$F$3617,"white")</f>
        <v>0</v>
      </c>
    </row>
    <row r="997">
      <c r="A997" s="38"/>
      <c r="B997" s="38">
        <v>0.0</v>
      </c>
      <c r="C997" s="38">
        <v>0.0</v>
      </c>
      <c r="D997" s="38">
        <v>0.0</v>
      </c>
      <c r="E997" s="38"/>
      <c r="F997" s="38">
        <f t="shared" si="1"/>
        <v>0</v>
      </c>
      <c r="G997" s="38">
        <f>COUNTIFS(HH_FCSP!$G$18:$G$3617,$E997,HH_FCSP!$F$18:$F$3617,"catapult/crossbow")</f>
        <v>0</v>
      </c>
      <c r="H997" s="38">
        <f>COUNTIFS(HH_FCSP!$G$18:$G$3617,$E997,HH_FCSP!$F$18:$F$3617,"white")</f>
        <v>0</v>
      </c>
    </row>
    <row r="998">
      <c r="A998" s="38"/>
      <c r="B998" s="38">
        <v>0.0</v>
      </c>
      <c r="C998" s="38">
        <v>0.0</v>
      </c>
      <c r="D998" s="38">
        <v>0.0</v>
      </c>
      <c r="E998" s="38"/>
      <c r="F998" s="38">
        <f t="shared" si="1"/>
        <v>0</v>
      </c>
      <c r="G998" s="38">
        <f>COUNTIFS(HH_FCSP!$G$18:$G$3617,$E998,HH_FCSP!$F$18:$F$3617,"catapult/crossbow")</f>
        <v>0</v>
      </c>
      <c r="H998" s="38">
        <f>COUNTIFS(HH_FCSP!$G$18:$G$3617,$E998,HH_FCSP!$F$18:$F$3617,"white")</f>
        <v>0</v>
      </c>
    </row>
    <row r="999">
      <c r="A999" s="38"/>
      <c r="B999" s="38">
        <v>0.0</v>
      </c>
      <c r="C999" s="38">
        <v>0.0</v>
      </c>
      <c r="D999" s="38">
        <v>0.0</v>
      </c>
      <c r="E999" s="38"/>
      <c r="F999" s="38">
        <f t="shared" si="1"/>
        <v>0</v>
      </c>
      <c r="G999" s="38">
        <f>COUNTIFS(HH_FCSP!$G$18:$G$3617,$E999,HH_FCSP!$F$18:$F$3617,"catapult/crossbow")</f>
        <v>0</v>
      </c>
      <c r="H999" s="38">
        <f>COUNTIFS(HH_FCSP!$G$18:$G$3617,$E999,HH_FCSP!$F$18:$F$3617,"white")</f>
        <v>0</v>
      </c>
    </row>
    <row r="1000">
      <c r="A1000" s="38"/>
      <c r="B1000" s="38">
        <v>0.0</v>
      </c>
      <c r="C1000" s="38">
        <v>0.0</v>
      </c>
      <c r="D1000" s="38">
        <v>0.0</v>
      </c>
      <c r="E1000" s="38"/>
      <c r="F1000" s="38">
        <f t="shared" si="1"/>
        <v>0</v>
      </c>
      <c r="G1000" s="38">
        <f>COUNTIFS(HH_FCSP!$G$18:$G$3617,$E1000,HH_FCSP!$F$18:$F$3617,"catapult/crossbow")</f>
        <v>0</v>
      </c>
      <c r="H1000" s="38">
        <f>COUNTIFS(HH_FCSP!$G$18:$G$3617,$E1000,HH_FCSP!$F$18:$F$3617,"white")</f>
        <v>0</v>
      </c>
    </row>
    <row r="1001">
      <c r="A1001" s="38"/>
      <c r="B1001" s="38">
        <v>0.0</v>
      </c>
      <c r="C1001" s="38">
        <v>0.0</v>
      </c>
      <c r="D1001" s="38">
        <v>0.0</v>
      </c>
      <c r="E1001" s="38"/>
      <c r="F1001" s="38">
        <f t="shared" si="1"/>
        <v>0</v>
      </c>
      <c r="G1001" s="38">
        <f>COUNTIFS(HH_FCSP!$G$18:$G$3617,$E1001,HH_FCSP!$F$18:$F$3617,"catapult/crossbow")</f>
        <v>0</v>
      </c>
      <c r="H1001" s="38">
        <f>COUNTIFS(HH_FCSP!$G$18:$G$3617,$E1001,HH_FCSP!$F$18:$F$3617,"white")</f>
        <v>0</v>
      </c>
    </row>
  </sheetData>
  <conditionalFormatting sqref="B2:D1001">
    <cfRule type="cellIs" dxfId="0" priority="1" operator="equal">
      <formula>0</formula>
    </cfRule>
  </conditionalFormatting>
  <conditionalFormatting sqref="B2:B1001">
    <cfRule type="colorScale" priority="2">
      <colorScale>
        <cfvo type="min"/>
        <cfvo type="percentile" val="50"/>
        <cfvo type="max"/>
        <color rgb="FFE67C73"/>
        <color rgb="FF93C47D"/>
        <color rgb="FF00FF00"/>
      </colorScale>
    </cfRule>
  </conditionalFormatting>
  <conditionalFormatting sqref="C2:C1001">
    <cfRule type="colorScale" priority="3">
      <colorScale>
        <cfvo type="min"/>
        <cfvo type="percentile" val="50"/>
        <cfvo type="max"/>
        <color rgb="FFE67C73"/>
        <color rgb="FF93C47D"/>
        <color rgb="FF00FF00"/>
      </colorScale>
    </cfRule>
  </conditionalFormatting>
  <conditionalFormatting sqref="D2:D1001">
    <cfRule type="colorScale" priority="4">
      <colorScale>
        <cfvo type="min"/>
        <cfvo type="percentile" val="50"/>
        <cfvo type="max"/>
        <color rgb="FFE67C73"/>
        <color rgb="FF93C47D"/>
        <color rgb="FF00FF00"/>
      </colorScale>
    </cfRule>
  </conditionalFormatting>
  <drawing r:id="rId1"/>
</worksheet>
</file>